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EstaPastaDeTrabalho" defaultThemeVersion="166925"/>
  <xr:revisionPtr revIDLastSave="0" documentId="13_ncr:1_{35C6FCD1-A3B7-4AAA-9C87-58F1DC7C020E}" xr6:coauthVersionLast="47" xr6:coauthVersionMax="47" xr10:uidLastSave="{00000000-0000-0000-0000-000000000000}"/>
  <bookViews>
    <workbookView xWindow="28680" yWindow="-120" windowWidth="29040" windowHeight="15720" tabRatio="746" activeTab="3" xr2:uid="{00000000-000D-0000-FFFF-FFFF00000000}"/>
  </bookViews>
  <sheets>
    <sheet name="PLANILHA ORÇA - CORREGEDORIA" sheetId="1" r:id="rId1"/>
    <sheet name="PLANILHA ORÇA - EJUD" sheetId="15" r:id="rId2"/>
    <sheet name="COMP" sheetId="21" r:id="rId3"/>
    <sheet name="CRONOGRAMA" sheetId="9" r:id="rId4"/>
    <sheet name="BDI" sheetId="18" r:id="rId5"/>
    <sheet name="ENCARGOS SOCIAIS" sheetId="19" r:id="rId6"/>
    <sheet name="COMPOSIÇÃO DE CUSTOS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acl2" localSheetId="4">[1]Insumos!$H$196</definedName>
    <definedName name="__acl2">[1]Insumos!$H$196</definedName>
    <definedName name="__ara20" localSheetId="4">[1]Insumos!$H$609</definedName>
    <definedName name="__ara20">[1]Insumos!$H$609</definedName>
    <definedName name="__bli10" localSheetId="4">[1]Insumos!$H$1154</definedName>
    <definedName name="__bli10">[1]Insumos!$H$1154</definedName>
    <definedName name="__coz75" localSheetId="4">[1]Insumos!$H$991</definedName>
    <definedName name="__coz75">[1]Insumos!$H$991</definedName>
    <definedName name="__cpl6" localSheetId="4">[1]Insumos!$H$759</definedName>
    <definedName name="__cpl6">[1]Insumos!$H$759</definedName>
    <definedName name="__cpz32">NA()</definedName>
    <definedName name="__dge8" localSheetId="1">[1]Insumos!#REF!</definedName>
    <definedName name="__dge8">[1]Insumos!#REF!</definedName>
    <definedName name="__flp32" localSheetId="4">[1]Insumos!$H$883</definedName>
    <definedName name="__flp32">[1]Insumos!$H$883</definedName>
    <definedName name="__frp1" localSheetId="4">[1]Insumos!$H$263</definedName>
    <definedName name="__frp1">[1]Insumos!$H$263</definedName>
    <definedName name="__imp3" localSheetId="4">[1]Insumos!$H$1194</definedName>
    <definedName name="__imp3">[1]Insumos!$H$1194</definedName>
    <definedName name="__lrc250" localSheetId="4">[1]Insumos!$H$602</definedName>
    <definedName name="__lrc250">[1]Insumos!$H$602</definedName>
    <definedName name="__mfi5" localSheetId="4">[1]Insumos!$H$1133</definedName>
    <definedName name="__mfi5">[1]Insumos!$H$1133</definedName>
    <definedName name="__mud7" localSheetId="4">[1]Insumos!$H$1221</definedName>
    <definedName name="__mud7">[1]Insumos!$H$1221</definedName>
    <definedName name="__pbv40">NA()</definedName>
    <definedName name="__pgt260" localSheetId="4">[1]Insumos!$H$403</definedName>
    <definedName name="__pgt260">[1]Insumos!$H$403</definedName>
    <definedName name="__pgt320" localSheetId="4">[1]Insumos!$H$404</definedName>
    <definedName name="__pgt320">[1]Insumos!$H$404</definedName>
    <definedName name="__qdt60" localSheetId="4">[1]Insumos!$H$570</definedName>
    <definedName name="__qdt60">[1]Insumos!$H$570</definedName>
    <definedName name="__rac24" localSheetId="4">[1]Insumos!$H$767</definedName>
    <definedName name="__rac24">[1]Insumos!$H$767</definedName>
    <definedName name="__rfv310" localSheetId="4">[1]Insumos!$H$877</definedName>
    <definedName name="__rfv310">[1]Insumos!$H$877</definedName>
    <definedName name="__rfz30" localSheetId="4">[1]Insumos!$H$994</definedName>
    <definedName name="__rfz30">[1]Insumos!$H$994</definedName>
    <definedName name="__sfg48" localSheetId="4">[1]Insumos!$H$765</definedName>
    <definedName name="__sfg48">[1]Insumos!$H$765</definedName>
    <definedName name="__spl24" localSheetId="4">[1]Insumos!$H$741</definedName>
    <definedName name="__spl24">[1]Insumos!$H$741</definedName>
    <definedName name="__spl9" localSheetId="4">[1]Insumos!$H$737</definedName>
    <definedName name="__spl9">[1]Insumos!$H$737</definedName>
    <definedName name="__tjc14">NA()</definedName>
    <definedName name="__tjv1" localSheetId="4">[1]Insumos!$H$67</definedName>
    <definedName name="__tjv1">[1]Insumos!$H$67</definedName>
    <definedName name="__xlfn_COUNTIFS">NA()</definedName>
    <definedName name="__xlfn_CUBESETCOUNT">NA()</definedName>
    <definedName name="__xlnm_Print_Area_1" localSheetId="4">#REF!</definedName>
    <definedName name="__xlnm_Print_Area_1" localSheetId="1">#REF!</definedName>
    <definedName name="__xlnm_Print_Area_1">#REF!</definedName>
    <definedName name="__xlnm_Print_Titles_1" localSheetId="4">#REF!</definedName>
    <definedName name="__xlnm_Print_Titles_1" localSheetId="1">#REF!</definedName>
    <definedName name="__xlnm_Print_Titles_1">#REF!</definedName>
    <definedName name="_769_59" localSheetId="4">#REF!</definedName>
    <definedName name="_769_59" localSheetId="1">#REF!</definedName>
    <definedName name="_769_59">#REF!</definedName>
    <definedName name="_aar1" localSheetId="4">[1]Insumos!$H$48</definedName>
    <definedName name="_aar1">[1]Insumos!$H$48</definedName>
    <definedName name="_acd88" localSheetId="4">[1]Insumos!$H$1007</definedName>
    <definedName name="_acd88">[1]Insumos!$H$1007</definedName>
    <definedName name="_acl1" localSheetId="4">[1]Insumos!$H$195</definedName>
    <definedName name="_acl1">[1]Insumos!$H$195</definedName>
    <definedName name="_acl2" localSheetId="4">[1]Insumos!$H$196</definedName>
    <definedName name="_acl2">[1]Insumos!$H$196</definedName>
    <definedName name="_aff50" localSheetId="4">[1]Insumos!$H$128</definedName>
    <definedName name="_aff50">[1]Insumos!$H$128</definedName>
    <definedName name="_aga10">[2]Insumos!$E$55</definedName>
    <definedName name="_aga14">[2]Insumos!$E$56</definedName>
    <definedName name="_ali1">[2]Insumos!$E$147</definedName>
    <definedName name="_ali2">[2]Insumos!$E$148</definedName>
    <definedName name="_ali3">[2]Insumos!$E$149</definedName>
    <definedName name="_ali4">[2]Insumos!$E$150</definedName>
    <definedName name="_ali5">[2]Insumos!$E$151</definedName>
    <definedName name="_ali6">[2]Insumos!$E$152</definedName>
    <definedName name="_ali7">[2]Insumos!$E$153</definedName>
    <definedName name="_amc1">[2]Insumos!$E$117</definedName>
    <definedName name="_amf1">[2]Insumos!$E$115</definedName>
    <definedName name="_amf2">[2]Insumos!$E$116</definedName>
    <definedName name="_ape1" localSheetId="4">[1]Insumos!$H$1052</definedName>
    <definedName name="_ape1">[1]Insumos!$H$1052</definedName>
    <definedName name="_ape2" localSheetId="4">[1]Insumos!$H$1053</definedName>
    <definedName name="_ape2">[1]Insumos!$H$1053</definedName>
    <definedName name="_ara18">[2]Insumos!$E$302</definedName>
    <definedName name="_ara20" localSheetId="4">[1]Insumos!$H$609</definedName>
    <definedName name="_ara20">[1]Insumos!$H$609</definedName>
    <definedName name="_arc12">[2]Insumos!$E$374</definedName>
    <definedName name="_arc15">[2]Insumos!$E$375</definedName>
    <definedName name="_arc18">[2]Insumos!$E$376</definedName>
    <definedName name="_arc21">[2]Insumos!$E$377</definedName>
    <definedName name="_art1">[2]Insumos!$E$651</definedName>
    <definedName name="_art10">[2]Insumos!$E$660</definedName>
    <definedName name="_art11">[2]Insumos!$E$661</definedName>
    <definedName name="_art12">[2]Insumos!$E$662</definedName>
    <definedName name="_art13">[2]Insumos!$E$663</definedName>
    <definedName name="_art14">[2]Insumos!$E$664</definedName>
    <definedName name="_art15">[2]Insumos!$E$665</definedName>
    <definedName name="_art16">[2]Insumos!$E$666</definedName>
    <definedName name="_art17">[2]Insumos!$E$667</definedName>
    <definedName name="_art18">[2]Insumos!$E$668</definedName>
    <definedName name="_art19">[2]Insumos!$E$669</definedName>
    <definedName name="_art2">[2]Insumos!$E$652</definedName>
    <definedName name="_art20">[2]Insumos!$E$670</definedName>
    <definedName name="_art21">[2]Insumos!$E$671</definedName>
    <definedName name="_art22">[2]Insumos!$E$672</definedName>
    <definedName name="_art23">[2]Insumos!$E$673</definedName>
    <definedName name="_art24">[2]Insumos!$E$674</definedName>
    <definedName name="_art25">[2]Insumos!$E$675</definedName>
    <definedName name="_art26">[2]Insumos!$E$676</definedName>
    <definedName name="_art27">[2]Insumos!$E$677</definedName>
    <definedName name="_art28">[2]Insumos!$E$678</definedName>
    <definedName name="_art29">[2]Insumos!$E$679</definedName>
    <definedName name="_art3">[2]Insumos!$E$653</definedName>
    <definedName name="_art30">[2]Insumos!$E$680</definedName>
    <definedName name="_art31">[2]Insumos!$E$681</definedName>
    <definedName name="_art32">[2]Insumos!$E$682</definedName>
    <definedName name="_art4">[2]Insumos!$E$654</definedName>
    <definedName name="_art5">[2]Insumos!$E$655</definedName>
    <definedName name="_art6">[2]Insumos!$E$656</definedName>
    <definedName name="_art7">[2]Insumos!$E$657</definedName>
    <definedName name="_art8">[2]Insumos!$E$658</definedName>
    <definedName name="_art9">[2]Insumos!$E$659</definedName>
    <definedName name="_bbs3" localSheetId="4">[1]Insumos!$H$901</definedName>
    <definedName name="_bbs3">[1]Insumos!$H$901</definedName>
    <definedName name="_bca1">[2]Insumos!$E$366</definedName>
    <definedName name="_bcd88" localSheetId="4">[1]Insumos!$H$1009</definedName>
    <definedName name="_bcd88">[1]Insumos!$H$1009</definedName>
    <definedName name="_bcm1" localSheetId="4">[1]Insumos!$H$1313</definedName>
    <definedName name="_bcm1">[1]Insumos!$H$1313</definedName>
    <definedName name="_bcm2" localSheetId="4">[1]Insumos!$H$1314</definedName>
    <definedName name="_bcm2">[1]Insumos!$H$1314</definedName>
    <definedName name="_bcm3" localSheetId="4">[1]Insumos!$H$1315</definedName>
    <definedName name="_bcm3">[1]Insumos!$H$1315</definedName>
    <definedName name="_bee40" localSheetId="4">[1]Insumos!$H$753</definedName>
    <definedName name="_bee40">[1]Insumos!$H$753</definedName>
    <definedName name="_bee80">[2]Insumos!$E$378</definedName>
    <definedName name="_bli10" localSheetId="4">[1]Insumos!$H$1154</definedName>
    <definedName name="_bli10">[1]Insumos!$H$1154</definedName>
    <definedName name="_bli6" localSheetId="4">[1]Insumos!$H$1152</definedName>
    <definedName name="_bli6">[1]Insumos!$H$1152</definedName>
    <definedName name="_bli8" localSheetId="4">[1]Insumos!$H$1153</definedName>
    <definedName name="_bli8">[1]Insumos!$H$1153</definedName>
    <definedName name="_blq10">[2]Insumos!$E$525</definedName>
    <definedName name="_blq6" localSheetId="4">[1]Insumos!$H$1150</definedName>
    <definedName name="_blq6">[1]Insumos!$H$1150</definedName>
    <definedName name="_bmm1" localSheetId="4">[1]Insumos!$H$1316</definedName>
    <definedName name="_bmm1">[1]Insumos!$H$1316</definedName>
    <definedName name="_bnb1" localSheetId="4">[1]Insumos!$H$1171</definedName>
    <definedName name="_bnb1">[1]Insumos!$H$1171</definedName>
    <definedName name="_bns4" localSheetId="4">[1]Insumos!$H$355</definedName>
    <definedName name="_bns4">[1]Insumos!$H$355</definedName>
    <definedName name="_bns5" localSheetId="4">[1]Insumos!$H$356</definedName>
    <definedName name="_bns5">[1]Insumos!$H$356</definedName>
    <definedName name="_bns6" localSheetId="4">[1]Insumos!$H$357</definedName>
    <definedName name="_bns6">[1]Insumos!$H$357</definedName>
    <definedName name="_bns8" localSheetId="4">[1]Insumos!$H$358</definedName>
    <definedName name="_bns8">[1]Insumos!$H$358</definedName>
    <definedName name="_bop1">[2]Insumos!$E$440</definedName>
    <definedName name="_bop2" localSheetId="4">[1]Insumos!$H$891</definedName>
    <definedName name="_bop2">[1]Insumos!$H$891</definedName>
    <definedName name="_bot1">[2]Insumos!$E$613</definedName>
    <definedName name="_box1">[2]Insumos!$E$610</definedName>
    <definedName name="_bre5040">[2]Insumos!$E$454</definedName>
    <definedName name="_bre7550" localSheetId="4">[1]Insumos!$H$962</definedName>
    <definedName name="_bre7550">[1]Insumos!$H$962</definedName>
    <definedName name="_brt1" localSheetId="4">[1]Insumos!$H$44</definedName>
    <definedName name="_brt1">[1]Insumos!$H$44</definedName>
    <definedName name="_brt2" localSheetId="4">[1]Insumos!$H$45</definedName>
    <definedName name="_brt2">[1]Insumos!$H$45</definedName>
    <definedName name="_bte320" localSheetId="4">[3]Insumos!$F$1407</definedName>
    <definedName name="_bte320">[3]Insumos!$F$1407</definedName>
    <definedName name="_bte580" localSheetId="4">[3]Insumos!$F$1410</definedName>
    <definedName name="_bte580">[3]Insumos!$F$1410</definedName>
    <definedName name="_cab10" localSheetId="4">[1]Insumos!$H$677</definedName>
    <definedName name="_cab10">[1]Insumos!$H$677</definedName>
    <definedName name="_cab16" localSheetId="4">[1]Insumos!$H$678</definedName>
    <definedName name="_cab16">[1]Insumos!$H$678</definedName>
    <definedName name="_cab4">[2]Insumos!$E$345</definedName>
    <definedName name="_cab6" localSheetId="4">[1]Insumos!$H$675</definedName>
    <definedName name="_cab6">[1]Insumos!$H$675</definedName>
    <definedName name="_cab8" localSheetId="4">[1]Insumos!$H$676</definedName>
    <definedName name="_cab8">[1]Insumos!$H$676</definedName>
    <definedName name="_cac10">[2]Insumos!$E$508</definedName>
    <definedName name="_cac12">[2]Insumos!$E$507</definedName>
    <definedName name="_cac15">[2]Insumos!$E$509</definedName>
    <definedName name="_cac18">[2]Insumos!$E$510</definedName>
    <definedName name="_cac21">[2]Insumos!$E$511</definedName>
    <definedName name="_cac24" localSheetId="4">[1]Insumos!$H$1114</definedName>
    <definedName name="_cac24">[1]Insumos!$H$1114</definedName>
    <definedName name="_cac9" localSheetId="4">[1]Insumos!$H$1108</definedName>
    <definedName name="_cac9">[1]Insumos!$H$1108</definedName>
    <definedName name="_caf14" localSheetId="4">[1]Insumos!$H$151</definedName>
    <definedName name="_caf14">[1]Insumos!$H$151</definedName>
    <definedName name="_cag06" localSheetId="4">[1]Insumos!$H$156</definedName>
    <definedName name="_cag06">[1]Insumos!$H$156</definedName>
    <definedName name="_cag11" localSheetId="4">[1]Insumos!$H$155</definedName>
    <definedName name="_cag11">[1]Insumos!$H$155</definedName>
    <definedName name="_cag12" localSheetId="4">[1]Insumos!$H$154</definedName>
    <definedName name="_cag12">[1]Insumos!$H$154</definedName>
    <definedName name="_cag13" localSheetId="4">[1]Insumos!$H$153</definedName>
    <definedName name="_cag13">[1]Insumos!$H$153</definedName>
    <definedName name="_cag14" localSheetId="4">[1]Insumos!$H$152</definedName>
    <definedName name="_cag14">[1]Insumos!$H$152</definedName>
    <definedName name="_cap17" localSheetId="4">[1]Insumos!$H$873</definedName>
    <definedName name="_cap17">[1]Insumos!$H$873</definedName>
    <definedName name="_cap20">[2]Insumos!$E$432</definedName>
    <definedName name="_cap50">[2]Insumos!$E$433</definedName>
    <definedName name="_cap75" localSheetId="4">[1]Insumos!$H$874</definedName>
    <definedName name="_cap75">[1]Insumos!$H$874</definedName>
    <definedName name="_cce50_4_" localSheetId="4">[1]Insumos!$H$669</definedName>
    <definedName name="_cce50_4_">[1]Insumos!$H$669</definedName>
    <definedName name="_cce50_6_" localSheetId="4">[1]Insumos!$H$670</definedName>
    <definedName name="_cce50_6_">[1]Insumos!$H$670</definedName>
    <definedName name="_cci50_2_" localSheetId="4">[1]Insumos!$H$673</definedName>
    <definedName name="_cci50_2_">[1]Insumos!$H$673</definedName>
    <definedName name="_ccn16" localSheetId="4">[1]Insumos!$H$681</definedName>
    <definedName name="_ccn16">[1]Insumos!$H$681</definedName>
    <definedName name="_ccn25" localSheetId="4">[1]Insumos!$H$682</definedName>
    <definedName name="_ccn25">[1]Insumos!$H$682</definedName>
    <definedName name="_ccn35" localSheetId="4">[1]Insumos!$H$683</definedName>
    <definedName name="_ccn35">[1]Insumos!$H$683</definedName>
    <definedName name="_ccn50" localSheetId="4">[1]Insumos!$H$684</definedName>
    <definedName name="_ccn50">[1]Insumos!$H$684</definedName>
    <definedName name="_ccp18" localSheetId="4">[1]Insumos!$H$282</definedName>
    <definedName name="_ccp18">[1]Insumos!$H$282</definedName>
    <definedName name="_ccr12" localSheetId="4">[1]Insumos!$H$283</definedName>
    <definedName name="_ccr12">[1]Insumos!$H$283</definedName>
    <definedName name="_cdd125" localSheetId="4">[1]Insumos!$H$1011</definedName>
    <definedName name="_cdd125">[1]Insumos!$H$1011</definedName>
    <definedName name="_cde125" localSheetId="4">[1]Insumos!$H$1012</definedName>
    <definedName name="_cde125">[1]Insumos!$H$1012</definedName>
    <definedName name="_cer1" localSheetId="4">[1]Insumos!$H$708</definedName>
    <definedName name="_cer1">[1]Insumos!$H$708</definedName>
    <definedName name="_cfl20">[2]Insumos!$E$296</definedName>
    <definedName name="_cfl40">[2]Insumos!$E$294</definedName>
    <definedName name="_clp100">[2]Insumos!$E$463</definedName>
    <definedName name="_clp125" localSheetId="4">[1]Insumos!$H$976</definedName>
    <definedName name="_clp125">[1]Insumos!$H$976</definedName>
    <definedName name="_cls2">[2]Insumos!$E$357</definedName>
    <definedName name="_cls5">[2]Insumos!$E$358</definedName>
    <definedName name="_cmb6" localSheetId="4">[1]Insumos!$H$1421</definedName>
    <definedName name="_cmb6">[1]Insumos!$H$1421</definedName>
    <definedName name="_cmb8" localSheetId="4">[1]Insumos!$H$1422</definedName>
    <definedName name="_cmb8">[1]Insumos!$H$1422</definedName>
    <definedName name="_cme1">[2]Insumos!$E$65</definedName>
    <definedName name="_con1">[2]Insumos!$E$631</definedName>
    <definedName name="_con2">[2]Insumos!$E$632</definedName>
    <definedName name="_coz100">[2]Insumos!$E$466</definedName>
    <definedName name="_coz50" localSheetId="4">[1]Insumos!$H$992</definedName>
    <definedName name="_coz50">[1]Insumos!$H$992</definedName>
    <definedName name="_coz75" localSheetId="4">[1]Insumos!$H$991</definedName>
    <definedName name="_coz75">[1]Insumos!$H$991</definedName>
    <definedName name="_cpe15" localSheetId="4">[1]Insumos!$H$571</definedName>
    <definedName name="_cpe15">[1]Insumos!$H$571</definedName>
    <definedName name="_cpe25" localSheetId="4">[1]Insumos!$H$572</definedName>
    <definedName name="_cpe25">[1]Insumos!$H$572</definedName>
    <definedName name="_cpe35" localSheetId="4">[1]Insumos!$H$573</definedName>
    <definedName name="_cpe35">[1]Insumos!$H$573</definedName>
    <definedName name="_cpj1" localSheetId="4">[1]Insumos!$H$52</definedName>
    <definedName name="_cpj1">[1]Insumos!$H$52</definedName>
    <definedName name="_cpl4" localSheetId="4">[1]Insumos!$H$1243</definedName>
    <definedName name="_cpl4">[1]Insumos!$H$1243</definedName>
    <definedName name="_cpl6" localSheetId="4">[1]Insumos!$H$759</definedName>
    <definedName name="_cpl6">[1]Insumos!$H$759</definedName>
    <definedName name="_cpz32">[4]Insumos!$C$33</definedName>
    <definedName name="_cpz32_1">NA()</definedName>
    <definedName name="_cpz32_5">NA()</definedName>
    <definedName name="_cpz32_6">NA()</definedName>
    <definedName name="_crj45">[2]Insumos!$E$332</definedName>
    <definedName name="_csb16" localSheetId="4">[1]Insumos!$H$727</definedName>
    <definedName name="_csb16">[1]Insumos!$H$727</definedName>
    <definedName name="_csb25" localSheetId="4">[1]Insumos!$H$728</definedName>
    <definedName name="_csb25">[1]Insumos!$H$728</definedName>
    <definedName name="_csb35" localSheetId="4">[1]Insumos!$H$729</definedName>
    <definedName name="_csb35">[1]Insumos!$H$729</definedName>
    <definedName name="_ctf6">[2]Insumos!$E$47</definedName>
    <definedName name="_ctl10" localSheetId="4">[1]Insumos!$H$575</definedName>
    <definedName name="_ctl10">[1]Insumos!$H$575</definedName>
    <definedName name="_ctl6">[2]Insumos!$E$278</definedName>
    <definedName name="_cvd100" localSheetId="4">[1]Insumos!$H$1000</definedName>
    <definedName name="_cvd100">[1]Insumos!$H$1000</definedName>
    <definedName name="_cvd50" localSheetId="4">[1]Insumos!$H$1003</definedName>
    <definedName name="_cvd50">[1]Insumos!$H$1003</definedName>
    <definedName name="_cvd88" localSheetId="4">[1]Insumos!$H$1001</definedName>
    <definedName name="_cvd88">[1]Insumos!$H$1001</definedName>
    <definedName name="_cve90100">[2]Insumos!$E$446</definedName>
    <definedName name="_cve90150" localSheetId="4">[1]Insumos!$H$934</definedName>
    <definedName name="_cve90150">[1]Insumos!$H$934</definedName>
    <definedName name="_cve9040">[2]Insumos!$E$448</definedName>
    <definedName name="_cve9050">[2]Insumos!$E$447</definedName>
    <definedName name="_cve9075" localSheetId="4">[1]Insumos!$H$936</definedName>
    <definedName name="_cve9075">[1]Insumos!$H$936</definedName>
    <definedName name="_cvs2">[2]Insumos!$E$359</definedName>
    <definedName name="_cvs5">[2]Insumos!$E$360</definedName>
    <definedName name="_cxg40">[2]Insumos!$E$514</definedName>
    <definedName name="_cxg50" localSheetId="4">[1]Insumos!$H$1120</definedName>
    <definedName name="_cxg50">[1]Insumos!$H$1120</definedName>
    <definedName name="_cxg60" localSheetId="4">[1]Insumos!$H$1121</definedName>
    <definedName name="_cxg60">[1]Insumos!$H$1121</definedName>
    <definedName name="_cxi40">[2]Insumos!$E$513</definedName>
    <definedName name="_cxp30" localSheetId="4">[1]Insumos!$H$1115</definedName>
    <definedName name="_cxp30">[1]Insumos!$H$1115</definedName>
    <definedName name="_cxp40">[2]Insumos!$E$512</definedName>
    <definedName name="_cxp60" localSheetId="4">[1]Insumos!$H$1117</definedName>
    <definedName name="_cxp60">[1]Insumos!$H$1117</definedName>
    <definedName name="_cxs100100">[2]Insumos!$E$456</definedName>
    <definedName name="_daz3" localSheetId="4">[1]Insumos!$H$530</definedName>
    <definedName name="_daz3">[1]Insumos!$H$530</definedName>
    <definedName name="_dcr1" localSheetId="4">[1]Insumos!$H$529</definedName>
    <definedName name="_dcr1">[1]Insumos!$H$529</definedName>
    <definedName name="_dcr2" localSheetId="4">[1]Insumos!$H$528</definedName>
    <definedName name="_dcr2">[1]Insumos!$H$528</definedName>
    <definedName name="_dcr3" localSheetId="4">[1]Insumos!$H$527</definedName>
    <definedName name="_dcr3">[1]Insumos!$H$527</definedName>
    <definedName name="_dgc10">[2]Insumos!$E$107</definedName>
    <definedName name="_dgc7">[2]Insumos!$E$105</definedName>
    <definedName name="_dgc8">[2]Insumos!$E$106</definedName>
    <definedName name="_dgd1" localSheetId="4">[1]Insumos!$H$244</definedName>
    <definedName name="_dgd1">[1]Insumos!$H$244</definedName>
    <definedName name="_dge7">[2]Insumos!$E$108</definedName>
    <definedName name="_dge8" localSheetId="4">[1]Insumos!#REF!</definedName>
    <definedName name="_dge8">[1]Insumos!#REF!</definedName>
    <definedName name="_djm10">[2]Insumos!$E$343</definedName>
    <definedName name="_djm15">[2]Insumos!$E$342</definedName>
    <definedName name="_djm20">[2]Insumos!$E$341</definedName>
    <definedName name="_djm25">[2]Insumos!$E$340</definedName>
    <definedName name="_djm30">[2]Insumos!$E$339</definedName>
    <definedName name="_djt20" localSheetId="4">[1]Insumos!$H$663</definedName>
    <definedName name="_djt20">[1]Insumos!$H$663</definedName>
    <definedName name="_djt25" localSheetId="4">[1]Insumos!$H$662</definedName>
    <definedName name="_djt25">[1]Insumos!$H$662</definedName>
    <definedName name="_djt30" localSheetId="4">[1]Insumos!$H$661</definedName>
    <definedName name="_djt30">[1]Insumos!$H$661</definedName>
    <definedName name="_djt35" localSheetId="4">[1]Insumos!$H$660</definedName>
    <definedName name="_djt35">[1]Insumos!$H$660</definedName>
    <definedName name="_djt40" localSheetId="4">[1]Insumos!$H$659</definedName>
    <definedName name="_djt40">[1]Insumos!$H$659</definedName>
    <definedName name="_djt50">[2]Insumos!$E$338</definedName>
    <definedName name="_djt60" localSheetId="4">[1]Insumos!$H$657</definedName>
    <definedName name="_djt60">[1]Insumos!$H$657</definedName>
    <definedName name="_djt70" localSheetId="4">[1]Insumos!$H$656</definedName>
    <definedName name="_djt70">[1]Insumos!$H$656</definedName>
    <definedName name="_drp25">[2]Insumos!$E$415</definedName>
    <definedName name="_dtp100">[2]Insumos!$E$467</definedName>
    <definedName name="_dtp125" localSheetId="4">[1]Insumos!$H$996</definedName>
    <definedName name="_dtp125">[1]Insumos!$H$996</definedName>
    <definedName name="_dtp150" localSheetId="4">[1]Insumos!$H$995</definedName>
    <definedName name="_dtp150">[1]Insumos!$H$995</definedName>
    <definedName name="_dtp50" localSheetId="4">[1]Insumos!$H$999</definedName>
    <definedName name="_dtp50">[1]Insumos!$H$999</definedName>
    <definedName name="_dtp88" localSheetId="4">[1]Insumos!$H$998</definedName>
    <definedName name="_dtp88">[1]Insumos!$H$998</definedName>
    <definedName name="_edd125" localSheetId="4">[1]Insumos!$H$1013</definedName>
    <definedName name="_edd125">[1]Insumos!$H$1013</definedName>
    <definedName name="_elf1" localSheetId="4">[1]Insumos!$H$699</definedName>
    <definedName name="_elf1">[1]Insumos!$H$699</definedName>
    <definedName name="_elr1" localSheetId="4">[1]Insumos!$H$703</definedName>
    <definedName name="_elr1">[1]Insumos!$H$703</definedName>
    <definedName name="_emc1" localSheetId="4">[1]Insumos!$H$1250</definedName>
    <definedName name="_emc1">[1]Insumos!$H$1250</definedName>
    <definedName name="_epc3040" localSheetId="4">[1]Insumos!$H$1048</definedName>
    <definedName name="_epc3040">[1]Insumos!$H$1048</definedName>
    <definedName name="_epc5070">[2]Insumos!$E$476</definedName>
    <definedName name="_epc8790" localSheetId="4">[1]Insumos!$H$1050</definedName>
    <definedName name="_epc8790">[1]Insumos!$H$1050</definedName>
    <definedName name="_epl10" localSheetId="4">[1]Insumos!$H$1322</definedName>
    <definedName name="_epl10">[1]Insumos!$H$1322</definedName>
    <definedName name="_epl2">[2]Insumos!$E$604</definedName>
    <definedName name="_epl3">[2]Insumos!$E$603</definedName>
    <definedName name="_epl5">[2]Insumos!$E$602</definedName>
    <definedName name="_esc1">[2]Insumos!$E$635</definedName>
    <definedName name="_esp1">[2]Insumos!$E$629</definedName>
    <definedName name="_esp2">[2]Insumos!$E$630</definedName>
    <definedName name="_fad5">[2]Insumos!$E$605</definedName>
    <definedName name="_faf1" localSheetId="4">[1]Insumos!$H$721</definedName>
    <definedName name="_faf1">[1]Insumos!$H$721</definedName>
    <definedName name="_fcm1" localSheetId="4">[1]Insumos!$H$290</definedName>
    <definedName name="_fcm1">[1]Insumos!$H$290</definedName>
    <definedName name="_fcm2" localSheetId="4">[1]Insumos!$H$292</definedName>
    <definedName name="_fcm2">[1]Insumos!$H$292</definedName>
    <definedName name="_fcm3" localSheetId="4">[1]Insumos!$H$287</definedName>
    <definedName name="_fcm3">[1]Insumos!$H$287</definedName>
    <definedName name="_fcm4" localSheetId="4">[1]Insumos!$H$294</definedName>
    <definedName name="_fcm4">[1]Insumos!$H$294</definedName>
    <definedName name="_fcm5" localSheetId="4">[1]Insumos!$H$289</definedName>
    <definedName name="_fcm5">[1]Insumos!$H$289</definedName>
    <definedName name="_fcm6" localSheetId="4">[1]Insumos!$H$293</definedName>
    <definedName name="_fcm6">[1]Insumos!$H$293</definedName>
    <definedName name="_fcm7" localSheetId="4">[1]Insumos!$H$288</definedName>
    <definedName name="_fcm7">[1]Insumos!$H$288</definedName>
    <definedName name="_fcn4" localSheetId="4">[1]Insumos!$H$679</definedName>
    <definedName name="_fcn4">[1]Insumos!$H$679</definedName>
    <definedName name="_fcn6" localSheetId="4">[1]Insumos!$H$680</definedName>
    <definedName name="_fcn6">[1]Insumos!$H$680</definedName>
    <definedName name="_fec1" localSheetId="4">[1]Insumos!$H$521</definedName>
    <definedName name="_fec1">[1]Insumos!$H$521</definedName>
    <definedName name="_fic1">[2]Insumos!$E$250</definedName>
    <definedName name="_fic2" localSheetId="4">[3]Insumos!$F$522</definedName>
    <definedName name="_fic2">[3]Insumos!$F$522</definedName>
    <definedName name="_fil1">[2]Insumos!$E$575</definedName>
    <definedName name="_fil2">[2]Insumos!$E$578</definedName>
    <definedName name="_fil3" localSheetId="4">[1]Insumos!$H$1238</definedName>
    <definedName name="_fil3">[1]Insumos!$H$1238</definedName>
    <definedName name="_xlnm._FilterDatabase" localSheetId="6" hidden="1">'COMPOSIÇÃO DE CUSTOS'!$A$1:$G$5</definedName>
    <definedName name="_fio10">[2]Insumos!$E$348</definedName>
    <definedName name="_fio12">[2]Insumos!$E$347</definedName>
    <definedName name="_fio14" localSheetId="4">[1]Insumos!$H$687</definedName>
    <definedName name="_fio14">[1]Insumos!$H$687</definedName>
    <definedName name="_fio8">[2]Insumos!$E$349</definedName>
    <definedName name="_fip1">[2]Insumos!$E$251</definedName>
    <definedName name="_fis10">[2]Insumos!$E$365</definedName>
    <definedName name="_fis5">[2]Insumos!$E$364</definedName>
    <definedName name="_flp20" localSheetId="4">[1]Insumos!$H$881</definedName>
    <definedName name="_flp20">[1]Insumos!$H$881</definedName>
    <definedName name="_flp25" localSheetId="4">[1]Insumos!$H$882</definedName>
    <definedName name="_flp25">[1]Insumos!$H$882</definedName>
    <definedName name="_flp32">[2]Insumos!$E$437</definedName>
    <definedName name="_flp40">[2]Insumos!$E$438</definedName>
    <definedName name="_flp50" localSheetId="4">[1]Insumos!$H$885</definedName>
    <definedName name="_flp50">[1]Insumos!$H$885</definedName>
    <definedName name="_flp60" localSheetId="4">[1]Insumos!$H$886</definedName>
    <definedName name="_flp60">[1]Insumos!$H$886</definedName>
    <definedName name="_for1">[2]Insumos!$E$154</definedName>
    <definedName name="_for10" localSheetId="4">[1]Insumos!$H$323</definedName>
    <definedName name="_for10">[1]Insumos!$H$323</definedName>
    <definedName name="_for2">[2]Insumos!$E$155</definedName>
    <definedName name="_for3">[2]Insumos!$E$156</definedName>
    <definedName name="_for4">[2]Insumos!$E$157</definedName>
    <definedName name="_for5">[2]Insumos!$E$158</definedName>
    <definedName name="_for6">[2]Insumos!$E$159</definedName>
    <definedName name="_for7">[2]Insumos!$E$160</definedName>
    <definedName name="_for8" localSheetId="4">[1]Insumos!$H$321</definedName>
    <definedName name="_for8">[1]Insumos!$H$321</definedName>
    <definedName name="_for9" localSheetId="4">[1]Insumos!$H$322</definedName>
    <definedName name="_for9">[1]Insumos!$H$322</definedName>
    <definedName name="_fpd12">[2]Insumos!$E$346</definedName>
    <definedName name="_fpd14" localSheetId="4">[1]Insumos!$H$685</definedName>
    <definedName name="_fpd14">[1]Insumos!$H$685</definedName>
    <definedName name="_frp1" localSheetId="4">[1]Insumos!$H$263</definedName>
    <definedName name="_frp1">[1]Insumos!$H$263</definedName>
    <definedName name="_fvr10">[2]Insumos!$E$429</definedName>
    <definedName name="_fvr50">[2]Insumos!$E$430</definedName>
    <definedName name="_gas1" localSheetId="4">[1]Insumos!$H$1234</definedName>
    <definedName name="_gas1">[1]Insumos!$H$1234</definedName>
    <definedName name="_gas2" localSheetId="4">[1]Insumos!$H$1235</definedName>
    <definedName name="_gas2">[1]Insumos!$H$1235</definedName>
    <definedName name="_gfp88" localSheetId="4">[1]Insumos!$H$1021</definedName>
    <definedName name="_gfp88">[1]Insumos!$H$1021</definedName>
    <definedName name="_gl3_" localSheetId="4">[1]Insumos!$H$199</definedName>
    <definedName name="_gl3_">[1]Insumos!$H$199</definedName>
    <definedName name="_grm160">[2]Insumos!$E$183</definedName>
    <definedName name="_hab1">[2]Insumos!$E$715</definedName>
    <definedName name="_hab2">[2]Insumos!$E$718</definedName>
    <definedName name="_hab3" localSheetId="4">[1]Insumos!$H$1458</definedName>
    <definedName name="_hab3">[1]Insumos!$H$1458</definedName>
    <definedName name="_hmd125" localSheetId="4">[1]Insumos!$H$1016</definedName>
    <definedName name="_hmd125">[1]Insumos!$H$1016</definedName>
    <definedName name="_imp1">[2]Insumos!$E$550</definedName>
    <definedName name="_imp2" localSheetId="4">[1]Insumos!$H$1196</definedName>
    <definedName name="_imp2">[1]Insumos!$H$1196</definedName>
    <definedName name="_imp3" localSheetId="4">[1]Insumos!$H$1194</definedName>
    <definedName name="_imp3">[1]Insumos!$H$1194</definedName>
    <definedName name="_itt1">[2]Insumos!$E$311</definedName>
    <definedName name="_itu1">[2]Insumos!$E$304</definedName>
    <definedName name="_itu2">[2]Insumos!$E$306</definedName>
    <definedName name="_itu3">[2]Insumos!$E$307</definedName>
    <definedName name="_jcd88" localSheetId="4">[1]Insumos!$H$1008</definedName>
    <definedName name="_jcd88">[1]Insumos!$H$1008</definedName>
    <definedName name="_jce100" localSheetId="4">[1]Insumos!$H$958</definedName>
    <definedName name="_jce100">[1]Insumos!$H$958</definedName>
    <definedName name="_jce150" localSheetId="4">[1]Insumos!$H$957</definedName>
    <definedName name="_jce150">[1]Insumos!$H$957</definedName>
    <definedName name="_jce40" localSheetId="4">[1]Insumos!$H$961</definedName>
    <definedName name="_jce40">[1]Insumos!$H$961</definedName>
    <definedName name="_jce50" localSheetId="4">[1]Insumos!$H$960</definedName>
    <definedName name="_jce50">[1]Insumos!$H$960</definedName>
    <definedName name="_jce75" localSheetId="4">[1]Insumos!$H$959</definedName>
    <definedName name="_jce75">[1]Insumos!$H$959</definedName>
    <definedName name="_jdp25">[2]Insumos!$E$416</definedName>
    <definedName name="_jla20">[2]Insumos!$E$403</definedName>
    <definedName name="_jla25" localSheetId="4">[1]Insumos!$H$799</definedName>
    <definedName name="_jla25">[1]Insumos!$H$799</definedName>
    <definedName name="_jla32" localSheetId="4">[1]Insumos!$H$800</definedName>
    <definedName name="_jla32">[1]Insumos!$H$800</definedName>
    <definedName name="_jla40" localSheetId="4">[1]Insumos!$H$801</definedName>
    <definedName name="_jla40">[1]Insumos!$H$801</definedName>
    <definedName name="_jla50" localSheetId="4">[1]Insumos!$H$802</definedName>
    <definedName name="_jla50">[1]Insumos!$H$802</definedName>
    <definedName name="_jve45100" localSheetId="4">[1]Insumos!$H$945</definedName>
    <definedName name="_jve45100">[1]Insumos!$H$945</definedName>
    <definedName name="_jve45150" localSheetId="4">[1]Insumos!$H$944</definedName>
    <definedName name="_jve45150">[1]Insumos!$H$944</definedName>
    <definedName name="_jve4540" localSheetId="4">[1]Insumos!$H$948</definedName>
    <definedName name="_jve4540">[1]Insumos!$H$948</definedName>
    <definedName name="_jve4550" localSheetId="4">[1]Insumos!$H$947</definedName>
    <definedName name="_jve4550">[1]Insumos!$H$947</definedName>
    <definedName name="_jve4575" localSheetId="4">[1]Insumos!$H$946</definedName>
    <definedName name="_jve4575">[1]Insumos!$H$946</definedName>
    <definedName name="_jve90100" localSheetId="4">[1]Insumos!$H$940</definedName>
    <definedName name="_jve90100">[1]Insumos!$H$940</definedName>
    <definedName name="_jve90150" localSheetId="4">[1]Insumos!$H$939</definedName>
    <definedName name="_jve90150">[1]Insumos!$H$939</definedName>
    <definedName name="_jve9040" localSheetId="4">[1]Insumos!$H$943</definedName>
    <definedName name="_jve9040">[1]Insumos!$H$943</definedName>
    <definedName name="_jve9050" localSheetId="4">[1]Insumos!$H$942</definedName>
    <definedName name="_jve9050">[1]Insumos!$H$942</definedName>
    <definedName name="_jve9075" localSheetId="4">[1]Insumos!$H$941</definedName>
    <definedName name="_jve9075">[1]Insumos!$H$941</definedName>
    <definedName name="_lai15">[2]Insumos!$E$68</definedName>
    <definedName name="_lai20">[2]Insumos!$E$67</definedName>
    <definedName name="_ldr10">[2]Insumos!$E$698</definedName>
    <definedName name="_lfl20" localSheetId="4">[1]Insumos!$H$594</definedName>
    <definedName name="_lfl20">[1]Insumos!$H$594</definedName>
    <definedName name="_lfl40">[2]Insumos!$E$292</definedName>
    <definedName name="_lnm1" localSheetId="4">[1]Insumos!$H$298</definedName>
    <definedName name="_lnm1">[1]Insumos!$H$298</definedName>
    <definedName name="_lpf250">[2]Insumos!$E$287</definedName>
    <definedName name="_lpi100">[2]Insumos!$E$283</definedName>
    <definedName name="_lpi60" localSheetId="4">[3]Insumos!$F$578</definedName>
    <definedName name="_lpi60">[3]Insumos!$F$578</definedName>
    <definedName name="_lpl15">[2]Insumos!$E$291</definedName>
    <definedName name="_lpl18">[2]Insumos!$E$290</definedName>
    <definedName name="_lpl20" localSheetId="4">[1]Insumos!$H$587</definedName>
    <definedName name="_lpl20">[1]Insumos!$H$587</definedName>
    <definedName name="_lpl45" localSheetId="4">[1]Insumos!$H$586</definedName>
    <definedName name="_lpl45">[1]Insumos!$H$586</definedName>
    <definedName name="_lrc250" localSheetId="4">[1]Insumos!$H$602</definedName>
    <definedName name="_lrc250">[1]Insumos!$H$602</definedName>
    <definedName name="_lvg12050">[2]Insumos!$E$497</definedName>
    <definedName name="_lvg15050">[2]Insumos!$E$498</definedName>
    <definedName name="_lxa1" localSheetId="4">[1]Insumos!$H$1182</definedName>
    <definedName name="_lxa1">[1]Insumos!$H$1182</definedName>
    <definedName name="_lxf40" localSheetId="4">[1]Insumos!$H$1319</definedName>
    <definedName name="_lxf40">[1]Insumos!$H$1319</definedName>
    <definedName name="_lxg14" localSheetId="4">[1]Insumos!$H$1317</definedName>
    <definedName name="_lxg14">[1]Insumos!$H$1317</definedName>
    <definedName name="_lxg28" localSheetId="4">[1]Insumos!$H$1318</definedName>
    <definedName name="_lxg28">[1]Insumos!$H$1318</definedName>
    <definedName name="_mad1" localSheetId="4">[1]Insumos!$H$296</definedName>
    <definedName name="_mad1">[1]Insumos!$H$296</definedName>
    <definedName name="_mad2" localSheetId="4">[1]Insumos!$H$297</definedName>
    <definedName name="_mad2">[1]Insumos!$H$297</definedName>
    <definedName name="_man100">[2]Insumos!$E$515</definedName>
    <definedName name="_man120" localSheetId="4">[1]Insumos!$H$1127</definedName>
    <definedName name="_man120">[1]Insumos!$H$1127</definedName>
    <definedName name="_man60" localSheetId="4">[1]Insumos!$H$1123</definedName>
    <definedName name="_man60">[1]Insumos!$H$1123</definedName>
    <definedName name="_man80" localSheetId="4">[1]Insumos!$H$1124</definedName>
    <definedName name="_man80">[1]Insumos!$H$1124</definedName>
    <definedName name="_man90" localSheetId="4">[1]Insumos!$H$1125</definedName>
    <definedName name="_man90">[1]Insumos!$H$1125</definedName>
    <definedName name="_mch50" localSheetId="4">[1]Insumos!$H$905</definedName>
    <definedName name="_mch50">[1]Insumos!$H$905</definedName>
    <definedName name="_mfi1">[2]Insumos!$E$517</definedName>
    <definedName name="_mfi2">[2]Insumos!$E$518</definedName>
    <definedName name="_mfi3" localSheetId="4">[1]Insumos!$H$1132</definedName>
    <definedName name="_mfi3">[1]Insumos!$H$1132</definedName>
    <definedName name="_mfi4" localSheetId="4">[1]Insumos!$H$1134</definedName>
    <definedName name="_mfi4">[1]Insumos!$H$1134</definedName>
    <definedName name="_mfi5" localSheetId="4">[1]Insumos!$H$1133</definedName>
    <definedName name="_mfi5">[1]Insumos!$H$1133</definedName>
    <definedName name="_mob1">[2]Insumos!$E$695</definedName>
    <definedName name="_mob2">[2]Insumos!$E$696</definedName>
    <definedName name="_mon1" localSheetId="4">[1]Insumos!$H$29</definedName>
    <definedName name="_mon1">[1]Insumos!$H$29</definedName>
    <definedName name="_mot140" localSheetId="4">[1]Insumos!$H$1434</definedName>
    <definedName name="_mot140">[1]Insumos!$H$1434</definedName>
    <definedName name="_mot173" localSheetId="4">[1]Insumos!$H$1242</definedName>
    <definedName name="_mot173">[1]Insumos!$H$1242</definedName>
    <definedName name="_mrc1" localSheetId="4">[1]Insumos!$H$327</definedName>
    <definedName name="_mrc1">[1]Insumos!$H$327</definedName>
    <definedName name="_mrc2" localSheetId="4">[1]Insumos!$H$328</definedName>
    <definedName name="_mrc2">[1]Insumos!$H$328</definedName>
    <definedName name="_mud1" localSheetId="4">[1]Insumos!$H$1223</definedName>
    <definedName name="_mud1">[1]Insumos!$H$1223</definedName>
    <definedName name="_mud2" localSheetId="4">[1]Insumos!$H$1224</definedName>
    <definedName name="_mud2">[1]Insumos!$H$1224</definedName>
    <definedName name="_mud3" localSheetId="4">[1]Insumos!$H$1225</definedName>
    <definedName name="_mud3">[1]Insumos!$H$1225</definedName>
    <definedName name="_mud4" localSheetId="4">[1]Insumos!$H$1219</definedName>
    <definedName name="_mud4">[1]Insumos!$H$1219</definedName>
    <definedName name="_mud5" localSheetId="4">[1]Insumos!$H$1218</definedName>
    <definedName name="_mud5">[1]Insumos!$H$1218</definedName>
    <definedName name="_mud6" localSheetId="4">[1]Insumos!$H$1222</definedName>
    <definedName name="_mud6">[1]Insumos!$H$1222</definedName>
    <definedName name="_mud7" localSheetId="4">[1]Insumos!$H$1221</definedName>
    <definedName name="_mud7">[1]Insumos!$H$1221</definedName>
    <definedName name="_nfg40" localSheetId="4">[1]Insumos!$H$125</definedName>
    <definedName name="_nfg40">[1]Insumos!$H$125</definedName>
    <definedName name="_ope1">[2]Insumos!$E$13</definedName>
    <definedName name="_ope2">[2]Insumos!$E$14</definedName>
    <definedName name="_ope3">[2]Insumos!$E$15</definedName>
    <definedName name="_ope4" localSheetId="4">[1]Insumos!$H$24</definedName>
    <definedName name="_ope4">[1]Insumos!$H$24</definedName>
    <definedName name="_ope5" localSheetId="4">[1]Insumos!$H$25</definedName>
    <definedName name="_ope5">[1]Insumos!$H$25</definedName>
    <definedName name="_ope6" localSheetId="4">[1]Insumos!$H$26</definedName>
    <definedName name="_ope6">[1]Insumos!$H$26</definedName>
    <definedName name="_ope7" localSheetId="4">[1]Insumos!$H$27</definedName>
    <definedName name="_ope7">[1]Insumos!$H$27</definedName>
    <definedName name="_oqx1" localSheetId="4">[1]Insumos!$H$1186</definedName>
    <definedName name="_oqx1">[1]Insumos!$H$1186</definedName>
    <definedName name="_Order1">255</definedName>
    <definedName name="_pae12" localSheetId="4">[1]Insumos!$H$1254</definedName>
    <definedName name="_pae12">[1]Insumos!$H$1254</definedName>
    <definedName name="_pbv40">[4]Insumos!$C$59</definedName>
    <definedName name="_pbv40_1">NA()</definedName>
    <definedName name="_pbv40_5">NA()</definedName>
    <definedName name="_pbv40_6">NA()</definedName>
    <definedName name="_pcg12050" localSheetId="4">[1]Insumos!$H$1090</definedName>
    <definedName name="_pcg12050">[1]Insumos!$H$1090</definedName>
    <definedName name="_pcg15050">[2]Insumos!$E$499</definedName>
    <definedName name="_pci12060" localSheetId="4">[1]Insumos!$H$1100</definedName>
    <definedName name="_pci12060">[1]Insumos!$H$1100</definedName>
    <definedName name="_pci15050">[2]Insumos!$E$500</definedName>
    <definedName name="_pci15060" localSheetId="4">[1]Insumos!$H$1099</definedName>
    <definedName name="_pci15060">[1]Insumos!$H$1099</definedName>
    <definedName name="_pci16060" localSheetId="4">[1]Insumos!$H$1097</definedName>
    <definedName name="_pci16060">[1]Insumos!$H$1097</definedName>
    <definedName name="_pci18060" localSheetId="4">[1]Insumos!$H$1096</definedName>
    <definedName name="_pci18060">[1]Insumos!$H$1096</definedName>
    <definedName name="_pci20060" localSheetId="4">[1]Insumos!$H$1095</definedName>
    <definedName name="_pci20060">[1]Insumos!$H$1095</definedName>
    <definedName name="_pci24555" localSheetId="4">[1]Insumos!$H$1092</definedName>
    <definedName name="_pci24555">[1]Insumos!$H$1092</definedName>
    <definedName name="_pci25050" localSheetId="4">[1]Insumos!$H$1093</definedName>
    <definedName name="_pci25050">[1]Insumos!$H$1093</definedName>
    <definedName name="_pci25060" localSheetId="4">[1]Insumos!$H$1094</definedName>
    <definedName name="_pci25060">[1]Insumos!$H$1094</definedName>
    <definedName name="_pci32060" localSheetId="4">[1]Insumos!$H$1091</definedName>
    <definedName name="_pci32060">[1]Insumos!$H$1091</definedName>
    <definedName name="_pct3" localSheetId="4">[1]Insumos!$H$902</definedName>
    <definedName name="_pct3">[1]Insumos!$H$902</definedName>
    <definedName name="_pes1">[2]Insumos!$E$644</definedName>
    <definedName name="_pes2">[2]Insumos!$E$645</definedName>
    <definedName name="_pes3">[2]Insumos!$E$646</definedName>
    <definedName name="_pes4">[2]Insumos!$E$647</definedName>
    <definedName name="_pes5">[2]Insumos!$E$648</definedName>
    <definedName name="_pfa25" localSheetId="4">[1]Insumos!$H$343</definedName>
    <definedName name="_pfa25">[1]Insumos!$H$343</definedName>
    <definedName name="_pfa50" localSheetId="4">[1]Insumos!$H$344</definedName>
    <definedName name="_pfa50">[1]Insumos!$H$344</definedName>
    <definedName name="_pfa75" localSheetId="4">[1]Insumos!$H$345</definedName>
    <definedName name="_pfa75">[1]Insumos!$H$345</definedName>
    <definedName name="_pfb30">[2]Insumos!$E$165</definedName>
    <definedName name="_pfb50">[2]Insumos!$E$166</definedName>
    <definedName name="_pfb65" localSheetId="4">[1]Insumos!$H$338</definedName>
    <definedName name="_pfb65">[1]Insumos!$H$338</definedName>
    <definedName name="_pfb8">[2]Insumos!$E$164</definedName>
    <definedName name="_pfc80">[2]Insumos!$E$167</definedName>
    <definedName name="_pgr1" localSheetId="4">[1]Insumos!$H$537</definedName>
    <definedName name="_pgr1">[1]Insumos!$H$537</definedName>
    <definedName name="_pgr18">[2]Insumos!$E$256</definedName>
    <definedName name="_pgr43">[2]Insumos!$E$257</definedName>
    <definedName name="_pgt260" localSheetId="4">[1]Insumos!$H$403</definedName>
    <definedName name="_pgt260">[1]Insumos!$H$403</definedName>
    <definedName name="_pgt320" localSheetId="4">[1]Insumos!$H$404</definedName>
    <definedName name="_pgt320">[1]Insumos!$H$404</definedName>
    <definedName name="_pje1">[2]Insumos!$E$683</definedName>
    <definedName name="_pje2">[2]Insumos!$E$684</definedName>
    <definedName name="_plc1" localSheetId="4">[1]Insumos!$H$286</definedName>
    <definedName name="_plc1">[1]Insumos!$H$286</definedName>
    <definedName name="_plc2" localSheetId="4">[3]Insumos!$F$288</definedName>
    <definedName name="_plc2">[3]Insumos!$F$288</definedName>
    <definedName name="_ple15">[2]Insumos!$E$301</definedName>
    <definedName name="_ple18">[2]Insumos!$E$300</definedName>
    <definedName name="_plg3">[2]Insumos!$E$501</definedName>
    <definedName name="_pmt1">[2]Insumos!$E$176</definedName>
    <definedName name="_pmt2">[2]Insumos!$E$177</definedName>
    <definedName name="_pne1">[2]Insumos!$E$577</definedName>
    <definedName name="_pne2">[2]Insumos!$E$579</definedName>
    <definedName name="_pne3" localSheetId="4">[1]Insumos!$H$1241</definedName>
    <definedName name="_pne3">[1]Insumos!$H$1241</definedName>
    <definedName name="_ppa24" localSheetId="4">[1]Insumos!$H$763</definedName>
    <definedName name="_ppa24">[1]Insumos!$H$763</definedName>
    <definedName name="_ppt1" localSheetId="4">[1]Insumos!$H$209</definedName>
    <definedName name="_ppt1">[1]Insumos!$H$209</definedName>
    <definedName name="_pqs4" localSheetId="4">[1]Insumos!$H$1031</definedName>
    <definedName name="_pqs4">[1]Insumos!$H$1031</definedName>
    <definedName name="_pqs6" localSheetId="4">[1]Insumos!$H$1032</definedName>
    <definedName name="_pqs6">[1]Insumos!$H$1032</definedName>
    <definedName name="_prg1" localSheetId="4">[1]Insumos!$H$351</definedName>
    <definedName name="_prg1">[1]Insumos!$H$351</definedName>
    <definedName name="_prg2" localSheetId="4">[1]Insumos!$H$352</definedName>
    <definedName name="_prg2">[1]Insumos!$H$352</definedName>
    <definedName name="_prg3" localSheetId="4">[1]Insumos!$H$353</definedName>
    <definedName name="_prg3">[1]Insumos!$H$353</definedName>
    <definedName name="_prg4" localSheetId="4">[1]Insumos!$H$354</definedName>
    <definedName name="_prg4">[1]Insumos!$H$354</definedName>
    <definedName name="_prl250">[2]Insumos!$E$285</definedName>
    <definedName name="_ptm6">[2]Insumos!$E$267</definedName>
    <definedName name="_pvo1" localSheetId="4">[1]Insumos!$H$1258</definedName>
    <definedName name="_pvo1">[1]Insumos!$H$1258</definedName>
    <definedName name="_qd12">[2]Insumos!$E$275</definedName>
    <definedName name="_qd18">[2]Insumos!$E$274</definedName>
    <definedName name="_qd6">[2]Insumos!$E$276</definedName>
    <definedName name="_qdb12">[2]Insumos!$E$273</definedName>
    <definedName name="_qdb18">[2]Insumos!$E$272</definedName>
    <definedName name="_qdb24">[2]Insumos!$E$271</definedName>
    <definedName name="_qdb32">[2]Insumos!$E$270</definedName>
    <definedName name="_qdt40" localSheetId="4">[1]Insumos!$H$569</definedName>
    <definedName name="_qdt40">[1]Insumos!$H$569</definedName>
    <definedName name="_qdt50" localSheetId="4">[3]Insumos!$F$567</definedName>
    <definedName name="_qdt50">[3]Insumos!$F$567</definedName>
    <definedName name="_qdt60" localSheetId="4">[1]Insumos!$H$570</definedName>
    <definedName name="_qdt60">[1]Insumos!$H$570</definedName>
    <definedName name="_rac12" localSheetId="4">[1]Insumos!$H$766</definedName>
    <definedName name="_rac12">[1]Insumos!$H$766</definedName>
    <definedName name="_rac24" localSheetId="4">[1]Insumos!$H$767</definedName>
    <definedName name="_rac24">[1]Insumos!$H$767</definedName>
    <definedName name="_rea1" localSheetId="4">[1]Insumos!$H$582</definedName>
    <definedName name="_rea1">[1]Insumos!$H$582</definedName>
    <definedName name="_rem1">[2]Insumos!$E$616</definedName>
    <definedName name="_rem2">[2]Insumos!$E$617</definedName>
    <definedName name="_res10">[2]Insumos!$E$383</definedName>
    <definedName name="_res15">[2]Insumos!$E$384</definedName>
    <definedName name="_res2" localSheetId="4">[1]Insumos!$H$772</definedName>
    <definedName name="_res2">[1]Insumos!$H$772</definedName>
    <definedName name="_res5">[2]Insumos!$E$382</definedName>
    <definedName name="_rfc1000">[2]Insumos!$E$435</definedName>
    <definedName name="_rfc500">[2]Insumos!$E$434</definedName>
    <definedName name="_rfv1000" localSheetId="4">[1]Insumos!$H$879</definedName>
    <definedName name="_rfv1000">[1]Insumos!$H$879</definedName>
    <definedName name="_rfv310" localSheetId="4">[1]Insumos!$H$877</definedName>
    <definedName name="_rfv310">[1]Insumos!$H$877</definedName>
    <definedName name="_rfv500" localSheetId="4">[1]Insumos!$H$878</definedName>
    <definedName name="_rfv500">[1]Insumos!$H$878</definedName>
    <definedName name="_rfz25" localSheetId="4">[1]Insumos!$H$993</definedName>
    <definedName name="_rfz25">[1]Insumos!$H$993</definedName>
    <definedName name="_rfz30" localSheetId="4">[1]Insumos!$H$994</definedName>
    <definedName name="_rfz30">[1]Insumos!$H$994</definedName>
    <definedName name="_rgc1">[2]Insumos!$E$422</definedName>
    <definedName name="_rgc2" localSheetId="4">[1]Insumos!$H$852</definedName>
    <definedName name="_rgc2">[1]Insumos!$H$852</definedName>
    <definedName name="_rlc100">[2]Insumos!$E$468</definedName>
    <definedName name="_rls100100">[2]Insumos!$E$455</definedName>
    <definedName name="_sal250" localSheetId="4">[1]Insumos!$H$1473</definedName>
    <definedName name="_sal250">[1]Insumos!$H$1473</definedName>
    <definedName name="_sde4" localSheetId="4">[1]Insumos!$H$732</definedName>
    <definedName name="_sde4">[1]Insumos!$H$732</definedName>
    <definedName name="_sde50" localSheetId="4">[1]Insumos!$H$731</definedName>
    <definedName name="_sde50">[1]Insumos!$H$731</definedName>
    <definedName name="_sfg48" localSheetId="4">[1]Insumos!$H$765</definedName>
    <definedName name="_sfg48">[1]Insumos!$H$765</definedName>
    <definedName name="_smd125" localSheetId="4">[1]Insumos!$H$1017</definedName>
    <definedName name="_smd125">[1]Insumos!$H$1017</definedName>
    <definedName name="_son1">[2]Insumos!$E$700</definedName>
    <definedName name="_son2">[2]Insumos!$E$701</definedName>
    <definedName name="_spd125" localSheetId="4">[1]Insumos!$H$1018</definedName>
    <definedName name="_spd125">[1]Insumos!$H$1018</definedName>
    <definedName name="_spl12">[2]Insumos!$E$371</definedName>
    <definedName name="_spl15">[2]Insumos!$E$372</definedName>
    <definedName name="_spl18">[2]Insumos!$E$373</definedName>
    <definedName name="_spl24" localSheetId="4">[1]Insumos!$H$741</definedName>
    <definedName name="_spl24">[1]Insumos!$H$741</definedName>
    <definedName name="_spl9" localSheetId="4">[1]Insumos!$H$737</definedName>
    <definedName name="_spl9">[1]Insumos!$H$737</definedName>
    <definedName name="_spt12">[2]Insumos!$E$597</definedName>
    <definedName name="_tac10" localSheetId="4">[1]Insumos!$H$648</definedName>
    <definedName name="_tac10">[1]Insumos!$H$648</definedName>
    <definedName name="_tac15" localSheetId="4">[1]Insumos!$H$649</definedName>
    <definedName name="_tac15">[1]Insumos!$H$649</definedName>
    <definedName name="_tac20" localSheetId="4">[1]Insumos!$H$650</definedName>
    <definedName name="_tac20">[1]Insumos!$H$650</definedName>
    <definedName name="_tac25" localSheetId="4">[1]Insumos!$H$651</definedName>
    <definedName name="_tac25">[1]Insumos!$H$651</definedName>
    <definedName name="_tai1" localSheetId="4">[1]Insumos!$H$122</definedName>
    <definedName name="_tai1">[1]Insumos!$H$122</definedName>
    <definedName name="_tap1">[2]Insumos!$E$136</definedName>
    <definedName name="_tap100">[2]Insumos!$E$453</definedName>
    <definedName name="_tap2">[2]Insumos!$E$137</definedName>
    <definedName name="_tap3">[2]Insumos!$E$138</definedName>
    <definedName name="_tba20">[2]Insumos!$E$397</definedName>
    <definedName name="_tba25">[2]Insumos!$E$398</definedName>
    <definedName name="_tba32">[2]Insumos!$E$399</definedName>
    <definedName name="_tba40">[2]Insumos!$E$400</definedName>
    <definedName name="_tba50">[2]Insumos!$E$401</definedName>
    <definedName name="_tba60" localSheetId="4">[1]Insumos!$H$793</definedName>
    <definedName name="_tba60">[1]Insumos!$H$793</definedName>
    <definedName name="_tbe100">[2]Insumos!$E$443</definedName>
    <definedName name="_tbe150" localSheetId="4">[1]Insumos!$H$929</definedName>
    <definedName name="_tbe150">[1]Insumos!$H$929</definedName>
    <definedName name="_tbe40">[2]Insumos!$E$445</definedName>
    <definedName name="_tbe50">[2]Insumos!$E$444</definedName>
    <definedName name="_tbe75" localSheetId="4">[1]Insumos!$H$931</definedName>
    <definedName name="_tbe75">[1]Insumos!$H$931</definedName>
    <definedName name="_tbv1" localSheetId="4">[1]Insumos!$H$278</definedName>
    <definedName name="_tbv1">[1]Insumos!$H$278</definedName>
    <definedName name="_tbv2" localSheetId="4">[1]Insumos!$H$275</definedName>
    <definedName name="_tbv2">[1]Insumos!$H$275</definedName>
    <definedName name="_tbv3" localSheetId="4">[1]Insumos!$H$277</definedName>
    <definedName name="_tbv3">[1]Insumos!$H$277</definedName>
    <definedName name="_tbv4" localSheetId="4">[1]Insumos!$H$280</definedName>
    <definedName name="_tbv4">[1]Insumos!$H$280</definedName>
    <definedName name="_tbv5" localSheetId="4">[1]Insumos!$H$279</definedName>
    <definedName name="_tbv5">[1]Insumos!$H$279</definedName>
    <definedName name="_tca1">[2]Insumos!$E$38</definedName>
    <definedName name="_tcc50" localSheetId="4">[1]Insumos!$H$730</definedName>
    <definedName name="_tcc50">[1]Insumos!$H$730</definedName>
    <definedName name="_tdp25">[2]Insumos!$E$417</definedName>
    <definedName name="_tea20">[2]Insumos!$E$405</definedName>
    <definedName name="_tea25" localSheetId="4">[1]Insumos!$H$806</definedName>
    <definedName name="_tea25">[1]Insumos!$H$806</definedName>
    <definedName name="_tea32" localSheetId="4">[1]Insumos!$H$807</definedName>
    <definedName name="_tea32">[1]Insumos!$H$807</definedName>
    <definedName name="_tea40" localSheetId="4">[1]Insumos!$H$808</definedName>
    <definedName name="_tea40">[1]Insumos!$H$808</definedName>
    <definedName name="_tea50" localSheetId="4">[1]Insumos!$H$809</definedName>
    <definedName name="_tea50">[1]Insumos!$H$809</definedName>
    <definedName name="_ted100" localSheetId="4">[1]Insumos!$H$1004</definedName>
    <definedName name="_ted100">[1]Insumos!$H$1004</definedName>
    <definedName name="_ted50" localSheetId="4">[1]Insumos!$H$1006</definedName>
    <definedName name="_ted50">[1]Insumos!$H$1006</definedName>
    <definedName name="_ted88" localSheetId="4">[1]Insumos!$H$1005</definedName>
    <definedName name="_ted88">[1]Insumos!$H$1005</definedName>
    <definedName name="_tee100">[2]Insumos!$E$449</definedName>
    <definedName name="_tee150" localSheetId="4">[1]Insumos!$H$949</definedName>
    <definedName name="_tee150">[1]Insumos!$H$949</definedName>
    <definedName name="_tee40">[2]Insumos!$E$452</definedName>
    <definedName name="_tee50">[2]Insumos!$E$450</definedName>
    <definedName name="_tee75" localSheetId="4">[1]Insumos!$H$951</definedName>
    <definedName name="_tee75">[1]Insumos!$H$951</definedName>
    <definedName name="_ter10050">[2]Insumos!$E$451</definedName>
    <definedName name="_ter10075" localSheetId="4">[1]Insumos!$H$953</definedName>
    <definedName name="_ter10075">[1]Insumos!$H$953</definedName>
    <definedName name="_tes2">[2]Insumos!$E$361</definedName>
    <definedName name="_tes5">[2]Insumos!$E$362</definedName>
    <definedName name="_tfg100" localSheetId="4">[1]Insumos!$H$112</definedName>
    <definedName name="_tfg100">[1]Insumos!$H$112</definedName>
    <definedName name="_tfg125" localSheetId="4">[1]Insumos!$H$113</definedName>
    <definedName name="_tfg125">[1]Insumos!$H$113</definedName>
    <definedName name="_tfg15" localSheetId="4">[1]Insumos!$H$104</definedName>
    <definedName name="_tfg15">[1]Insumos!$H$104</definedName>
    <definedName name="_tfg150" localSheetId="4">[1]Insumos!$H$114</definedName>
    <definedName name="_tfg150">[1]Insumos!$H$114</definedName>
    <definedName name="_tfg20" localSheetId="4">[1]Insumos!$H$105</definedName>
    <definedName name="_tfg20">[1]Insumos!$H$105</definedName>
    <definedName name="_tfg25" localSheetId="4">[1]Insumos!$H$106</definedName>
    <definedName name="_tfg25">[1]Insumos!$H$106</definedName>
    <definedName name="_tfg32" localSheetId="4">[1]Insumos!$H$107</definedName>
    <definedName name="_tfg32">[1]Insumos!$H$107</definedName>
    <definedName name="_tfg40">[2]Insumos!$E$58</definedName>
    <definedName name="_tfg50">[2]Insumos!$E$59</definedName>
    <definedName name="_tfg65">[2]Insumos!$E$60</definedName>
    <definedName name="_tfg80" localSheetId="4">[1]Insumos!$H$111</definedName>
    <definedName name="_tfg80">[1]Insumos!$H$111</definedName>
    <definedName name="_tfi25" localSheetId="4">[1]Insumos!$H$115</definedName>
    <definedName name="_tfi25">[1]Insumos!$H$115</definedName>
    <definedName name="_tfi32" localSheetId="4">[1]Insumos!$H$116</definedName>
    <definedName name="_tfi32">[1]Insumos!$H$116</definedName>
    <definedName name="_tfi40" localSheetId="4">[1]Insumos!$H$117</definedName>
    <definedName name="_tfi40">[1]Insumos!$H$117</definedName>
    <definedName name="_tfi50" localSheetId="4">[1]Insumos!$H$118</definedName>
    <definedName name="_tfi50">[1]Insumos!$H$118</definedName>
    <definedName name="_tfi65" localSheetId="4">[1]Insumos!$H$119</definedName>
    <definedName name="_tfi65">[1]Insumos!$H$119</definedName>
    <definedName name="_tfi80" localSheetId="4">[1]Insumos!$H$120</definedName>
    <definedName name="_tfi80">[1]Insumos!$H$120</definedName>
    <definedName name="_tfs1" localSheetId="4">[1]Insumos!$H$1266</definedName>
    <definedName name="_tfs1">[1]Insumos!$H$1266</definedName>
    <definedName name="_tjc1">[2]Insumos!$E$36</definedName>
    <definedName name="_tjc14">[4]Insumos!$C$54</definedName>
    <definedName name="_tjc14_1">NA()</definedName>
    <definedName name="_tjc14_5">NA()</definedName>
    <definedName name="_tjc14_6">NA()</definedName>
    <definedName name="_tjc2">[2]Insumos!$E$37</definedName>
    <definedName name="_tjt1" localSheetId="4">[1]Insumos!$H$518</definedName>
    <definedName name="_tjt1">[1]Insumos!$H$518</definedName>
    <definedName name="_tjv1" localSheetId="4">[1]Insumos!$H$67</definedName>
    <definedName name="_tjv1">[1]Insumos!$H$67</definedName>
    <definedName name="_tlc1">[2]Insumos!$E$42</definedName>
    <definedName name="_tlc2">[2]Insumos!$E$43</definedName>
    <definedName name="_tlc3">[2]Insumos!$E$44</definedName>
    <definedName name="_tlf4" localSheetId="4">[1]Insumos!$H$73</definedName>
    <definedName name="_tlf4">[1]Insumos!$H$73</definedName>
    <definedName name="_tlf5">[2]Insumos!$E$45</definedName>
    <definedName name="_tlf6">[2]Insumos!$E$46</definedName>
    <definedName name="_tma100" localSheetId="4">[1]Insumos!$H$1128</definedName>
    <definedName name="_tma100">[1]Insumos!$H$1128</definedName>
    <definedName name="_tma110">[2]Insumos!$E$516</definedName>
    <definedName name="_trb110" localSheetId="4">[1]Insumos!$H$1311</definedName>
    <definedName name="_trb110">[1]Insumos!$H$1311</definedName>
    <definedName name="_trf1000">[2]Insumos!$E$436</definedName>
    <definedName name="_tta1" localSheetId="4">[1]Insumos!$H$1159</definedName>
    <definedName name="_tta1">[1]Insumos!$H$1159</definedName>
    <definedName name="_tta2" localSheetId="4">[1]Insumos!$H$1158</definedName>
    <definedName name="_tta2">[1]Insumos!$H$1158</definedName>
    <definedName name="_tta3" localSheetId="4">[1]Insumos!$H$1157</definedName>
    <definedName name="_tta3">[1]Insumos!$H$1157</definedName>
    <definedName name="_ttc1">[2]Insumos!$E$546</definedName>
    <definedName name="_tub11012">[2]Insumos!$E$394</definedName>
    <definedName name="_tub11015">[2]Insumos!$E$395</definedName>
    <definedName name="_tub11020">[2]Insumos!$E$396</definedName>
    <definedName name="_tub5012">[2]Insumos!$E$385</definedName>
    <definedName name="_tub5015">[2]Insumos!$E$386</definedName>
    <definedName name="_tub5020">[2]Insumos!$E$387</definedName>
    <definedName name="_tub6012">[2]Insumos!$E$388</definedName>
    <definedName name="_tub6015">[2]Insumos!$E$389</definedName>
    <definedName name="_tub6020">[2]Insumos!$E$390</definedName>
    <definedName name="_tub8512">[2]Insumos!$E$391</definedName>
    <definedName name="_tub8515">[2]Insumos!$E$392</definedName>
    <definedName name="_tub8520">[2]Insumos!$E$393</definedName>
    <definedName name="_ufg50" localSheetId="4">[1]Insumos!$H$126</definedName>
    <definedName name="_ufg50">[1]Insumos!$H$126</definedName>
    <definedName name="_vcc4">[2]Insumos!$E$567</definedName>
    <definedName name="_vcc6">[2]Insumos!$E$557</definedName>
    <definedName name="_vdc32" localSheetId="4">[1]Insumos!$H$1061</definedName>
    <definedName name="_vdc32">[1]Insumos!$H$1061</definedName>
    <definedName name="_vdc40">[2]Insumos!$E$486</definedName>
    <definedName name="_vdf4">[2]Insumos!$E$554</definedName>
    <definedName name="_vdf6" localSheetId="4">[1]Insumos!$H$1205</definedName>
    <definedName name="_vdf6">[1]Insumos!$H$1205</definedName>
    <definedName name="_vfi4">[2]Insumos!$E$565</definedName>
    <definedName name="_vtp8">[2]Insumos!$E$560</definedName>
    <definedName name="_vtr6">[2]Insumos!$E$558</definedName>
    <definedName name="_vtt10">[2]Insumos!$E$555</definedName>
    <definedName name="_vtt4">[2]Insumos!$E$553</definedName>
    <definedName name="_vtt6">[2]Insumos!$E$559</definedName>
    <definedName name="a" localSheetId="4">#REF!</definedName>
    <definedName name="a">#REF!</definedName>
    <definedName name="AA">#N/A</definedName>
    <definedName name="AAAA">#N/A</definedName>
    <definedName name="AAAAAA">#N/A</definedName>
    <definedName name="aagfp">[1]Insumos!$H$172</definedName>
    <definedName name="aar">[2]Insumos!$E$28</definedName>
    <definedName name="AB">#N/A</definedName>
    <definedName name="aba" localSheetId="4">[1]Insumos!$H$197</definedName>
    <definedName name="aba">[1]Insumos!$H$197</definedName>
    <definedName name="açc" localSheetId="4">[1]Insumos!$H$1472</definedName>
    <definedName name="açc">[1]Insumos!$H$1472</definedName>
    <definedName name="acc7_5_CI" localSheetId="4">[1]Insumos!$H$1420</definedName>
    <definedName name="acc7_5_CI">[1]Insumos!$H$1420</definedName>
    <definedName name="acc7_5_CP" localSheetId="4">[1]Insumos!$H$1419</definedName>
    <definedName name="acc7_5_CP">[1]Insumos!$H$1419</definedName>
    <definedName name="acca" localSheetId="4">[1]Insumos!$H$1432</definedName>
    <definedName name="acca">[1]Insumos!$H$1432</definedName>
    <definedName name="acdm" localSheetId="4">[1]Insumos!$H$1476</definedName>
    <definedName name="acdm">[1]Insumos!$H$1476</definedName>
    <definedName name="acgu3" localSheetId="4">[1]Insumos!$H$1418</definedName>
    <definedName name="acgu3">[1]Insumos!$H$1418</definedName>
    <definedName name="acl">[2]Insumos!$E$89</definedName>
    <definedName name="acm30_" localSheetId="4">[1]Insumos!$H$215</definedName>
    <definedName name="acm30_">[1]Insumos!$H$215</definedName>
    <definedName name="aço" localSheetId="4">#REF!</definedName>
    <definedName name="aço">#REF!</definedName>
    <definedName name="aço1" localSheetId="4">[1]Insumos!$H$95</definedName>
    <definedName name="aço1">[1]Insumos!$H$95</definedName>
    <definedName name="aço2" localSheetId="4">[1]Insumos!$H$87</definedName>
    <definedName name="aço2">[1]Insumos!$H$87</definedName>
    <definedName name="aço3" localSheetId="4">[1]Insumos!$H$91</definedName>
    <definedName name="aço3">[1]Insumos!$H$91</definedName>
    <definedName name="aço4" localSheetId="4">[1]Insumos!$H$94</definedName>
    <definedName name="aço4">[1]Insumos!$H$94</definedName>
    <definedName name="aço5" localSheetId="4">[1]Insumos!$H$86</definedName>
    <definedName name="aço5">[1]Insumos!$H$86</definedName>
    <definedName name="aço6" localSheetId="4">[1]Insumos!$H$89</definedName>
    <definedName name="aço6">[1]Insumos!$H$89</definedName>
    <definedName name="aço7" localSheetId="4">[1]Insumos!$H$90</definedName>
    <definedName name="aço7">[1]Insumos!$H$90</definedName>
    <definedName name="aço8" localSheetId="4">[1]Insumos!$H$88</definedName>
    <definedName name="aço8">[1]Insumos!$H$88</definedName>
    <definedName name="aço9" localSheetId="4">[1]Insumos!$H$93</definedName>
    <definedName name="aço9">[1]Insumos!$H$93</definedName>
    <definedName name="adm" localSheetId="4">[5]Insumos!$F$1373</definedName>
    <definedName name="adm">[5]Insumos!$F$1373</definedName>
    <definedName name="ads50_2_40s" localSheetId="4">[1]Insumos!$H$913</definedName>
    <definedName name="ads50_2_40s">[1]Insumos!$H$913</definedName>
    <definedName name="adtr1" localSheetId="4">[1]Insumos!$H$864</definedName>
    <definedName name="adtr1">[1]Insumos!$H$864</definedName>
    <definedName name="adtr1_2" localSheetId="4">[1]Insumos!$H$862</definedName>
    <definedName name="adtr1_2">[1]Insumos!$H$862</definedName>
    <definedName name="adtr11_2" localSheetId="4">[1]Insumos!$H$866</definedName>
    <definedName name="adtr11_2">[1]Insumos!$H$866</definedName>
    <definedName name="adtr11_4" localSheetId="4">[1]Insumos!$H$865</definedName>
    <definedName name="adtr11_4">[1]Insumos!$H$865</definedName>
    <definedName name="adtr2" localSheetId="4">[1]Insumos!$H$867</definedName>
    <definedName name="adtr2">[1]Insumos!$H$867</definedName>
    <definedName name="adtr3_4" localSheetId="4">[1]Insumos!$H$863</definedName>
    <definedName name="adtr3_4">[1]Insumos!$H$863</definedName>
    <definedName name="adu">[2]Insumos!$E$32</definedName>
    <definedName name="adu1_" localSheetId="4">[1]Insumos!$H$55</definedName>
    <definedName name="adu1_">[1]Insumos!$H$55</definedName>
    <definedName name="afg14_" localSheetId="4">[1]Insumos!$H$100</definedName>
    <definedName name="afg14_">[1]Insumos!$H$100</definedName>
    <definedName name="afi">[2]Insumos!$E$25</definedName>
    <definedName name="aftp">[2]Insumos!$E$130</definedName>
    <definedName name="aga10_" localSheetId="4">[1]Insumos!$H$97</definedName>
    <definedName name="aga10_">[1]Insumos!$H$97</definedName>
    <definedName name="aga12_" localSheetId="4">[1]Insumos!$H$98</definedName>
    <definedName name="aga12_">[1]Insumos!$H$98</definedName>
    <definedName name="aga14_" localSheetId="4">[1]Insumos!$H$99</definedName>
    <definedName name="aga14_">[1]Insumos!$H$99</definedName>
    <definedName name="agi" localSheetId="4">[1]Insumos!$H$1071</definedName>
    <definedName name="agi">[1]Insumos!$H$1071</definedName>
    <definedName name="agp" localSheetId="4">[1]Insumos!$H$1070</definedName>
    <definedName name="agp">[1]Insumos!$H$1070</definedName>
    <definedName name="agr">[2]Insumos!$E$23</definedName>
    <definedName name="aj" localSheetId="4">#REF!</definedName>
    <definedName name="aj">#REF!</definedName>
    <definedName name="aje" localSheetId="4">[1]Insumos!$H$33</definedName>
    <definedName name="aje">[1]Insumos!$H$33</definedName>
    <definedName name="AJU" localSheetId="4">#REF!</definedName>
    <definedName name="AJU">#REF!</definedName>
    <definedName name="ali1_" localSheetId="4">[1]Insumos!$H$309</definedName>
    <definedName name="ali1_">[1]Insumos!$H$309</definedName>
    <definedName name="ali1_1" localSheetId="4">[1]Insumos!$H$301</definedName>
    <definedName name="ali1_1">[1]Insumos!$H$301</definedName>
    <definedName name="ali2_" localSheetId="4">[1]Insumos!$H$310</definedName>
    <definedName name="ali2_">[1]Insumos!$H$310</definedName>
    <definedName name="ali2_1" localSheetId="4">[1]Insumos!$H$302</definedName>
    <definedName name="ali2_1">[1]Insumos!$H$302</definedName>
    <definedName name="ali3_" localSheetId="4">[1]Insumos!$H$311</definedName>
    <definedName name="ali3_">[1]Insumos!$H$311</definedName>
    <definedName name="ali3_1" localSheetId="4">[1]Insumos!$H$303</definedName>
    <definedName name="ali3_1">[1]Insumos!$H$303</definedName>
    <definedName name="ali4_" localSheetId="4">[1]Insumos!$H$312</definedName>
    <definedName name="ali4_">[1]Insumos!$H$312</definedName>
    <definedName name="ali4_1" localSheetId="4">[1]Insumos!$H$304</definedName>
    <definedName name="ali4_1">[1]Insumos!$H$304</definedName>
    <definedName name="ali5_" localSheetId="4">[1]Insumos!$H$314</definedName>
    <definedName name="ali5_">[1]Insumos!$H$314</definedName>
    <definedName name="ali5_1" localSheetId="4">[1]Insumos!$H$306</definedName>
    <definedName name="ali5_1">[1]Insumos!$H$306</definedName>
    <definedName name="ali6_" localSheetId="4">[1]Insumos!$H$315</definedName>
    <definedName name="ali6_">[1]Insumos!$H$315</definedName>
    <definedName name="ali6_1" localSheetId="4">[1]Insumos!$H$307</definedName>
    <definedName name="ali6_1">[1]Insumos!$H$307</definedName>
    <definedName name="ali7_" localSheetId="4">[1]Insumos!$H$316</definedName>
    <definedName name="ali7_">[1]Insumos!$H$316</definedName>
    <definedName name="ali7_1" localSheetId="4">[1]Insumos!$H$308</definedName>
    <definedName name="ali7_1">[1]Insumos!$H$308</definedName>
    <definedName name="ali8_" localSheetId="4">[1]Insumos!$H$313</definedName>
    <definedName name="ali8_">[1]Insumos!$H$313</definedName>
    <definedName name="ali8_1" localSheetId="4">[1]Insumos!$H$305</definedName>
    <definedName name="ali8_1">[1]Insumos!$H$305</definedName>
    <definedName name="altura_baldrame" localSheetId="4">#REF!</definedName>
    <definedName name="altura_baldrame" localSheetId="1">#REF!</definedName>
    <definedName name="altura_baldrame">#REF!</definedName>
    <definedName name="altura_da_base" localSheetId="4">#REF!</definedName>
    <definedName name="altura_da_base" localSheetId="1">#REF!</definedName>
    <definedName name="altura_da_base">#REF!</definedName>
    <definedName name="altura_da_cinta" localSheetId="4">#REF!</definedName>
    <definedName name="altura_da_cinta" localSheetId="1">#REF!</definedName>
    <definedName name="altura_da_cinta">#REF!</definedName>
    <definedName name="altura_da_vala" localSheetId="4">#REF!</definedName>
    <definedName name="altura_da_vala" localSheetId="1">#REF!</definedName>
    <definedName name="altura_da_vala">#REF!</definedName>
    <definedName name="ALTURA_PILAR" localSheetId="4">#REF!</definedName>
    <definedName name="ALTURA_PILAR" localSheetId="1">#REF!</definedName>
    <definedName name="ALTURA_PILAR">#REF!</definedName>
    <definedName name="alvc1">[2]Insumos!$E$714</definedName>
    <definedName name="alvc2">[2]Insumos!$E$716</definedName>
    <definedName name="alvc3" localSheetId="4">[1]Insumos!$H$1456</definedName>
    <definedName name="alvc3">[1]Insumos!$H$1456</definedName>
    <definedName name="ALVENARIA" localSheetId="4">#REF!</definedName>
    <definedName name="ALVENARIA" localSheetId="1">#REF!</definedName>
    <definedName name="ALVENARIA">#REF!</definedName>
    <definedName name="amc1_" localSheetId="4">[1]Insumos!$H$252</definedName>
    <definedName name="amc1_">[1]Insumos!$H$252</definedName>
    <definedName name="amd">[2]Insumos!$E$24</definedName>
    <definedName name="amf1_" localSheetId="4">[1]Insumos!$H$250</definedName>
    <definedName name="amf1_">[1]Insumos!$H$250</definedName>
    <definedName name="amf2_" localSheetId="4">[1]Insumos!$H$251</definedName>
    <definedName name="amf2_">[1]Insumos!$H$251</definedName>
    <definedName name="amm">[2]Insumos!$E$280</definedName>
    <definedName name="amt">[2]Insumos!$E$279</definedName>
    <definedName name="anb">[2]Insumos!$E$99</definedName>
    <definedName name="anel100" localSheetId="4">[1]Insumos!$H$1122</definedName>
    <definedName name="anel100">[1]Insumos!$H$1122</definedName>
    <definedName name="apv">[2]Insumos!$E$482</definedName>
    <definedName name="arame">[6]INSUMOS!$C$18</definedName>
    <definedName name="arap">[2]Insumos!$E$303</definedName>
    <definedName name="are">[2]Insumos!$E$54</definedName>
    <definedName name="ÁREA">[2]Insumos!$C$8</definedName>
    <definedName name="_xlnm.Print_Area" localSheetId="4">BDI!$B$15:$I$57</definedName>
    <definedName name="_xlnm.Print_Area" localSheetId="2">COMP!$A$1:$G$409</definedName>
    <definedName name="_xlnm.Print_Area" localSheetId="6">'COMPOSIÇÃO DE CUSTOS'!$A$1:$H$2584</definedName>
    <definedName name="_xlnm.Print_Area" localSheetId="3">CRONOGRAMA!$A$1:$X$54</definedName>
    <definedName name="_xlnm.Print_Area" localSheetId="0">'PLANILHA ORÇA - CORREGEDORIA'!$A$1:$U$1280</definedName>
    <definedName name="_xlnm.Print_Area" localSheetId="1">'PLANILHA ORÇA - EJUD'!$A$1:$U$1033</definedName>
    <definedName name="AREA_TOTAL" localSheetId="4">#REF!</definedName>
    <definedName name="AREA_TOTAL">#REF!</definedName>
    <definedName name="arfi">[4]Insumos!$C$32</definedName>
    <definedName name="arfi_1">NA()</definedName>
    <definedName name="arfi_5">NA()</definedName>
    <definedName name="arfi_6">NA()</definedName>
    <definedName name="arg1.3\1">[2]Insumos!$E$633</definedName>
    <definedName name="arg1_3_1_1" localSheetId="4">[1]Insumos!$H$1355</definedName>
    <definedName name="arg1_3_1_1">[1]Insumos!$H$1355</definedName>
    <definedName name="argr">[4]Insumos!$C$31</definedName>
    <definedName name="argr_1">NA()</definedName>
    <definedName name="argr_5">NA()</definedName>
    <definedName name="argr_6">NA()</definedName>
    <definedName name="arm" localSheetId="4">[7]FUNDAÇÕES!#REF!</definedName>
    <definedName name="arm" localSheetId="1">[7]FUNDAÇÕES!#REF!</definedName>
    <definedName name="arm">[7]FUNDAÇÕES!#REF!</definedName>
    <definedName name="arma" localSheetId="4">#REF!</definedName>
    <definedName name="arma" localSheetId="1">#REF!</definedName>
    <definedName name="arma">#REF!</definedName>
    <definedName name="aro" localSheetId="4">[1]Insumos!$H$1264</definedName>
    <definedName name="aro">[1]Insumos!$H$1264</definedName>
    <definedName name="arz" localSheetId="4">[1]Insumos!$H$1465</definedName>
    <definedName name="arz">[1]Insumos!$H$1465</definedName>
    <definedName name="ASDFASD">#N/A</definedName>
    <definedName name="asfel" localSheetId="4">[1]Insumos!$H$1200</definedName>
    <definedName name="asfel">[1]Insumos!$H$1200</definedName>
    <definedName name="asp11pu" localSheetId="4">[1]Insumos!$H$917</definedName>
    <definedName name="asp11pu">[1]Insumos!$H$917</definedName>
    <definedName name="ATERRO_TOTAL" localSheetId="4">#REF!</definedName>
    <definedName name="ATERRO_TOTAL" localSheetId="1">#REF!</definedName>
    <definedName name="ATERRO_TOTAL">#REF!</definedName>
    <definedName name="atop" localSheetId="4">[1]Insumos!$H$19</definedName>
    <definedName name="atop">[1]Insumos!$H$19</definedName>
    <definedName name="b" localSheetId="4">#REF!</definedName>
    <definedName name="b" localSheetId="1">#REF!</definedName>
    <definedName name="b">#REF!</definedName>
    <definedName name="B320I">[2]Equipamentos!$P$40</definedName>
    <definedName name="B320P">[2]Equipamentos!$N$40</definedName>
    <definedName name="B500I">[2]Equipamentos!$P$36</definedName>
    <definedName name="B500P">[2]Equipamentos!$N$36</definedName>
    <definedName name="band02" localSheetId="4">[1]Insumos!$H$1283</definedName>
    <definedName name="band02">[1]Insumos!$H$1283</definedName>
    <definedName name="band03" localSheetId="4">[1]Insumos!$H$1284</definedName>
    <definedName name="band03">[1]Insumos!$H$1284</definedName>
    <definedName name="band04" localSheetId="4">[1]Insumos!$H$1285</definedName>
    <definedName name="band04">[1]Insumos!$H$1285</definedName>
    <definedName name="bar11_2_90" localSheetId="4">[1]Insumos!$H$130</definedName>
    <definedName name="bar11_2_90">[1]Insumos!$H$130</definedName>
    <definedName name="bar11_4_90" localSheetId="4">[1]Insumos!$H$129</definedName>
    <definedName name="bar11_4_90">[1]Insumos!$H$129</definedName>
    <definedName name="base5" localSheetId="4">[1]Insumos!$H$776</definedName>
    <definedName name="base5">[1]Insumos!$H$776</definedName>
    <definedName name="base6" localSheetId="4">[1]Insumos!$H$777</definedName>
    <definedName name="base6">[1]Insumos!$H$777</definedName>
    <definedName name="base7" localSheetId="4">[1]Insumos!$H$778</definedName>
    <definedName name="base7">[1]Insumos!$H$778</definedName>
    <definedName name="BB">#N/A</definedName>
    <definedName name="bçd88" localSheetId="4">[1]Insumos!$H$1010</definedName>
    <definedName name="bçd88">[1]Insumos!$H$1010</definedName>
    <definedName name="bcf">[2]Insumos!$E$184</definedName>
    <definedName name="bcf100x30">[2]Insumos!$E$189</definedName>
    <definedName name="bcf100x50">[2]Insumos!$E$188</definedName>
    <definedName name="bcf120X60">[2]Insumos!$E$186</definedName>
    <definedName name="bcf130x60" localSheetId="4">[1]Insumos!$H$415</definedName>
    <definedName name="bcf130x60">[1]Insumos!$H$415</definedName>
    <definedName name="bcf135X40" localSheetId="4">[1]Insumos!$H$409</definedName>
    <definedName name="bcf135X40">[1]Insumos!$H$409</definedName>
    <definedName name="bcf150x50">[2]Insumos!$E$187</definedName>
    <definedName name="bcf150x60" localSheetId="4">[1]Insumos!$H$416</definedName>
    <definedName name="bcf150x60">[1]Insumos!$H$416</definedName>
    <definedName name="bcf200x60">[2]Insumos!$E$187</definedName>
    <definedName name="bcf50X50" localSheetId="4">[1]Insumos!$H$406</definedName>
    <definedName name="bcf50X50">[1]Insumos!$H$406</definedName>
    <definedName name="bcf60x50">[2]Insumos!$E$190</definedName>
    <definedName name="bcf60X60">[2]Insumos!$E$185</definedName>
    <definedName name="bcfr1x1_4" localSheetId="4">[1]Insumos!$H$136</definedName>
    <definedName name="bcfr1x1_4">[1]Insumos!$H$136</definedName>
    <definedName name="bcp">[2]Insumos!$E$284</definedName>
    <definedName name="bcsd" localSheetId="4">[1]Insumos!$H$757</definedName>
    <definedName name="bcsd">[1]Insumos!$H$757</definedName>
    <definedName name="bdi">'[8]Insumos (não imprimir)'!$C$3</definedName>
    <definedName name="bdi_1">NA()</definedName>
    <definedName name="bdi_11">"'file:///A:/Dudu-corre%C3%A7%C3%A3o.XLS'#$'Insumos (não imprimir)'.$C$3"</definedName>
    <definedName name="bdi_5">NA()</definedName>
    <definedName name="bdi_6">NA()</definedName>
    <definedName name="bdi_7">"'file:///A:/Dudu-corre%C3%A7%C3%A3o.XLS'#$'Insumos (não imprimir)'.$C$3"</definedName>
    <definedName name="bdi_8">"'file:///A:/Dudu-corre%C3%A7%C3%A3o.XLS'#$'Insumos (não imprimir)'.$C$3"</definedName>
    <definedName name="bdi_9">"'file:///A:/Dudu-corre%C3%A7%C3%A3o.XLS'#$'Insumos (não imprimir)'.$C$3"</definedName>
    <definedName name="bee3b" localSheetId="4">[1]Insumos!$H$754</definedName>
    <definedName name="bee3b">[1]Insumos!$H$754</definedName>
    <definedName name="bfd">[2]Insumos!$E$246</definedName>
    <definedName name="bfq" localSheetId="4">[1]Insumos!$H$427</definedName>
    <definedName name="bfq">[1]Insumos!$H$427</definedName>
    <definedName name="bfq100x50" localSheetId="4">[1]Insumos!$H$434</definedName>
    <definedName name="bfq100x50">[1]Insumos!$H$434</definedName>
    <definedName name="bfq100x60" localSheetId="4">[1]Insumos!$H$433</definedName>
    <definedName name="bfq100x60">[1]Insumos!$H$433</definedName>
    <definedName name="bfq150x50" localSheetId="4">[1]Insumos!$H$432</definedName>
    <definedName name="bfq150x50">[1]Insumos!$H$432</definedName>
    <definedName name="bfq180x60" localSheetId="4">[1]Insumos!$H$431</definedName>
    <definedName name="bfq180x60">[1]Insumos!$H$431</definedName>
    <definedName name="bfq200x50" localSheetId="4">[1]Insumos!$H$430</definedName>
    <definedName name="bfq200x50">[1]Insumos!$H$430</definedName>
    <definedName name="bfq250x50" localSheetId="4">[1]Insumos!$H$429</definedName>
    <definedName name="bfq250x50">[1]Insumos!$H$429</definedName>
    <definedName name="bfq300x50" localSheetId="4">[1]Insumos!$H$428</definedName>
    <definedName name="bfq300x50">[1]Insumos!$H$428</definedName>
    <definedName name="bfq30x50" localSheetId="4">[1]Insumos!$H$438</definedName>
    <definedName name="bfq30x50">[1]Insumos!$H$438</definedName>
    <definedName name="bfq50x50" localSheetId="4">[1]Insumos!$H$437</definedName>
    <definedName name="bfq50x50">[1]Insumos!$H$437</definedName>
    <definedName name="bfq60x30" localSheetId="4">[1]Insumos!$H$439</definedName>
    <definedName name="bfq60x30">[1]Insumos!$H$439</definedName>
    <definedName name="bfq80x50" localSheetId="4">[1]Insumos!$H$436</definedName>
    <definedName name="bfq80x50">[1]Insumos!$H$436</definedName>
    <definedName name="bfq80x60" localSheetId="4">[1]Insumos!$H$435</definedName>
    <definedName name="bfq80x60">[1]Insumos!$H$435</definedName>
    <definedName name="bgr">[2]Insumos!$E$261</definedName>
    <definedName name="bgrn">[2]Insumos!$E$264</definedName>
    <definedName name="bldv">[4]Insumos!$C$145</definedName>
    <definedName name="bldv_1">NA()</definedName>
    <definedName name="bldv_5">NA()</definedName>
    <definedName name="bldv_6">NA()</definedName>
    <definedName name="blq6_20" localSheetId="4">[3]Insumos!$F$1134</definedName>
    <definedName name="blq6_20">[3]Insumos!$F$1134</definedName>
    <definedName name="bmt25x25" localSheetId="4">[1]Insumos!$H$133</definedName>
    <definedName name="bmt25x25">[1]Insumos!$H$133</definedName>
    <definedName name="bmt30x50">[2]Insumos!$E$62</definedName>
    <definedName name="bnb">[2]Insumos!$E$538</definedName>
    <definedName name="bop1\2">[2]Insumos!$E$439</definedName>
    <definedName name="bop1_2_1_1" localSheetId="4">[1]Insumos!$H$889</definedName>
    <definedName name="bop1_2_1_1">[1]Insumos!$H$889</definedName>
    <definedName name="BPF">[2]Equipamentos!$A$14</definedName>
    <definedName name="bra25_20" localSheetId="4">[1]Insumos!$H$810</definedName>
    <definedName name="bra25_20">[1]Insumos!$H$810</definedName>
    <definedName name="bra32_20" localSheetId="4">[1]Insumos!$H$811</definedName>
    <definedName name="bra32_20">[1]Insumos!$H$811</definedName>
    <definedName name="bra32_25" localSheetId="4">[1]Insumos!$H$812</definedName>
    <definedName name="bra32_25">[1]Insumos!$H$812</definedName>
    <definedName name="bra40_20" localSheetId="4">[1]Insumos!$H$813</definedName>
    <definedName name="bra40_20">[1]Insumos!$H$813</definedName>
    <definedName name="bra40_25" localSheetId="4">[1]Insumos!$H$814</definedName>
    <definedName name="bra40_25">[1]Insumos!$H$814</definedName>
    <definedName name="bra40_32" localSheetId="4">[1]Insumos!$H$815</definedName>
    <definedName name="bra40_32">[1]Insumos!$H$815</definedName>
    <definedName name="bra50_20" localSheetId="4">[1]Insumos!$H$816</definedName>
    <definedName name="bra50_20">[1]Insumos!$H$816</definedName>
    <definedName name="bra50_25" localSheetId="4">[1]Insumos!$H$817</definedName>
    <definedName name="bra50_25">[1]Insumos!$H$817</definedName>
    <definedName name="bra50_32" localSheetId="4">[1]Insumos!$H$818</definedName>
    <definedName name="bra50_32">[1]Insumos!$H$818</definedName>
    <definedName name="bra50_40" localSheetId="4">[1]Insumos!$H$819</definedName>
    <definedName name="bra50_40">[1]Insumos!$H$819</definedName>
    <definedName name="bri75x50_40s" localSheetId="4">[1]Insumos!$H$912</definedName>
    <definedName name="bri75x50_40s">[1]Insumos!$H$912</definedName>
    <definedName name="brm">[2]Insumos!$E$66</definedName>
    <definedName name="brmm50" localSheetId="4">[1]Insumos!$H$140</definedName>
    <definedName name="brmm50">[1]Insumos!$H$140</definedName>
    <definedName name="brt">[4]Insumos!$C$34</definedName>
    <definedName name="brt_1">NA()</definedName>
    <definedName name="brt_5">NA()</definedName>
    <definedName name="brt_6">NA()</definedName>
    <definedName name="btd320s" localSheetId="4">[3]Insumos!$F$1404</definedName>
    <definedName name="btd320s">[3]Insumos!$F$1404</definedName>
    <definedName name="btd400i" localSheetId="4">[1]Insumos!$H$1424</definedName>
    <definedName name="btd400i">[1]Insumos!$H$1424</definedName>
    <definedName name="btd400p" localSheetId="4">[1]Insumos!$H$1423</definedName>
    <definedName name="btd400p">[1]Insumos!$H$1423</definedName>
    <definedName name="bte320_1" localSheetId="4">[3]Insumos!$F$1406</definedName>
    <definedName name="bte320_1">[3]Insumos!$F$1406</definedName>
    <definedName name="bte320g" localSheetId="4">[3]Insumos!$F$1408</definedName>
    <definedName name="bte320g">[3]Insumos!$F$1408</definedName>
    <definedName name="bte320g_i" localSheetId="4">[3]Insumos!$F$1409</definedName>
    <definedName name="bte320g_i">[3]Insumos!$F$1409</definedName>
    <definedName name="bte320o" localSheetId="4">[3]Insumos!$F$1405</definedName>
    <definedName name="bte320o">[3]Insumos!$F$1405</definedName>
    <definedName name="bte400i" localSheetId="4">[1]Insumos!$H$1426</definedName>
    <definedName name="bte400i">[1]Insumos!$H$1426</definedName>
    <definedName name="bte400p" localSheetId="4">[1]Insumos!$H$1425</definedName>
    <definedName name="bte400p">[1]Insumos!$H$1425</definedName>
    <definedName name="btg400i" localSheetId="4">[1]Insumos!$H$1428</definedName>
    <definedName name="btg400i">[1]Insumos!$H$1428</definedName>
    <definedName name="btg400p" localSheetId="4">[1]Insumos!$H$1427</definedName>
    <definedName name="btg400p">[1]Insumos!$H$1427</definedName>
    <definedName name="bvff">[2]Insumos!$E$191</definedName>
    <definedName name="bvff100x50">[2]Insumos!$E$194</definedName>
    <definedName name="bvff120x60" localSheetId="4">[1]Insumos!$H$423</definedName>
    <definedName name="bvff120x60">[1]Insumos!$H$423</definedName>
    <definedName name="bvff150x100">[2]Insumos!$E$193</definedName>
    <definedName name="bvff150x110">[2]Insumos!$E$198</definedName>
    <definedName name="bvff150x50" localSheetId="4">[1]Insumos!$H$418</definedName>
    <definedName name="bvff150x50">[1]Insumos!$H$418</definedName>
    <definedName name="bvff170x55">[2]Insumos!$E$199</definedName>
    <definedName name="bvff210x55">[2]Insumos!$E$197</definedName>
    <definedName name="bvff60x60" localSheetId="4">[1]Insumos!$H$421</definedName>
    <definedName name="bvff60x60">[1]Insumos!$H$421</definedName>
    <definedName name="bvff80x50">[2]Insumos!$E$196</definedName>
    <definedName name="CA15I">[2]Equipamentos!$P$27</definedName>
    <definedName name="CA15P">[2]Equipamentos!$N$27</definedName>
    <definedName name="CA25I">[2]Equipamentos!$P$26</definedName>
    <definedName name="CA25P">[2]Equipamentos!$N$26</definedName>
    <definedName name="cacb18" localSheetId="4">[3]Insumos!$F$153</definedName>
    <definedName name="cacb18">[3]Insumos!$F$153</definedName>
    <definedName name="cadm">[2]Insumos!$E$72</definedName>
    <definedName name="cadr250" localSheetId="4">[1]Insumos!$H$1415</definedName>
    <definedName name="cadr250">[1]Insumos!$H$1415</definedName>
    <definedName name="caei3_4" localSheetId="4">[1]Insumos!$H$169</definedName>
    <definedName name="caei3_4">[1]Insumos!$H$169</definedName>
    <definedName name="caei3_8" localSheetId="4">[1]Insumos!$H$170</definedName>
    <definedName name="caei3_8">[1]Insumos!$H$170</definedName>
    <definedName name="caf" localSheetId="4">[1]Insumos!$H$1467</definedName>
    <definedName name="caf">[1]Insumos!$H$1467</definedName>
    <definedName name="caf1_8" localSheetId="4">[1]Insumos!$H$150</definedName>
    <definedName name="caf1_8">[1]Insumos!$H$150</definedName>
    <definedName name="caf3_16" localSheetId="4">[1]Insumos!$H$149</definedName>
    <definedName name="caf3_16">[1]Insumos!$H$149</definedName>
    <definedName name="cag1_4" localSheetId="4">[1]Insumos!$H$148</definedName>
    <definedName name="cag1_4">[1]Insumos!$H$148</definedName>
    <definedName name="cag20x10">[2]Insumos!$E$464</definedName>
    <definedName name="cag20x15" localSheetId="4">[1]Insumos!$H$979</definedName>
    <definedName name="cag20x15">[1]Insumos!$H$979</definedName>
    <definedName name="cag25x15" localSheetId="4">[1]Insumos!$H$980</definedName>
    <definedName name="cag25x15">[1]Insumos!$H$980</definedName>
    <definedName name="cag3_8" localSheetId="4">[1]Insumos!$H$147</definedName>
    <definedName name="cag3_8">[1]Insumos!$H$147</definedName>
    <definedName name="cag40x20" localSheetId="4">[1]Insumos!$H$981</definedName>
    <definedName name="cag40x20">[1]Insumos!$H$981</definedName>
    <definedName name="cag6x15" localSheetId="4">[1]Insumos!$H$977</definedName>
    <definedName name="cag6x15">[1]Insumos!$H$977</definedName>
    <definedName name="cagf50x270" localSheetId="4">[1]Insumos!$H$171</definedName>
    <definedName name="cagf50x270">[1]Insumos!$H$171</definedName>
    <definedName name="cal">[2]Insumos!$E$22</definedName>
    <definedName name="calc" localSheetId="4">[1]Insumos!$H$28</definedName>
    <definedName name="calc">[1]Insumos!$H$28</definedName>
    <definedName name="capl400" localSheetId="4">[1]Insumos!$H$769</definedName>
    <definedName name="capl400">[1]Insumos!$H$769</definedName>
    <definedName name="car">[2]Insumos!$E$624</definedName>
    <definedName name="card250" localSheetId="4">[1]Insumos!$H$1437</definedName>
    <definedName name="card250">[1]Insumos!$H$1437</definedName>
    <definedName name="carmir" localSheetId="4">[1]Insumos!$H$1290</definedName>
    <definedName name="carmir">[1]Insumos!$H$1290</definedName>
    <definedName name="CARP" localSheetId="4">#REF!</definedName>
    <definedName name="CARP" localSheetId="1">#REF!</definedName>
    <definedName name="CARP">#REF!</definedName>
    <definedName name="CARP_8" localSheetId="4">#REF!</definedName>
    <definedName name="CARP_8" localSheetId="1">#REF!</definedName>
    <definedName name="CARP_8">#REF!</definedName>
    <definedName name="cas50_70" localSheetId="4">[1]Insumos!$H$217</definedName>
    <definedName name="cas50_70">[1]Insumos!$H$217</definedName>
    <definedName name="casinha" localSheetId="4">[1]Insumos!$H$1286</definedName>
    <definedName name="casinha">[1]Insumos!$H$1286</definedName>
    <definedName name="cav" localSheetId="4">[1]Insumos!$H$361</definedName>
    <definedName name="cav">[1]Insumos!$H$361</definedName>
    <definedName name="caval">[4]Insumos!$C$144</definedName>
    <definedName name="caval_1">NA()</definedName>
    <definedName name="caval_5">NA()</definedName>
    <definedName name="caval_6">NA()</definedName>
    <definedName name="CB10I">[2]Equipamentos!$P$33</definedName>
    <definedName name="CB10P">[2]Equipamentos!$N$33</definedName>
    <definedName name="CB4I">[2]Equipamentos!$P$35</definedName>
    <definedName name="CB4P">[2]Equipamentos!$N$35</definedName>
    <definedName name="CB6.5I">[2]Equipamentos!$P$37</definedName>
    <definedName name="CB6.5P">[2]Equipamentos!$N$37</definedName>
    <definedName name="CB6I">[2]Equipamentos!$P$34</definedName>
    <definedName name="CB6P">[2]Equipamentos!$N$34</definedName>
    <definedName name="cbca1">[2]Insumos!$E$367</definedName>
    <definedName name="cbp" localSheetId="4">[1]Insumos!$H$1079</definedName>
    <definedName name="cbp">[1]Insumos!$H$1079</definedName>
    <definedName name="cbs3m" localSheetId="4">[1]Insumos!$H$900</definedName>
    <definedName name="cbs3m">[1]Insumos!$H$900</definedName>
    <definedName name="cbs3t" localSheetId="4">[1]Insumos!$H$899</definedName>
    <definedName name="cbs3t">[1]Insumos!$H$899</definedName>
    <definedName name="cce50_10" localSheetId="4">[1]Insumos!$H$671</definedName>
    <definedName name="cce50_10">[1]Insumos!$H$671</definedName>
    <definedName name="cce50_20" localSheetId="4">[1]Insumos!$H$672</definedName>
    <definedName name="cce50_20">[1]Insumos!$H$672</definedName>
    <definedName name="ccp">[2]Insumos!$E$140</definedName>
    <definedName name="cda">[2]Insumos!$E$100</definedName>
    <definedName name="cdac">[2]Insumos!$E$485</definedName>
    <definedName name="cde">[2]Insumos!$E$484</definedName>
    <definedName name="cdm">[2]Insumos!$E$619</definedName>
    <definedName name="cdr">[2]Insumos!$E$615</definedName>
    <definedName name="cds">[2]Insumos!$E$483</definedName>
    <definedName name="ceat" localSheetId="4">[1]Insumos!$H$1409</definedName>
    <definedName name="ceat">[1]Insumos!$H$1409</definedName>
    <definedName name="cee" localSheetId="4">[1]Insumos!$H$177</definedName>
    <definedName name="cee">[1]Insumos!$H$177</definedName>
    <definedName name="cee10x10">[2]Insumos!$E$76</definedName>
    <definedName name="cee10x10\1">[2]Insumos!$E$75</definedName>
    <definedName name="cee10x10_1_1" localSheetId="4">[1]Insumos!$H$178</definedName>
    <definedName name="cee10x10_1_1">[1]Insumos!$H$178</definedName>
    <definedName name="cee10x10_4_1" localSheetId="4">[1]Insumos!$H$179</definedName>
    <definedName name="cee10x10_4_1">[1]Insumos!$H$179</definedName>
    <definedName name="cee20x20">[2]Insumos!$E$79</definedName>
    <definedName name="cee20x20\1">[2]Insumos!$E$77</definedName>
    <definedName name="cee20x20\4">[2]Insumos!$E$78</definedName>
    <definedName name="cee20x20_1_1" localSheetId="4">[1]Insumos!$H$181</definedName>
    <definedName name="cee20x20_1_1">[1]Insumos!$H$181</definedName>
    <definedName name="cee20x20_4_1" localSheetId="4">[1]Insumos!$H$182</definedName>
    <definedName name="cee20x20_4_1">[1]Insumos!$H$182</definedName>
    <definedName name="cee20x20_4_1_1" localSheetId="4">[1]Insumos!$H$182</definedName>
    <definedName name="cee20x20_4_1_1">[1]Insumos!$H$182</definedName>
    <definedName name="cee30x30">[2]Insumos!$E$82</definedName>
    <definedName name="cee30x30\1">[2]Insumos!$E$80</definedName>
    <definedName name="cee30x30\4">[2]Insumos!$E$81</definedName>
    <definedName name="cee30x30_1_1" localSheetId="4">[1]Insumos!$H$184</definedName>
    <definedName name="cee30x30_1_1">[1]Insumos!$H$184</definedName>
    <definedName name="cee30x30_4_1" localSheetId="4">[1]Insumos!$H$185</definedName>
    <definedName name="cee30x30_4_1">[1]Insumos!$H$185</definedName>
    <definedName name="cee30x30_4_1_1" localSheetId="4">[1]Insumos!$H$185</definedName>
    <definedName name="cee30x30_4_1_1">[1]Insumos!$H$185</definedName>
    <definedName name="cee30x30a" localSheetId="4">[1]Insumos!$H$187</definedName>
    <definedName name="cee30x30a">[1]Insumos!$H$187</definedName>
    <definedName name="cem">[2]Insumos!$E$201</definedName>
    <definedName name="cer1\2">[2]Insumos!$E$355</definedName>
    <definedName name="cer1_2_1_1" localSheetId="4">[1]Insumos!$H$706</definedName>
    <definedName name="cer1_2_1_1">[1]Insumos!$H$706</definedName>
    <definedName name="cer11_2_1_1" localSheetId="4">[1]Insumos!$H$710</definedName>
    <definedName name="cer11_2_1_1">[1]Insumos!$H$710</definedName>
    <definedName name="cer11_4_1_1" localSheetId="4">[1]Insumos!$H$709</definedName>
    <definedName name="cer11_4_1_1">[1]Insumos!$H$709</definedName>
    <definedName name="cer3\4">[2]Insumos!$E$356</definedName>
    <definedName name="cer3_4_1_1" localSheetId="4">[1]Insumos!$H$707</definedName>
    <definedName name="cer3_4_1_1">[1]Insumos!$H$707</definedName>
    <definedName name="cerp2x20">[2]Insumos!$E$299</definedName>
    <definedName name="cerp2x40">[2]Insumos!$E$298</definedName>
    <definedName name="cfg50mf" localSheetId="4">[1]Insumos!$H$124</definedName>
    <definedName name="cfg50mf">[1]Insumos!$H$124</definedName>
    <definedName name="cfgai1" localSheetId="4">[1]Insumos!$H$166</definedName>
    <definedName name="cfgai1">[1]Insumos!$H$166</definedName>
    <definedName name="cfgai11_4" localSheetId="4">[1]Insumos!$H$165</definedName>
    <definedName name="cfgai11_4">[1]Insumos!$H$165</definedName>
    <definedName name="cfgai3_4" localSheetId="4">[1]Insumos!$H$167</definedName>
    <definedName name="cfgai3_4">[1]Insumos!$H$167</definedName>
    <definedName name="cfgai3_8" localSheetId="4">[1]Insumos!$H$168</definedName>
    <definedName name="cfgai3_8">[1]Insumos!$H$168</definedName>
    <definedName name="cfl2x20">[2]Insumos!$E$297</definedName>
    <definedName name="cfl2x40">[2]Insumos!$E$295</definedName>
    <definedName name="cfm" localSheetId="4">[1]Insumos!$H$1462</definedName>
    <definedName name="cfm">[1]Insumos!$H$1462</definedName>
    <definedName name="cftp">[2]Insumos!$E$131</definedName>
    <definedName name="cha">[2]Insumos!$E$161</definedName>
    <definedName name="chac5_8_1" localSheetId="4">[1]Insumos!$H$726</definedName>
    <definedName name="chac5_8_1">[1]Insumos!$H$726</definedName>
    <definedName name="chap14x10" localSheetId="4">[1]Insumos!$H$1148</definedName>
    <definedName name="chap14x10">[1]Insumos!$H$1148</definedName>
    <definedName name="chap20x3" localSheetId="4">[1]Insumos!$H$1147</definedName>
    <definedName name="chap20x3">[1]Insumos!$H$1147</definedName>
    <definedName name="chap20x5" localSheetId="4">[1]Insumos!$H$1146</definedName>
    <definedName name="chap20x5">[1]Insumos!$H$1146</definedName>
    <definedName name="ci" localSheetId="4">#REF!</definedName>
    <definedName name="ci" localSheetId="1">#REF!</definedName>
    <definedName name="ci">#REF!</definedName>
    <definedName name="cib">[2]Insumos!$E$21</definedName>
    <definedName name="cil">[2]Insumos!$E$474</definedName>
    <definedName name="cim">[2]Insumos!$E$20</definedName>
    <definedName name="cin" localSheetId="4">[1]Insumos!$H$1078</definedName>
    <definedName name="cin">[1]Insumos!$H$1078</definedName>
    <definedName name="cip">[2]Insumos!$E$475</definedName>
    <definedName name="clb">[2]Insumos!$E$491</definedName>
    <definedName name="clbl">[2]Insumos!$E$473</definedName>
    <definedName name="clp">[2]Insumos!$E$363</definedName>
    <definedName name="clpl" localSheetId="4">[1]Insumos!$H$1312</definedName>
    <definedName name="clpl">[1]Insumos!$H$1312</definedName>
    <definedName name="clpt" localSheetId="4">[1]Insumos!$H$718</definedName>
    <definedName name="clpt">[1]Insumos!$H$718</definedName>
    <definedName name="clr1\2">[2]Insumos!$E$427</definedName>
    <definedName name="clr1_2_1_1" localSheetId="4">[1]Insumos!$H$868</definedName>
    <definedName name="clr1_2_1_1">[1]Insumos!$H$868</definedName>
    <definedName name="clz10x15" localSheetId="4">[1]Insumos!$H$984</definedName>
    <definedName name="clz10x15">[1]Insumos!$H$984</definedName>
    <definedName name="clz15x20" localSheetId="4">[1]Insumos!$H$985</definedName>
    <definedName name="clz15x20">[1]Insumos!$H$985</definedName>
    <definedName name="clz15x25" localSheetId="4">[1]Insumos!$H$986</definedName>
    <definedName name="clz15x25">[1]Insumos!$H$986</definedName>
    <definedName name="clz15x30" localSheetId="4">[1]Insumos!$H$987</definedName>
    <definedName name="clz15x30">[1]Insumos!$H$987</definedName>
    <definedName name="clz20x25" localSheetId="4">[1]Insumos!$H$988</definedName>
    <definedName name="clz20x25">[1]Insumos!$H$988</definedName>
    <definedName name="clz20x40">[2]Insumos!$E$465</definedName>
    <definedName name="clz6x10" localSheetId="4">[1]Insumos!$H$982</definedName>
    <definedName name="clz6x10">[1]Insumos!$H$982</definedName>
    <definedName name="clz6x15" localSheetId="4">[1]Insumos!$H$983</definedName>
    <definedName name="clz6x15">[1]Insumos!$H$983</definedName>
    <definedName name="CM9I">[2]Equipamentos!$P$38</definedName>
    <definedName name="CM9P">[2]Equipamentos!$N$38</definedName>
    <definedName name="cmn3b" localSheetId="4">[1]Insumos!$H$1307</definedName>
    <definedName name="cmn3b">[1]Insumos!$H$1307</definedName>
    <definedName name="cmn4b" localSheetId="4">[1]Insumos!$H$1306</definedName>
    <definedName name="cmn4b">[1]Insumos!$H$1306</definedName>
    <definedName name="cmr900x20" localSheetId="4">[1]Insumos!$H$904</definedName>
    <definedName name="cmr900x20">[1]Insumos!$H$904</definedName>
    <definedName name="COBERTURA" localSheetId="4">#REF!</definedName>
    <definedName name="COBERTURA" localSheetId="1">#REF!</definedName>
    <definedName name="COBERTURA">#REF!</definedName>
    <definedName name="com">[2]Insumos!$E$626</definedName>
    <definedName name="comp__da_base" localSheetId="4">#REF!</definedName>
    <definedName name="comp__da_base">#REF!</definedName>
    <definedName name="compac">[4]Insumos!$C$148</definedName>
    <definedName name="compac_1">NA()</definedName>
    <definedName name="compac_5">NA()</definedName>
    <definedName name="compac_6">NA()</definedName>
    <definedName name="COMPRIMENTO_PILAR" localSheetId="4">#REF!</definedName>
    <definedName name="COMPRIMENTO_PILAR" localSheetId="1">#REF!</definedName>
    <definedName name="COMPRIMENTO_PILAR">#REF!</definedName>
    <definedName name="concs13_5" localSheetId="4">[1]Insumos!$H$1438</definedName>
    <definedName name="concs13_5">[1]Insumos!$H$1438</definedName>
    <definedName name="cpacn" localSheetId="4">[1]Insumos!$H$1253</definedName>
    <definedName name="cpacn">[1]Insumos!$H$1253</definedName>
    <definedName name="cpi50_40s" localSheetId="4">[1]Insumos!$H$919</definedName>
    <definedName name="cpi50_40s">[1]Insumos!$H$919</definedName>
    <definedName name="cpi75_40s" localSheetId="4">[1]Insumos!$H$918</definedName>
    <definedName name="cpi75_40s">[1]Insumos!$H$918</definedName>
    <definedName name="cpj">[2]Insumos!$E$30</definedName>
    <definedName name="cpl">[2]Insumos!$E$344</definedName>
    <definedName name="cpt">[2]Insumos!$E$85</definedName>
    <definedName name="csi">[2]Insumos!$E$459</definedName>
    <definedName name="csp">[2]Insumos!$E$460</definedName>
    <definedName name="ct12r">[2]Insumos!$E$370</definedName>
    <definedName name="ct5r">[2]Insumos!$E$369</definedName>
    <definedName name="ctal" localSheetId="4">[1]Insumos!$H$78</definedName>
    <definedName name="ctal">[1]Insumos!$H$78</definedName>
    <definedName name="ctaz" localSheetId="4">[1]Insumos!$H$81</definedName>
    <definedName name="ctaz">[1]Insumos!$H$81</definedName>
    <definedName name="ctb" localSheetId="4">[1]Insumos!$H$1460</definedName>
    <definedName name="ctb">[1]Insumos!$H$1460</definedName>
    <definedName name="ctm">[2]Insumos!$E$618</definedName>
    <definedName name="cvd88_60" localSheetId="4">[1]Insumos!$H$1002</definedName>
    <definedName name="cvd88_60">[1]Insumos!$H$1002</definedName>
    <definedName name="cvi1\2">[2]Insumos!$E$407</definedName>
    <definedName name="cvi1_2_1" localSheetId="4">[1]Insumos!$H$823</definedName>
    <definedName name="cvi1_2_1">[1]Insumos!$H$823</definedName>
    <definedName name="cvi3_4" localSheetId="4">[1]Insumos!$H$824</definedName>
    <definedName name="cvi3_4">[1]Insumos!$H$824</definedName>
    <definedName name="cvi50_40s" localSheetId="4">[1]Insumos!$H$909</definedName>
    <definedName name="cvi50_40s">[1]Insumos!$H$909</definedName>
    <definedName name="cvi75_40s" localSheetId="4">[1]Insumos!$H$908</definedName>
    <definedName name="cvi75_40s">[1]Insumos!$H$908</definedName>
    <definedName name="cvp1\2">[2]Insumos!$E$406</definedName>
    <definedName name="cvp1_2_1" localSheetId="4">[1]Insumos!$H$821</definedName>
    <definedName name="cvp1_2_1">[1]Insumos!$H$821</definedName>
    <definedName name="cvp1_2s" localSheetId="4">[1]Insumos!$H$822</definedName>
    <definedName name="cvp1_2s">[1]Insumos!$H$822</definedName>
    <definedName name="cxfg4x2" localSheetId="4">[1]Insumos!$H$655</definedName>
    <definedName name="cxfg4x2">[1]Insumos!$H$655</definedName>
    <definedName name="cxp3x3s">[2]Insumos!$E$335</definedName>
    <definedName name="cxp4x2">[2]Insumos!$E$336</definedName>
    <definedName name="cxp4x2s">[2]Insumos!$E$334</definedName>
    <definedName name="cxp4x4">[2]Insumos!$E$337</definedName>
    <definedName name="D6I">[2]Equipamentos!$P$22</definedName>
    <definedName name="D6P">[2]Equipamentos!$N$22</definedName>
    <definedName name="D8I">[2]Equipamentos!$P$21</definedName>
    <definedName name="D8P">[2]Equipamentos!$N$21</definedName>
    <definedName name="dci1\2">[2]Insumos!$E$418</definedName>
    <definedName name="dci1_2_1" localSheetId="4">[1]Insumos!$H$838</definedName>
    <definedName name="dci1_2_1">[1]Insumos!$H$838</definedName>
    <definedName name="dcr">[2]Insumos!$E$253</definedName>
    <definedName name="ddd">[2]Insumos!$E$697</definedName>
    <definedName name="def_01" localSheetId="4">[1]Insumos!$H$1279</definedName>
    <definedName name="def_01">[1]Insumos!$H$1279</definedName>
    <definedName name="def_06" localSheetId="4">[1]Insumos!$H$1280</definedName>
    <definedName name="def_06">[1]Insumos!$H$1280</definedName>
    <definedName name="des">[2]Insumos!$E$621</definedName>
    <definedName name="DFFDGSADFHSAHADF">#N/A</definedName>
    <definedName name="dfm" localSheetId="4">[1]Insumos!$H$331</definedName>
    <definedName name="dfm">[1]Insumos!$H$331</definedName>
    <definedName name="dgd">[2]Insumos!$E$111</definedName>
    <definedName name="dgrn">[2]Insumos!$E$112</definedName>
    <definedName name="dgrn1" localSheetId="4">[1]Insumos!$H$246</definedName>
    <definedName name="dgrn1">[1]Insumos!$H$246</definedName>
    <definedName name="diap" localSheetId="4">[1]Insumos!$H$1400</definedName>
    <definedName name="diap">[1]Insumos!$H$1400</definedName>
    <definedName name="DIE">[2]Equipamentos!$A$12</definedName>
    <definedName name="DKM">[2]Insumos!$C$7</definedName>
    <definedName name="dnpc">[2]Insumos!$E$109</definedName>
    <definedName name="dns">[2]Insumos!$E$110</definedName>
    <definedName name="dnt11_2_40" localSheetId="4">[3]Insumos!$F$1290</definedName>
    <definedName name="dnt11_2_40">[3]Insumos!$F$1290</definedName>
    <definedName name="dnt2_40" localSheetId="4">[1]Insumos!$H$1308</definedName>
    <definedName name="dnt2_40">[1]Insumos!$H$1308</definedName>
    <definedName name="dpti" localSheetId="4">[1]Insumos!$H$1075</definedName>
    <definedName name="dpti">[1]Insumos!$H$1075</definedName>
    <definedName name="dptp" localSheetId="4">[1]Insumos!$H$1074</definedName>
    <definedName name="dptp">[1]Insumos!$H$1074</definedName>
    <definedName name="eaa">[2]Insumos!$E$181</definedName>
    <definedName name="ecpm16x16" localSheetId="4">[1]Insumos!$H$1149</definedName>
    <definedName name="ecpm16x16">[1]Insumos!$H$1149</definedName>
    <definedName name="eem">[2]Insumos!$E$200</definedName>
    <definedName name="EFI">[2]Insumos!$C$3</definedName>
    <definedName name="ele">[2]Insumos!$E$571</definedName>
    <definedName name="elf1_2" localSheetId="4">[1]Insumos!$H$697</definedName>
    <definedName name="elf1_2">[1]Insumos!$H$697</definedName>
    <definedName name="elf11_4" localSheetId="4">[1]Insumos!$H$700</definedName>
    <definedName name="elf11_4">[1]Insumos!$H$700</definedName>
    <definedName name="elf3_4" localSheetId="4">[1]Insumos!$H$698</definedName>
    <definedName name="elf3_4">[1]Insumos!$H$698</definedName>
    <definedName name="elfg1_2" localSheetId="4">[1]Insumos!$H$694</definedName>
    <definedName name="elfg1_2">[1]Insumos!$H$694</definedName>
    <definedName name="elfg11_2" localSheetId="4">[1]Insumos!$H$696</definedName>
    <definedName name="elfg11_2">[1]Insumos!$H$696</definedName>
    <definedName name="elfg3_4" localSheetId="4">[1]Insumos!$H$695</definedName>
    <definedName name="elfg3_4">[1]Insumos!$H$695</definedName>
    <definedName name="elr1\2">[2]Insumos!$E$353</definedName>
    <definedName name="elr1_2_1_1" localSheetId="4">[1]Insumos!$H$701</definedName>
    <definedName name="elr1_2_1_1">[1]Insumos!$H$701</definedName>
    <definedName name="elr11_2_1_1" localSheetId="4">[1]Insumos!$H$705</definedName>
    <definedName name="elr11_2_1_1">[1]Insumos!$H$705</definedName>
    <definedName name="elr11_4_1_1" localSheetId="4">[1]Insumos!$H$704</definedName>
    <definedName name="elr11_4_1_1">[1]Insumos!$H$704</definedName>
    <definedName name="elr3\4">[2]Insumos!$E$354</definedName>
    <definedName name="elr3_4_1_1" localSheetId="4">[1]Insumos!$H$702</definedName>
    <definedName name="elr3_4_1_1">[1]Insumos!$H$702</definedName>
    <definedName name="elv20x20" localSheetId="4">[1]Insumos!$H$1140</definedName>
    <definedName name="elv20x20">[1]Insumos!$H$1140</definedName>
    <definedName name="elv20x20_6_5" localSheetId="4">[1]Insumos!$H$1141</definedName>
    <definedName name="elv20x20_6_5">[1]Insumos!$H$1141</definedName>
    <definedName name="elv25x25">[2]Insumos!$E$532</definedName>
    <definedName name="elv40x40_7" localSheetId="4">[1]Insumos!$H$1138</definedName>
    <definedName name="elv40x40_7">[1]Insumos!$H$1138</definedName>
    <definedName name="elv50x40">[2]Insumos!$E$519</definedName>
    <definedName name="elv50x50">[2]Insumos!$E$520</definedName>
    <definedName name="elv50x50_7" localSheetId="4">[1]Insumos!$H$1137</definedName>
    <definedName name="elv50x50_7">[1]Insumos!$H$1137</definedName>
    <definedName name="emb">[2]Insumos!$E$590</definedName>
    <definedName name="emc">[2]Insumos!$E$583</definedName>
    <definedName name="enc" localSheetId="4">#REF!</definedName>
    <definedName name="enc">#REF!</definedName>
    <definedName name="enca" localSheetId="4">#REF!</definedName>
    <definedName name="enca">#REF!</definedName>
    <definedName name="encp" localSheetId="4">[1]Insumos!$H$16</definedName>
    <definedName name="encp">[1]Insumos!$H$16</definedName>
    <definedName name="ENE">[2]Equipamentos!$A$16</definedName>
    <definedName name="enf" localSheetId="4">[1]Insumos!$H$892</definedName>
    <definedName name="enf">[1]Insumos!$H$892</definedName>
    <definedName name="enf1_2" localSheetId="4">[1]Insumos!$H$893</definedName>
    <definedName name="enf1_2">[1]Insumos!$H$893</definedName>
    <definedName name="enf3_4" localSheetId="4">[1]Insumos!$H$894</definedName>
    <definedName name="enf3_4">[1]Insumos!$H$894</definedName>
    <definedName name="eng" localSheetId="4">[1]Insumos!$H$15</definedName>
    <definedName name="eng">[1]Insumos!$H$15</definedName>
    <definedName name="epc">[2]Insumos!$E$478</definedName>
    <definedName name="eqde125" localSheetId="4">[1]Insumos!$H$1015</definedName>
    <definedName name="eqde125">[1]Insumos!$H$1015</definedName>
    <definedName name="eqdi125" localSheetId="4">[1]Insumos!$H$1014</definedName>
    <definedName name="eqdi125">[1]Insumos!$H$1014</definedName>
    <definedName name="erm">[2]Insumos!$E$182</definedName>
    <definedName name="erp">[2]Insumos!$E$628</definedName>
    <definedName name="err1c" localSheetId="4">[1]Insumos!$H$216</definedName>
    <definedName name="err1c">[1]Insumos!$H$216</definedName>
    <definedName name="esc1.1000">[2]Insumos!$E$641</definedName>
    <definedName name="esc1.200">[2]Insumos!$E$637</definedName>
    <definedName name="esc1.400">[2]Insumos!$E$638</definedName>
    <definedName name="esc1.50">[2]Insumos!$E$636</definedName>
    <definedName name="esc1.600">[2]Insumos!$E$639</definedName>
    <definedName name="esc1.800">[2]Insumos!$E$640</definedName>
    <definedName name="esc1_1000" localSheetId="4">[1]Insumos!$H$1363</definedName>
    <definedName name="esc1_1000">[1]Insumos!$H$1363</definedName>
    <definedName name="esc1_200" localSheetId="4">[1]Insumos!$H$1359</definedName>
    <definedName name="esc1_200">[1]Insumos!$H$1359</definedName>
    <definedName name="esc1_400" localSheetId="4">[1]Insumos!$H$1360</definedName>
    <definedName name="esc1_400">[1]Insumos!$H$1360</definedName>
    <definedName name="esc1_50" localSheetId="4">[1]Insumos!$H$1358</definedName>
    <definedName name="esc1_50">[1]Insumos!$H$1358</definedName>
    <definedName name="esc1_600" localSheetId="4">[1]Insumos!$H$1361</definedName>
    <definedName name="esc1_600">[1]Insumos!$H$1361</definedName>
    <definedName name="esc1_800" localSheetId="4">[1]Insumos!$H$1362</definedName>
    <definedName name="esc1_800">[1]Insumos!$H$1362</definedName>
    <definedName name="esc2.50">[2]Insumos!$E$634</definedName>
    <definedName name="esc2_50" localSheetId="4">[1]Insumos!$H$1356</definedName>
    <definedName name="esc2_50">[1]Insumos!$H$1356</definedName>
    <definedName name="ESCAVAÇÃO_DAS_VALAS" localSheetId="4">#REF!</definedName>
    <definedName name="ESCAVAÇÃO_DAS_VALAS" localSheetId="1">#REF!</definedName>
    <definedName name="ESCAVAÇÃO_DAS_VALAS">#REF!</definedName>
    <definedName name="escg" localSheetId="4">[1]Insumos!$H$1288</definedName>
    <definedName name="escg">[1]Insumos!$H$1288</definedName>
    <definedName name="esg">[2]Insumos!$E$699</definedName>
    <definedName name="eshoriz" localSheetId="4">[1]Insumos!$H$1291</definedName>
    <definedName name="eshoriz">[1]Insumos!$H$1291</definedName>
    <definedName name="esm">[2]Insumos!$E$141</definedName>
    <definedName name="espc" localSheetId="4">[1]Insumos!$H$1310</definedName>
    <definedName name="espc">[1]Insumos!$H$1310</definedName>
    <definedName name="estc" localSheetId="4">[1]Insumos!$H$1309</definedName>
    <definedName name="estc">[1]Insumos!$H$1309</definedName>
    <definedName name="Excel_BuiltIn_Print_Area_1_1" localSheetId="4">#REF!</definedName>
    <definedName name="Excel_BuiltIn_Print_Area_1_1" localSheetId="1">#REF!</definedName>
    <definedName name="Excel_BuiltIn_Print_Area_1_1">#REF!</definedName>
    <definedName name="Excel_BuiltIn_Print_Area_10" localSheetId="4">#REF!</definedName>
    <definedName name="Excel_BuiltIn_Print_Area_10" localSheetId="1">#REF!</definedName>
    <definedName name="Excel_BuiltIn_Print_Area_10">#REF!</definedName>
    <definedName name="Excel_BuiltIn_Print_Area_10_1" localSheetId="4">#REF!</definedName>
    <definedName name="Excel_BuiltIn_Print_Area_10_1" localSheetId="1">#REF!</definedName>
    <definedName name="Excel_BuiltIn_Print_Area_10_1">#REF!</definedName>
    <definedName name="Excel_BuiltIn_Print_Area_10_1_1" localSheetId="4">#REF!</definedName>
    <definedName name="Excel_BuiltIn_Print_Area_10_1_1" localSheetId="1">#REF!</definedName>
    <definedName name="Excel_BuiltIn_Print_Area_10_1_1">#REF!</definedName>
    <definedName name="Excel_BuiltIn_Print_Area_11" localSheetId="4">#REF!</definedName>
    <definedName name="Excel_BuiltIn_Print_Area_11" localSheetId="1">#REF!</definedName>
    <definedName name="Excel_BuiltIn_Print_Area_11">#REF!</definedName>
    <definedName name="Excel_BuiltIn_Print_Area_11_1" localSheetId="4">#REF!</definedName>
    <definedName name="Excel_BuiltIn_Print_Area_11_1" localSheetId="1">#REF!</definedName>
    <definedName name="Excel_BuiltIn_Print_Area_11_1">#REF!</definedName>
    <definedName name="Excel_BuiltIn_Print_Area_12" localSheetId="4">#REF!</definedName>
    <definedName name="Excel_BuiltIn_Print_Area_12" localSheetId="1">#REF!</definedName>
    <definedName name="Excel_BuiltIn_Print_Area_12">#REF!</definedName>
    <definedName name="Excel_BuiltIn_Print_Area_12_1" localSheetId="4">#REF!</definedName>
    <definedName name="Excel_BuiltIn_Print_Area_12_1" localSheetId="1">#REF!</definedName>
    <definedName name="Excel_BuiltIn_Print_Area_12_1">#REF!</definedName>
    <definedName name="Excel_BuiltIn_Print_Area_14" localSheetId="4">#REF!</definedName>
    <definedName name="Excel_BuiltIn_Print_Area_14" localSheetId="1">#REF!</definedName>
    <definedName name="Excel_BuiltIn_Print_Area_14">#REF!</definedName>
    <definedName name="Excel_BuiltIn_Print_Area_14_1" localSheetId="4">#REF!</definedName>
    <definedName name="Excel_BuiltIn_Print_Area_14_1" localSheetId="1">#REF!</definedName>
    <definedName name="Excel_BuiltIn_Print_Area_14_1">#REF!</definedName>
    <definedName name="Excel_BuiltIn_Print_Area_15" localSheetId="4">#REF!</definedName>
    <definedName name="Excel_BuiltIn_Print_Area_15" localSheetId="1">#REF!</definedName>
    <definedName name="Excel_BuiltIn_Print_Area_15">#REF!</definedName>
    <definedName name="Excel_BuiltIn_Print_Area_15_1" localSheetId="4">#REF!</definedName>
    <definedName name="Excel_BuiltIn_Print_Area_15_1" localSheetId="1">#REF!</definedName>
    <definedName name="Excel_BuiltIn_Print_Area_15_1">#REF!</definedName>
    <definedName name="Excel_BuiltIn_Print_Area_2" localSheetId="4">#REF!</definedName>
    <definedName name="Excel_BuiltIn_Print_Area_2" localSheetId="1">#REF!</definedName>
    <definedName name="Excel_BuiltIn_Print_Area_2">#REF!</definedName>
    <definedName name="Excel_BuiltIn_Print_Area_3" localSheetId="4">#REF!</definedName>
    <definedName name="Excel_BuiltIn_Print_Area_3" localSheetId="1">#REF!</definedName>
    <definedName name="Excel_BuiltIn_Print_Area_3">#REF!</definedName>
    <definedName name="Excel_BuiltIn_Print_Area_3_1" localSheetId="4">#REF!</definedName>
    <definedName name="Excel_BuiltIn_Print_Area_3_1" localSheetId="1">#REF!</definedName>
    <definedName name="Excel_BuiltIn_Print_Area_3_1">#REF!</definedName>
    <definedName name="Excel_BuiltIn_Print_Area_3_1_1" localSheetId="4">#REF!</definedName>
    <definedName name="Excel_BuiltIn_Print_Area_3_1_1" localSheetId="1">#REF!</definedName>
    <definedName name="Excel_BuiltIn_Print_Area_3_1_1">#REF!</definedName>
    <definedName name="Excel_BuiltIn_Print_Area_3_1_1_1" localSheetId="4">#REF!</definedName>
    <definedName name="Excel_BuiltIn_Print_Area_3_1_1_1" localSheetId="1">#REF!</definedName>
    <definedName name="Excel_BuiltIn_Print_Area_3_1_1_1">#REF!</definedName>
    <definedName name="Excel_BuiltIn_Print_Area_3_1_1_1_1" localSheetId="4">#REF!</definedName>
    <definedName name="Excel_BuiltIn_Print_Area_3_1_1_1_1" localSheetId="1">#REF!</definedName>
    <definedName name="Excel_BuiltIn_Print_Area_3_1_1_1_1">#REF!</definedName>
    <definedName name="Excel_BuiltIn_Print_Area_3_1_1_1_1_1" localSheetId="4">#REF!</definedName>
    <definedName name="Excel_BuiltIn_Print_Area_3_1_1_1_1_1" localSheetId="1">#REF!</definedName>
    <definedName name="Excel_BuiltIn_Print_Area_3_1_1_1_1_1">#REF!</definedName>
    <definedName name="Excel_BuiltIn_Print_Area_3_1_10" localSheetId="4">#REF!</definedName>
    <definedName name="Excel_BuiltIn_Print_Area_3_1_10" localSheetId="1">#REF!</definedName>
    <definedName name="Excel_BuiltIn_Print_Area_3_1_10">#REF!</definedName>
    <definedName name="Excel_BuiltIn_Print_Area_3_1_12" localSheetId="4">#REF!</definedName>
    <definedName name="Excel_BuiltIn_Print_Area_3_1_12" localSheetId="1">#REF!</definedName>
    <definedName name="Excel_BuiltIn_Print_Area_3_1_12">#REF!</definedName>
    <definedName name="Excel_BuiltIn_Print_Area_3_1_9" localSheetId="4">#REF!</definedName>
    <definedName name="Excel_BuiltIn_Print_Area_3_1_9" localSheetId="1">#REF!</definedName>
    <definedName name="Excel_BuiltIn_Print_Area_3_1_9">#REF!</definedName>
    <definedName name="Excel_BuiltIn_Print_Area_4" localSheetId="4">#REF!</definedName>
    <definedName name="Excel_BuiltIn_Print_Area_4" localSheetId="1">#REF!</definedName>
    <definedName name="Excel_BuiltIn_Print_Area_4">#REF!</definedName>
    <definedName name="Excel_BuiltIn_Print_Area_4_1" localSheetId="4">#REF!</definedName>
    <definedName name="Excel_BuiltIn_Print_Area_4_1" localSheetId="1">#REF!</definedName>
    <definedName name="Excel_BuiltIn_Print_Area_4_1">#REF!</definedName>
    <definedName name="Excel_BuiltIn_Print_Area_4_1_1">"$#REF!.$A$1:$F$19"</definedName>
    <definedName name="Excel_BuiltIn_Print_Area_4_1_10" localSheetId="4">#REF!</definedName>
    <definedName name="Excel_BuiltIn_Print_Area_4_1_10" localSheetId="1">#REF!</definedName>
    <definedName name="Excel_BuiltIn_Print_Area_4_1_10">#REF!</definedName>
    <definedName name="Excel_BuiltIn_Print_Area_4_1_12" localSheetId="4">#REF!</definedName>
    <definedName name="Excel_BuiltIn_Print_Area_4_1_12" localSheetId="1">#REF!</definedName>
    <definedName name="Excel_BuiltIn_Print_Area_4_1_12">#REF!</definedName>
    <definedName name="Excel_BuiltIn_Print_Area_4_1_9" localSheetId="4">#REF!</definedName>
    <definedName name="Excel_BuiltIn_Print_Area_4_1_9" localSheetId="1">#REF!</definedName>
    <definedName name="Excel_BuiltIn_Print_Area_4_1_9">#REF!</definedName>
    <definedName name="Excel_BuiltIn_Print_Area_5" localSheetId="4">#REF!</definedName>
    <definedName name="Excel_BuiltIn_Print_Area_5" localSheetId="1">#REF!</definedName>
    <definedName name="Excel_BuiltIn_Print_Area_5">#REF!</definedName>
    <definedName name="Excel_BuiltIn_Print_Area_5_1" localSheetId="4">#REF!</definedName>
    <definedName name="Excel_BuiltIn_Print_Area_5_1" localSheetId="1">#REF!</definedName>
    <definedName name="Excel_BuiltIn_Print_Area_5_1">#REF!</definedName>
    <definedName name="Excel_BuiltIn_Print_Area_5_1_1" localSheetId="4">#REF!</definedName>
    <definedName name="Excel_BuiltIn_Print_Area_5_1_1" localSheetId="1">#REF!</definedName>
    <definedName name="Excel_BuiltIn_Print_Area_5_1_1">#REF!</definedName>
    <definedName name="Excel_BuiltIn_Print_Area_5_1_1_1" localSheetId="4">#REF!</definedName>
    <definedName name="Excel_BuiltIn_Print_Area_5_1_1_1" localSheetId="1">#REF!</definedName>
    <definedName name="Excel_BuiltIn_Print_Area_5_1_1_1">#REF!</definedName>
    <definedName name="Excel_BuiltIn_Print_Area_6" localSheetId="4">#REF!</definedName>
    <definedName name="Excel_BuiltIn_Print_Area_6" localSheetId="1">#REF!</definedName>
    <definedName name="Excel_BuiltIn_Print_Area_6">#REF!</definedName>
    <definedName name="Excel_BuiltIn_Print_Area_6_1" localSheetId="4">#REF!</definedName>
    <definedName name="Excel_BuiltIn_Print_Area_6_1" localSheetId="1">#REF!</definedName>
    <definedName name="Excel_BuiltIn_Print_Area_6_1">#REF!</definedName>
    <definedName name="Excel_BuiltIn_Print_Area_6_1_1" localSheetId="4">#REF!</definedName>
    <definedName name="Excel_BuiltIn_Print_Area_6_1_1" localSheetId="1">#REF!</definedName>
    <definedName name="Excel_BuiltIn_Print_Area_6_1_1">#REF!</definedName>
    <definedName name="Excel_BuiltIn_Print_Area_6_1_1_1">"$#REF!.$A$1:$F$27"</definedName>
    <definedName name="Excel_BuiltIn_Print_Area_6_1_1_1_1" localSheetId="4">#REF!</definedName>
    <definedName name="Excel_BuiltIn_Print_Area_6_1_1_1_1" localSheetId="1">#REF!</definedName>
    <definedName name="Excel_BuiltIn_Print_Area_6_1_1_1_1">#REF!</definedName>
    <definedName name="Excel_BuiltIn_Print_Area_6_1_10" localSheetId="4">#REF!</definedName>
    <definedName name="Excel_BuiltIn_Print_Area_6_1_10" localSheetId="1">#REF!</definedName>
    <definedName name="Excel_BuiltIn_Print_Area_6_1_10">#REF!</definedName>
    <definedName name="Excel_BuiltIn_Print_Area_6_1_12" localSheetId="4">#REF!</definedName>
    <definedName name="Excel_BuiltIn_Print_Area_6_1_12" localSheetId="1">#REF!</definedName>
    <definedName name="Excel_BuiltIn_Print_Area_6_1_12">#REF!</definedName>
    <definedName name="Excel_BuiltIn_Print_Area_6_1_9" localSheetId="4">#REF!</definedName>
    <definedName name="Excel_BuiltIn_Print_Area_6_1_9" localSheetId="1">#REF!</definedName>
    <definedName name="Excel_BuiltIn_Print_Area_6_1_9">#REF!</definedName>
    <definedName name="Excel_BuiltIn_Print_Area_7" localSheetId="4">#REF!</definedName>
    <definedName name="Excel_BuiltIn_Print_Area_7" localSheetId="1">#REF!</definedName>
    <definedName name="Excel_BuiltIn_Print_Area_7">#REF!</definedName>
    <definedName name="Excel_BuiltIn_Print_Area_7_1" localSheetId="4">#REF!</definedName>
    <definedName name="Excel_BuiltIn_Print_Area_7_1" localSheetId="1">#REF!</definedName>
    <definedName name="Excel_BuiltIn_Print_Area_7_1">#REF!</definedName>
    <definedName name="Excel_BuiltIn_Print_Area_7_1_1" localSheetId="4">#REF!</definedName>
    <definedName name="Excel_BuiltIn_Print_Area_7_1_1" localSheetId="1">#REF!</definedName>
    <definedName name="Excel_BuiltIn_Print_Area_7_1_1">#REF!</definedName>
    <definedName name="Excel_BuiltIn_Print_Area_7_1_10" localSheetId="4">#REF!</definedName>
    <definedName name="Excel_BuiltIn_Print_Area_7_1_10" localSheetId="1">#REF!</definedName>
    <definedName name="Excel_BuiltIn_Print_Area_7_1_10">#REF!</definedName>
    <definedName name="Excel_BuiltIn_Print_Area_7_1_12" localSheetId="4">#REF!</definedName>
    <definedName name="Excel_BuiltIn_Print_Area_7_1_12" localSheetId="1">#REF!</definedName>
    <definedName name="Excel_BuiltIn_Print_Area_7_1_12">#REF!</definedName>
    <definedName name="Excel_BuiltIn_Print_Area_7_1_9" localSheetId="4">#REF!</definedName>
    <definedName name="Excel_BuiltIn_Print_Area_7_1_9" localSheetId="1">#REF!</definedName>
    <definedName name="Excel_BuiltIn_Print_Area_7_1_9">#REF!</definedName>
    <definedName name="Excel_BuiltIn_Print_Area_7_1_9_1" localSheetId="4">#REF!</definedName>
    <definedName name="Excel_BuiltIn_Print_Area_7_1_9_1" localSheetId="1">#REF!</definedName>
    <definedName name="Excel_BuiltIn_Print_Area_7_1_9_1">#REF!</definedName>
    <definedName name="Excel_BuiltIn_Print_Area_7_2" localSheetId="4">#REF!</definedName>
    <definedName name="Excel_BuiltIn_Print_Area_7_2" localSheetId="1">#REF!</definedName>
    <definedName name="Excel_BuiltIn_Print_Area_7_2">#REF!</definedName>
    <definedName name="Excel_BuiltIn_Print_Area_8" localSheetId="4">#REF!</definedName>
    <definedName name="Excel_BuiltIn_Print_Area_8" localSheetId="1">#REF!</definedName>
    <definedName name="Excel_BuiltIn_Print_Area_8">#REF!</definedName>
    <definedName name="Excel_BuiltIn_Print_Area_8_1" localSheetId="4">#REF!</definedName>
    <definedName name="Excel_BuiltIn_Print_Area_8_1" localSheetId="1">#REF!</definedName>
    <definedName name="Excel_BuiltIn_Print_Area_8_1">#REF!</definedName>
    <definedName name="Excel_BuiltIn_Print_Area_8_1_1" localSheetId="4">#REF!</definedName>
    <definedName name="Excel_BuiltIn_Print_Area_8_1_1" localSheetId="1">#REF!</definedName>
    <definedName name="Excel_BuiltIn_Print_Area_8_1_1">#REF!</definedName>
    <definedName name="Excel_BuiltIn_Print_Area_9" localSheetId="4">#REF!</definedName>
    <definedName name="Excel_BuiltIn_Print_Area_9" localSheetId="1">#REF!</definedName>
    <definedName name="Excel_BuiltIn_Print_Area_9">#REF!</definedName>
    <definedName name="Excel_BuiltIn_Print_Area_9_1" localSheetId="4">#REF!</definedName>
    <definedName name="Excel_BuiltIn_Print_Area_9_1" localSheetId="1">#REF!</definedName>
    <definedName name="Excel_BuiltIn_Print_Area_9_1">#REF!</definedName>
    <definedName name="Excel_BuiltIn_Print_Area_9_1_1" localSheetId="4">#REF!</definedName>
    <definedName name="Excel_BuiltIn_Print_Area_9_1_1" localSheetId="1">#REF!</definedName>
    <definedName name="Excel_BuiltIn_Print_Area_9_1_1">#REF!</definedName>
    <definedName name="Excel_BuiltIn_Print_Titles_1" localSheetId="4">#REF!</definedName>
    <definedName name="Excel_BuiltIn_Print_Titles_1" localSheetId="1">#REF!</definedName>
    <definedName name="Excel_BuiltIn_Print_Titles_1">#REF!</definedName>
    <definedName name="Excel_BuiltIn_Print_Titles_10" localSheetId="4">#REF!</definedName>
    <definedName name="Excel_BuiltIn_Print_Titles_10" localSheetId="1">#REF!</definedName>
    <definedName name="Excel_BuiltIn_Print_Titles_10">#REF!</definedName>
    <definedName name="Excel_BuiltIn_Print_Titles_11_1" localSheetId="4">#REF!</definedName>
    <definedName name="Excel_BuiltIn_Print_Titles_11_1" localSheetId="1">#REF!</definedName>
    <definedName name="Excel_BuiltIn_Print_Titles_11_1">#REF!</definedName>
    <definedName name="Excel_BuiltIn_Print_Titles_12" localSheetId="4">#REF!</definedName>
    <definedName name="Excel_BuiltIn_Print_Titles_12" localSheetId="1">#REF!</definedName>
    <definedName name="Excel_BuiltIn_Print_Titles_12">#REF!</definedName>
    <definedName name="Excel_BuiltIn_Print_Titles_2" localSheetId="4">#REF!</definedName>
    <definedName name="Excel_BuiltIn_Print_Titles_2" localSheetId="1">#REF!</definedName>
    <definedName name="Excel_BuiltIn_Print_Titles_2">#REF!</definedName>
    <definedName name="Excel_BuiltIn_Print_Titles_2_1" localSheetId="4">#REF!</definedName>
    <definedName name="Excel_BuiltIn_Print_Titles_2_1" localSheetId="1">#REF!</definedName>
    <definedName name="Excel_BuiltIn_Print_Titles_2_1">#REF!</definedName>
    <definedName name="Excel_BuiltIn_Print_Titles_2_1_1" localSheetId="4">#REF!</definedName>
    <definedName name="Excel_BuiltIn_Print_Titles_2_1_1" localSheetId="1">#REF!</definedName>
    <definedName name="Excel_BuiltIn_Print_Titles_2_1_1">#REF!</definedName>
    <definedName name="Excel_BuiltIn_Print_Titles_3" localSheetId="4">#REF!</definedName>
    <definedName name="Excel_BuiltIn_Print_Titles_3" localSheetId="1">#REF!</definedName>
    <definedName name="Excel_BuiltIn_Print_Titles_3">#REF!</definedName>
    <definedName name="Excel_BuiltIn_Print_Titles_3_1" localSheetId="4">#REF!</definedName>
    <definedName name="Excel_BuiltIn_Print_Titles_3_1" localSheetId="1">#REF!</definedName>
    <definedName name="Excel_BuiltIn_Print_Titles_3_1">#REF!</definedName>
    <definedName name="Excel_BuiltIn_Print_Titles_3_10" localSheetId="4">#REF!</definedName>
    <definedName name="Excel_BuiltIn_Print_Titles_3_10" localSheetId="1">#REF!</definedName>
    <definedName name="Excel_BuiltIn_Print_Titles_3_10">#REF!</definedName>
    <definedName name="Excel_BuiltIn_Print_Titles_3_12" localSheetId="4">#REF!</definedName>
    <definedName name="Excel_BuiltIn_Print_Titles_3_12" localSheetId="1">#REF!</definedName>
    <definedName name="Excel_BuiltIn_Print_Titles_3_12">#REF!</definedName>
    <definedName name="Excel_BuiltIn_Print_Titles_3_9" localSheetId="4">#REF!</definedName>
    <definedName name="Excel_BuiltIn_Print_Titles_3_9" localSheetId="1">#REF!</definedName>
    <definedName name="Excel_BuiltIn_Print_Titles_3_9">#REF!</definedName>
    <definedName name="Excel_BuiltIn_Print_Titles_4" localSheetId="4">#REF!</definedName>
    <definedName name="Excel_BuiltIn_Print_Titles_4" localSheetId="1">#REF!</definedName>
    <definedName name="Excel_BuiltIn_Print_Titles_4">#REF!</definedName>
    <definedName name="Excel_BuiltIn_Print_Titles_4_1" localSheetId="4">#REF!</definedName>
    <definedName name="Excel_BuiltIn_Print_Titles_4_1" localSheetId="1">#REF!</definedName>
    <definedName name="Excel_BuiltIn_Print_Titles_4_1">#REF!</definedName>
    <definedName name="Excel_BuiltIn_Print_Titles_4_1_1">"$#REF!.$A$1:$AMJ$6"</definedName>
    <definedName name="Excel_BuiltIn_Print_Titles_4_1_10" localSheetId="4">#REF!</definedName>
    <definedName name="Excel_BuiltIn_Print_Titles_4_1_10" localSheetId="1">#REF!</definedName>
    <definedName name="Excel_BuiltIn_Print_Titles_4_1_10">#REF!</definedName>
    <definedName name="Excel_BuiltIn_Print_Titles_4_1_12" localSheetId="4">#REF!</definedName>
    <definedName name="Excel_BuiltIn_Print_Titles_4_1_12" localSheetId="1">#REF!</definedName>
    <definedName name="Excel_BuiltIn_Print_Titles_4_1_12">#REF!</definedName>
    <definedName name="Excel_BuiltIn_Print_Titles_4_1_9" localSheetId="4">#REF!</definedName>
    <definedName name="Excel_BuiltIn_Print_Titles_4_1_9" localSheetId="1">#REF!</definedName>
    <definedName name="Excel_BuiltIn_Print_Titles_4_1_9">#REF!</definedName>
    <definedName name="Excel_BuiltIn_Print_Titles_5" localSheetId="4">#REF!</definedName>
    <definedName name="Excel_BuiltIn_Print_Titles_5" localSheetId="1">#REF!</definedName>
    <definedName name="Excel_BuiltIn_Print_Titles_5">#REF!</definedName>
    <definedName name="Excel_BuiltIn_Print_Titles_5_1" localSheetId="4">#REF!</definedName>
    <definedName name="Excel_BuiltIn_Print_Titles_5_1" localSheetId="1">#REF!</definedName>
    <definedName name="Excel_BuiltIn_Print_Titles_5_1">#REF!</definedName>
    <definedName name="Excel_BuiltIn_Print_Titles_5_1_1" localSheetId="4">#REF!</definedName>
    <definedName name="Excel_BuiltIn_Print_Titles_5_1_1" localSheetId="1">#REF!</definedName>
    <definedName name="Excel_BuiltIn_Print_Titles_5_1_1">#REF!</definedName>
    <definedName name="Excel_BuiltIn_Print_Titles_5_1_1_1" localSheetId="4">#REF!</definedName>
    <definedName name="Excel_BuiltIn_Print_Titles_5_1_1_1" localSheetId="1">#REF!</definedName>
    <definedName name="Excel_BuiltIn_Print_Titles_5_1_1_1">#REF!</definedName>
    <definedName name="Excel_BuiltIn_Print_Titles_6">"$#REF!.$A$1:$AMJ$6"</definedName>
    <definedName name="Excel_BuiltIn_Print_Titles_6_1" localSheetId="4">#REF!</definedName>
    <definedName name="Excel_BuiltIn_Print_Titles_6_1" localSheetId="1">#REF!</definedName>
    <definedName name="Excel_BuiltIn_Print_Titles_6_1">#REF!</definedName>
    <definedName name="Excel_BuiltIn_Print_Titles_6_2" localSheetId="4">#REF!</definedName>
    <definedName name="Excel_BuiltIn_Print_Titles_6_2" localSheetId="1">#REF!</definedName>
    <definedName name="Excel_BuiltIn_Print_Titles_6_2">#REF!</definedName>
    <definedName name="Excel_BuiltIn_Print_Titles_7" localSheetId="4">#REF!</definedName>
    <definedName name="Excel_BuiltIn_Print_Titles_7" localSheetId="1">#REF!</definedName>
    <definedName name="Excel_BuiltIn_Print_Titles_7">#REF!</definedName>
    <definedName name="Excel_BuiltIn_Print_Titles_8" localSheetId="4">#REF!</definedName>
    <definedName name="Excel_BuiltIn_Print_Titles_8" localSheetId="1">#REF!</definedName>
    <definedName name="Excel_BuiltIn_Print_Titles_8">#REF!</definedName>
    <definedName name="Excel_BuiltIn_Print_Titles_9" localSheetId="4">#REF!</definedName>
    <definedName name="Excel_BuiltIn_Print_Titles_9" localSheetId="1">#REF!</definedName>
    <definedName name="Excel_BuiltIn_Print_Titles_9">#REF!</definedName>
    <definedName name="exp">[2]Insumos!$E$623</definedName>
    <definedName name="Extenso">#N/A</definedName>
    <definedName name="faad5_" localSheetId="4">[1]Insumos!$H$203</definedName>
    <definedName name="faad5_">[1]Insumos!$H$203</definedName>
    <definedName name="faz" localSheetId="4">[1]Insumos!$H$1036</definedName>
    <definedName name="faz">[1]Insumos!$H$1036</definedName>
    <definedName name="fcm">[2]Insumos!$E$143</definedName>
    <definedName name="FCPA">NA()</definedName>
    <definedName name="fec" localSheetId="4">[1]Insumos!$H$520</definedName>
    <definedName name="fec">[1]Insumos!$H$520</definedName>
    <definedName name="fer">[2]Insumos!$E$64</definedName>
    <definedName name="ferev" localSheetId="4">[1]Insumos!$H$511</definedName>
    <definedName name="ferev">[1]Insumos!$H$511</definedName>
    <definedName name="ferram">[4]Insumos!$C$9</definedName>
    <definedName name="ferram_1">NA()</definedName>
    <definedName name="ferram_5">NA()</definedName>
    <definedName name="ferram_6">NA()</definedName>
    <definedName name="fev">[2]Insumos!$E$71</definedName>
    <definedName name="fgl">[2]Insumos!$E$127</definedName>
    <definedName name="fic" localSheetId="4">[1]Insumos!$H$522</definedName>
    <definedName name="fic">[1]Insumos!$H$522</definedName>
    <definedName name="fill" localSheetId="4">[1]Insumos!$H$46</definedName>
    <definedName name="fill">[1]Insumos!$H$46</definedName>
    <definedName name="fio2e5">[4]Insumos!$C$146</definedName>
    <definedName name="fio2e5_1">NA()</definedName>
    <definedName name="fio2e5_5">NA()</definedName>
    <definedName name="fio2e5_6">NA()</definedName>
    <definedName name="fioa4">[2]Insumos!$E$351</definedName>
    <definedName name="fiom">[2]Insumos!$E$352</definedName>
    <definedName name="fiot">[2]Insumos!$E$350</definedName>
    <definedName name="fjo" localSheetId="4">[1]Insumos!$H$1466</definedName>
    <definedName name="fjo">[1]Insumos!$H$1466</definedName>
    <definedName name="fpc5x25" localSheetId="4">[1]Insumos!$H$229</definedName>
    <definedName name="fpc5x25">[1]Insumos!$H$229</definedName>
    <definedName name="fpc5x30" localSheetId="4">[1]Insumos!$H$230</definedName>
    <definedName name="fpc5x30">[1]Insumos!$H$230</definedName>
    <definedName name="fpc5x40" localSheetId="4">[1]Insumos!$H$231</definedName>
    <definedName name="fpc5x40">[1]Insumos!$H$231</definedName>
    <definedName name="fpm5x25" localSheetId="4">[1]Insumos!$H$228</definedName>
    <definedName name="fpm5x25">[1]Insumos!$H$228</definedName>
    <definedName name="fpsf" localSheetId="4">[1]Insumos!$H$232</definedName>
    <definedName name="fpsf">[1]Insumos!$H$232</definedName>
    <definedName name="frc">[2]Insumos!$E$249</definedName>
    <definedName name="frnh" localSheetId="4">[1]Insumos!$H$1471</definedName>
    <definedName name="frnh">[1]Insumos!$H$1471</definedName>
    <definedName name="frp">[2]Insumos!$E$126</definedName>
    <definedName name="fsgersfdgf" localSheetId="4">[5]Insumos!$F$535</definedName>
    <definedName name="fsgersfdgf">[5]Insumos!$F$535</definedName>
    <definedName name="ftcp50" localSheetId="4">[1]Insumos!$H$1191</definedName>
    <definedName name="ftcp50">[1]Insumos!$H$1191</definedName>
    <definedName name="ftp">[2]Insumos!$E$128</definedName>
    <definedName name="fvs" localSheetId="4">[1]Insumos!$H$972</definedName>
    <definedName name="fvs">[1]Insumos!$H$972</definedName>
    <definedName name="gabl" localSheetId="4">[1]Insumos!$H$1026</definedName>
    <definedName name="gabl">[1]Insumos!$H$1026</definedName>
    <definedName name="gabl1" localSheetId="4">[1]Insumos!$H$1027</definedName>
    <definedName name="gabl1">[1]Insumos!$H$1027</definedName>
    <definedName name="gabl2" localSheetId="4">[1]Insumos!$H$1025</definedName>
    <definedName name="gabl2">[1]Insumos!$H$1025</definedName>
    <definedName name="gabl3" localSheetId="4">[1]Insumos!$H$1023</definedName>
    <definedName name="gabl3">[1]Insumos!$H$1023</definedName>
    <definedName name="gabl4" localSheetId="4">[1]Insumos!$H$1024</definedName>
    <definedName name="gabl4">[1]Insumos!$H$1024</definedName>
    <definedName name="gang4" localSheetId="4">[1]Insumos!$H$1287</definedName>
    <definedName name="gang4">[1]Insumos!$H$1287</definedName>
    <definedName name="gang6" localSheetId="4">[1]Insumos!$H$1289</definedName>
    <definedName name="gang6">[1]Insumos!$H$1289</definedName>
    <definedName name="GAS">[2]Equipamentos!$A$13</definedName>
    <definedName name="gcm">[2]Insumos!$E$202</definedName>
    <definedName name="gml">[2]Insumos!$E$235</definedName>
    <definedName name="gpc20x50" localSheetId="4">[1]Insumos!$H$1022</definedName>
    <definedName name="gpc20x50">[1]Insumos!$H$1022</definedName>
    <definedName name="gptm" localSheetId="4">[1]Insumos!$H$611</definedName>
    <definedName name="gptm">[1]Insumos!$H$611</definedName>
    <definedName name="grd">[2]Insumos!$E$211</definedName>
    <definedName name="GRI">[2]Equipamentos!$P$30</definedName>
    <definedName name="grm">[2]Insumos!$E$90</definedName>
    <definedName name="GRP">[2]Equipamentos!$N$30</definedName>
    <definedName name="grpaf" localSheetId="4">[1]Insumos!$H$101</definedName>
    <definedName name="grpaf">[1]Insumos!$H$101</definedName>
    <definedName name="grx">[2]Insumos!$E$574</definedName>
    <definedName name="gsgd33" localSheetId="4">[1]Insumos!$H$733</definedName>
    <definedName name="gsgd33">[1]Insumos!$H$733</definedName>
    <definedName name="gtfg5x20" localSheetId="4">[1]Insumos!$H$402</definedName>
    <definedName name="gtfg5x20">[1]Insumos!$H$402</definedName>
    <definedName name="gtfg5x20_1" localSheetId="4">[1]Insumos!$H$401</definedName>
    <definedName name="gtfg5x20_1">[1]Insumos!$H$401</definedName>
    <definedName name="h2o10" localSheetId="4">[1]Insumos!$H$1033</definedName>
    <definedName name="h2o10">[1]Insumos!$H$1033</definedName>
    <definedName name="hac5_8_1" localSheetId="4">[1]Insumos!$H$722</definedName>
    <definedName name="hac5_8_1">[1]Insumos!$H$722</definedName>
    <definedName name="hac5_8_3_1" localSheetId="4">[1]Insumos!$H$723</definedName>
    <definedName name="hac5_8_3_1">[1]Insumos!$H$723</definedName>
    <definedName name="hidro" localSheetId="4">[1]Insumos!$H$888</definedName>
    <definedName name="hidro">[1]Insumos!$H$888</definedName>
    <definedName name="hidro1" localSheetId="4">[1]Insumos!$H$887</definedName>
    <definedName name="hidro1">[1]Insumos!$H$887</definedName>
    <definedName name="hrg" localSheetId="4">[1]Insumos!$H$362</definedName>
    <definedName name="hrg">[1]Insumos!$H$362</definedName>
    <definedName name="ijz" localSheetId="4">[1]Insumos!$H$1417</definedName>
    <definedName name="ijz">[1]Insumos!$H$1417</definedName>
    <definedName name="instc" localSheetId="4">[1]Insumos!$H$57</definedName>
    <definedName name="instc">[1]Insumos!$H$57</definedName>
    <definedName name="ipc">[2]Insumos!$E$281</definedName>
    <definedName name="ipf">[2]Insumos!$E$282</definedName>
    <definedName name="ispl12" localSheetId="4">[1]Insumos!$H$750</definedName>
    <definedName name="ispl12">[1]Insumos!$H$750</definedName>
    <definedName name="ispl18" localSheetId="4">[1]Insumos!$H$751</definedName>
    <definedName name="ispl18">[1]Insumos!$H$751</definedName>
    <definedName name="ispl24" localSheetId="4">[1]Insumos!$H$752</definedName>
    <definedName name="ispl24">[1]Insumos!$H$752</definedName>
    <definedName name="ispl9" localSheetId="4">[1]Insumos!$H$749</definedName>
    <definedName name="ispl9">[1]Insumos!$H$749</definedName>
    <definedName name="ittp1">[2]Insumos!$E$312</definedName>
    <definedName name="ittwp1" localSheetId="4">[1]Insumos!$H$621</definedName>
    <definedName name="ittwp1">[1]Insumos!$H$621</definedName>
    <definedName name="itup1">[2]Insumos!$E$308</definedName>
    <definedName name="itup2">[2]Insumos!$E$309</definedName>
    <definedName name="itup3">[2]Insumos!$E$310</definedName>
    <definedName name="iusp1">[2]Insumos!$E$305</definedName>
    <definedName name="jef">[2]Insumos!$E$207</definedName>
    <definedName name="jef150x110">[2]Insumos!$E$209</definedName>
    <definedName name="jef180x110">[2]Insumos!$E$210</definedName>
    <definedName name="jef190x100">[2]Insumos!$E$210</definedName>
    <definedName name="jef200_110">[2]Insumos!$E$208</definedName>
    <definedName name="jef200x110">[2]Insumos!$E$208</definedName>
    <definedName name="jef251x110" localSheetId="4">[1]Insumos!$H$458</definedName>
    <definedName name="jef251x110">[1]Insumos!$H$458</definedName>
    <definedName name="jef251x130" localSheetId="4">[1]Insumos!$H$459</definedName>
    <definedName name="jef251x130">[1]Insumos!$H$459</definedName>
    <definedName name="jef400x110" localSheetId="4">[1]Insumos!$H$460</definedName>
    <definedName name="jef400x110">[1]Insumos!$H$460</definedName>
    <definedName name="jfq">[2]Insumos!$E$204</definedName>
    <definedName name="jfq100x110">[2]Insumos!$E$206</definedName>
    <definedName name="jfq150x110">[2]Insumos!$E$205</definedName>
    <definedName name="jfq200x110" localSheetId="4">[1]Insumos!$H$448</definedName>
    <definedName name="jfq200x110">[1]Insumos!$H$448</definedName>
    <definedName name="jfq200x90" localSheetId="4">[1]Insumos!$H$449</definedName>
    <definedName name="jfq200x90">[1]Insumos!$H$449</definedName>
    <definedName name="jfq310x110" localSheetId="4">[1]Insumos!$H$452</definedName>
    <definedName name="jfq310x110">[1]Insumos!$H$452</definedName>
    <definedName name="jfq360x110" localSheetId="4">[1]Insumos!$H$451</definedName>
    <definedName name="jfq360x110">[1]Insumos!$H$451</definedName>
    <definedName name="jfq390x110" localSheetId="4">[1]Insumos!$H$450</definedName>
    <definedName name="jfq390x110">[1]Insumos!$H$450</definedName>
    <definedName name="jfqm" localSheetId="4">[1]Insumos!$H$445</definedName>
    <definedName name="jfqm">[1]Insumos!$H$445</definedName>
    <definedName name="jla1\220">[2]Insumos!$E$402</definedName>
    <definedName name="jla1_220_1_1" localSheetId="4">[1]Insumos!$H$794</definedName>
    <definedName name="jla1_220_1_1">[1]Insumos!$H$794</definedName>
    <definedName name="jla1_220L" localSheetId="4">[1]Insumos!$H$796</definedName>
    <definedName name="jla1_220L">[1]Insumos!$H$796</definedName>
    <definedName name="jla3_425_" localSheetId="4">[1]Insumos!$H$795</definedName>
    <definedName name="jla3_425_">[1]Insumos!$H$795</definedName>
    <definedName name="jla3_425L" localSheetId="4">[1]Insumos!$H$797</definedName>
    <definedName name="jla3_425L">[1]Insumos!$H$797</definedName>
    <definedName name="jmv">[2]Insumos!$E$211</definedName>
    <definedName name="jmv410x110" localSheetId="4">[1]Insumos!$H$444</definedName>
    <definedName name="jmv410x110">[1]Insumos!$H$444</definedName>
    <definedName name="JR_PAGE_ANCHOR_0_1" localSheetId="4">[9]ORCAMENTO!#REF!</definedName>
    <definedName name="JR_PAGE_ANCHOR_0_1">[9]ORCAMENTO!#REF!</definedName>
    <definedName name="JR_PAGE_ANCHOR_1_1" localSheetId="4">#REF!</definedName>
    <definedName name="JR_PAGE_ANCHOR_1_1">#REF!</definedName>
    <definedName name="JR_PAGE_ANCHOR_10_1" localSheetId="4">[9]BDI!#REF!</definedName>
    <definedName name="JR_PAGE_ANCHOR_10_1">[9]BDI!#REF!</definedName>
    <definedName name="JR_PAGE_ANCHOR_11_1">'[9]ENCARGOS SOCIAIS'!#REF!</definedName>
    <definedName name="JR_PAGE_ANCHOR_2_1">[9]RESUMO!#REF!</definedName>
    <definedName name="JR_PAGE_ANCHOR_3_1">[9]COMPOSICOES!#REF!</definedName>
    <definedName name="JR_PAGE_ANCHOR_4_1">'[9]COMPOSICOES PROPRIAS'!#REF!</definedName>
    <definedName name="JR_PAGE_ANCHOR_5_1" localSheetId="4">#REF!</definedName>
    <definedName name="JR_PAGE_ANCHOR_5_1">#REF!</definedName>
    <definedName name="JR_PAGE_ANCHOR_6_1" localSheetId="4">'[9]CURVA ABC SERVICOS'!#REF!</definedName>
    <definedName name="JR_PAGE_ANCHOR_6_1">'[9]CURVA ABC SERVICOS'!#REF!</definedName>
    <definedName name="JR_PAGE_ANCHOR_7_1" localSheetId="4">#REF!</definedName>
    <definedName name="JR_PAGE_ANCHOR_7_1">#REF!</definedName>
    <definedName name="JR_PAGE_ANCHOR_8_1" localSheetId="4">[9]CRONOGRAMA!#REF!</definedName>
    <definedName name="JR_PAGE_ANCHOR_8_1">[9]CRONOGRAMA!#REF!</definedName>
    <definedName name="JR_PAGE_ANCHOR_9_1" localSheetId="4">#REF!</definedName>
    <definedName name="JR_PAGE_ANCHOR_9_1">#REF!</definedName>
    <definedName name="JRS">[2]Equipamentos!$F$12</definedName>
    <definedName name="jtp1.5x3">[2]Insumos!$E$607</definedName>
    <definedName name="jtp1_5x3" localSheetId="4">[1]Insumos!$H$1329</definedName>
    <definedName name="jtp1_5x3">[1]Insumos!$H$1329</definedName>
    <definedName name="jtp2_5x4" localSheetId="4">[1]Insumos!$H$1327</definedName>
    <definedName name="jtp2_5x4">[1]Insumos!$H$1327</definedName>
    <definedName name="jtp2x3">[2]Insumos!$E$606</definedName>
    <definedName name="jvm100x110">[2]Insumos!$E$232</definedName>
    <definedName name="jvm120x110">[2]Insumos!$E$233</definedName>
    <definedName name="jvm150x110">[2]Insumos!$E$234</definedName>
    <definedName name="jvtf130x105">[2]Insumos!$E$239</definedName>
    <definedName name="jvtt135x50">[2]Insumos!$E$238</definedName>
    <definedName name="klar">[2]Insumos!$E$404</definedName>
    <definedName name="kprod">[4]Insumos!$C$7</definedName>
    <definedName name="kprod_1">NA()</definedName>
    <definedName name="kprod_5">NA()</definedName>
    <definedName name="kprod_6">NA()</definedName>
    <definedName name="lal_06" localSheetId="4">[1]Insumos!$H$1268</definedName>
    <definedName name="lal_06">[1]Insumos!$H$1268</definedName>
    <definedName name="lal_07" localSheetId="4">[1]Insumos!$H$1269</definedName>
    <definedName name="lal_07">[1]Insumos!$H$1269</definedName>
    <definedName name="lal_09" localSheetId="4">[1]Insumos!$H$1270</definedName>
    <definedName name="lal_09">[1]Insumos!$H$1270</definedName>
    <definedName name="lal_15" localSheetId="4">[1]Insumos!$H$1271</definedName>
    <definedName name="lal_15">[1]Insumos!$H$1271</definedName>
    <definedName name="lal_18" localSheetId="4">[1]Insumos!$H$1272</definedName>
    <definedName name="lal_18">[1]Insumos!$H$1272</definedName>
    <definedName name="lal_19" localSheetId="4">[1]Insumos!$H$1273</definedName>
    <definedName name="lal_19">[1]Insumos!$H$1273</definedName>
    <definedName name="lal_34" localSheetId="4">[1]Insumos!$H$1274</definedName>
    <definedName name="lal_34">[1]Insumos!$H$1274</definedName>
    <definedName name="lal_58" localSheetId="4">[1]Insumos!$H$1275</definedName>
    <definedName name="lal_58">[1]Insumos!$H$1275</definedName>
    <definedName name="lal_59" localSheetId="4">[1]Insumos!$H$1276</definedName>
    <definedName name="lal_59">[1]Insumos!$H$1276</definedName>
    <definedName name="lal_70" localSheetId="4">[1]Insumos!$H$1277</definedName>
    <definedName name="lal_70">[1]Insumos!$H$1277</definedName>
    <definedName name="lal_71" localSheetId="4">[1]Insumos!$H$1278</definedName>
    <definedName name="lal_71">[1]Insumos!$H$1278</definedName>
    <definedName name="largura_cinta" localSheetId="4">#REF!</definedName>
    <definedName name="largura_cinta" localSheetId="1">#REF!</definedName>
    <definedName name="largura_cinta">#REF!</definedName>
    <definedName name="largura_da_base" localSheetId="4">#REF!</definedName>
    <definedName name="largura_da_base" localSheetId="1">#REF!</definedName>
    <definedName name="largura_da_base">#REF!</definedName>
    <definedName name="LARGURA_PILAR" localSheetId="4">#REF!</definedName>
    <definedName name="LARGURA_PILAR" localSheetId="1">#REF!</definedName>
    <definedName name="LARGURA_PILAR">#REF!</definedName>
    <definedName name="largura_vala" localSheetId="4">#REF!</definedName>
    <definedName name="largura_vala" localSheetId="1">#REF!</definedName>
    <definedName name="largura_vala">#REF!</definedName>
    <definedName name="lca5e" localSheetId="4">[1]Insumos!$H$762</definedName>
    <definedName name="lca5e">[1]Insumos!$H$762</definedName>
    <definedName name="lcpl20" localSheetId="4">[1]Insumos!$H$591</definedName>
    <definedName name="lcpl20">[1]Insumos!$H$591</definedName>
    <definedName name="lcpl20s" localSheetId="4">[1]Insumos!$H$592</definedName>
    <definedName name="lcpl20s">[1]Insumos!$H$592</definedName>
    <definedName name="ldr10_1" localSheetId="4">[1]Insumos!$H$1403</definedName>
    <definedName name="ldr10_1">[1]Insumos!$H$1403</definedName>
    <definedName name="lem2x8" localSheetId="4">[1]Insumos!$H$590</definedName>
    <definedName name="lem2x8">[1]Insumos!$H$590</definedName>
    <definedName name="lfl2x40">[2]Insumos!$E$293</definedName>
    <definedName name="lgtm" localSheetId="4">[1]Insumos!$H$603</definedName>
    <definedName name="lgtm">[1]Insumos!$H$603</definedName>
    <definedName name="lh20x20" localSheetId="4">[1]Insumos!$H$202</definedName>
    <definedName name="lh20x20">[1]Insumos!$H$202</definedName>
    <definedName name="lh25x25" localSheetId="4">[1]Insumos!$H$201</definedName>
    <definedName name="lh25x25">[1]Insumos!$H$201</definedName>
    <definedName name="liga1">[2]Insumos!$E$707</definedName>
    <definedName name="liga2">[2]Insumos!$E$708</definedName>
    <definedName name="liga3">[2]Insumos!$E$709</definedName>
    <definedName name="ligaa" localSheetId="4">[1]Insumos!$H$1444</definedName>
    <definedName name="ligaa">[1]Insumos!$H$1444</definedName>
    <definedName name="ligae" localSheetId="4">[1]Insumos!$H$1443</definedName>
    <definedName name="ligae">[1]Insumos!$H$1443</definedName>
    <definedName name="lige1">[2]Insumos!$E$710</definedName>
    <definedName name="lige2">[2]Insumos!$E$711</definedName>
    <definedName name="lige3">[2]Insumos!$E$712</definedName>
    <definedName name="ligee1" localSheetId="4">[1]Insumos!$H$1451</definedName>
    <definedName name="ligee1">[1]Insumos!$H$1451</definedName>
    <definedName name="lim">[2]Insumos!$E$622</definedName>
    <definedName name="linha_das_paredes" localSheetId="4">#REF!</definedName>
    <definedName name="linha_das_paredes">#REF!</definedName>
    <definedName name="lit5x15" localSheetId="4">[1]Insumos!$H$234</definedName>
    <definedName name="lit5x15">[1]Insumos!$H$234</definedName>
    <definedName name="lit5x30" localSheetId="4">[1]Insumos!$H$235</definedName>
    <definedName name="lit5x30">[1]Insumos!$H$235</definedName>
    <definedName name="llb">[2]Insumos!$E$472</definedName>
    <definedName name="llbc" localSheetId="4">[1]Insumos!$H$1044</definedName>
    <definedName name="llbc">[1]Insumos!$H$1044</definedName>
    <definedName name="llbs" localSheetId="4">[1]Insumos!$H$1043</definedName>
    <definedName name="llbs">[1]Insumos!$H$1043</definedName>
    <definedName name="lnm">[2]Insumos!$E$145</definedName>
    <definedName name="LOC" localSheetId="4">#REF!</definedName>
    <definedName name="LOC">#REF!</definedName>
    <definedName name="lon" localSheetId="4">[1]Insumos!$H$1305</definedName>
    <definedName name="lon">[1]Insumos!$H$1305</definedName>
    <definedName name="lpb">[2]Insumos!$E$471</definedName>
    <definedName name="lpfl20">[2]Insumos!$E$289</definedName>
    <definedName name="lpfl40">[2]Insumos!$E$288</definedName>
    <definedName name="lpm8f">[2]Insumos!$E$125</definedName>
    <definedName name="lpm8p" localSheetId="4">[1]Insumos!$H$261</definedName>
    <definedName name="lpm8p">[1]Insumos!$H$261</definedName>
    <definedName name="lpopl45" localSheetId="4">[1]Insumos!$H$593</definedName>
    <definedName name="lpopl45">[1]Insumos!$H$593</definedName>
    <definedName name="lpt400v" localSheetId="4">[1]Insumos!$H$601</definedName>
    <definedName name="lpt400v">[1]Insumos!$H$601</definedName>
    <definedName name="lrfg50_40" localSheetId="4">[1]Insumos!$H$127</definedName>
    <definedName name="lrfg50_40">[1]Insumos!$H$127</definedName>
    <definedName name="lso">'[8]Insumos (não imprimir)'!$C$2</definedName>
    <definedName name="lso_11">"'file:///A:/Dudu-corre%C3%A7%C3%A3o.XLS'#$'Insumos (não imprimir)'.$C$2"</definedName>
    <definedName name="lso_7">"'file:///A:/Dudu-corre%C3%A7%C3%A3o.XLS'#$'Insumos (não imprimir)'.$C$2"</definedName>
    <definedName name="lso_8">"'file:///A:/Dudu-corre%C3%A7%C3%A3o.XLS'#$'Insumos (não imprimir)'.$C$2"</definedName>
    <definedName name="lso_9">"'file:///A:/Dudu-corre%C3%A7%C3%A3o.XLS'#$'Insumos (não imprimir)'.$C$2"</definedName>
    <definedName name="lsoc">[4]Insumos!$C$8</definedName>
    <definedName name="lsoc_1">NA()</definedName>
    <definedName name="lsoc_5">NA()</definedName>
    <definedName name="lsoc_6">NA()</definedName>
    <definedName name="lta">[2]Insumos!$E$596</definedName>
    <definedName name="lub">[2]Insumos!$E$573</definedName>
    <definedName name="lube" localSheetId="4">[1]Insumos!$H$1232</definedName>
    <definedName name="lube">[1]Insumos!$H$1232</definedName>
    <definedName name="lvp1\2">[2]Insumos!$E$428</definedName>
    <definedName name="lvp1_2_1_1" localSheetId="4">[1]Insumos!$H$869</definedName>
    <definedName name="lvp1_2_1_1">[1]Insumos!$H$869</definedName>
    <definedName name="lxa">[2]Insumos!$E$543</definedName>
    <definedName name="mac">[2]Insumos!$E$537</definedName>
    <definedName name="mad">[2]Insumos!$E$144</definedName>
    <definedName name="map">[2]Insumos!$E$535</definedName>
    <definedName name="mas">[2]Insumos!$E$26</definedName>
    <definedName name="mbo">[2]Insumos!$E$536</definedName>
    <definedName name="mbp">[2]Insumos!$E$534</definedName>
    <definedName name="mcr" localSheetId="4">[1]Insumos!$H$1470</definedName>
    <definedName name="mcr">[1]Insumos!$H$1470</definedName>
    <definedName name="medo" localSheetId="4">[1]Insumos!$H$1189</definedName>
    <definedName name="medo">[1]Insumos!$H$1189</definedName>
    <definedName name="mepm" localSheetId="4">[1]Insumos!$H$1188</definedName>
    <definedName name="mepm">[1]Insumos!$H$1188</definedName>
    <definedName name="mepp" localSheetId="4">[1]Insumos!$H$1431</definedName>
    <definedName name="mepp">[1]Insumos!$H$1431</definedName>
    <definedName name="mftp">[2]Insumos!$E$132</definedName>
    <definedName name="mgr">[2]Insumos!$E$122</definedName>
    <definedName name="mgr11_4x50" localSheetId="4">[1]Insumos!$H$923</definedName>
    <definedName name="mgr11_4x50">[1]Insumos!$H$923</definedName>
    <definedName name="mgr1x50" localSheetId="4">[1]Insumos!$H$922</definedName>
    <definedName name="mgr1x50">[1]Insumos!$H$922</definedName>
    <definedName name="mgr3_4x25" localSheetId="4">[1]Insumos!$H$920</definedName>
    <definedName name="mgr3_4x25">[1]Insumos!$H$920</definedName>
    <definedName name="mgr3_4x50" localSheetId="4">[1]Insumos!$H$921</definedName>
    <definedName name="mgr3_4x50">[1]Insumos!$H$921</definedName>
    <definedName name="mic130x50" localSheetId="4">[1]Insumos!$H$1068</definedName>
    <definedName name="mic130x50">[1]Insumos!$H$1068</definedName>
    <definedName name="mic200x50" localSheetId="4">[1]Insumos!$H$1064</definedName>
    <definedName name="mic200x50">[1]Insumos!$H$1064</definedName>
    <definedName name="mic236x50" localSheetId="4">[1]Insumos!$H$1069</definedName>
    <definedName name="mic236x50">[1]Insumos!$H$1069</definedName>
    <definedName name="mic295x50" localSheetId="4">[1]Insumos!$H$1063</definedName>
    <definedName name="mic295x50">[1]Insumos!$H$1063</definedName>
    <definedName name="mic50x50" localSheetId="4">[1]Insumos!$H$1067</definedName>
    <definedName name="mic50x50">[1]Insumos!$H$1067</definedName>
    <definedName name="mic58x30" localSheetId="4">[1]Insumos!$H$1066</definedName>
    <definedName name="mic58x30">[1]Insumos!$H$1066</definedName>
    <definedName name="mimp1">[2]Insumos!$E$558</definedName>
    <definedName name="mimp2" localSheetId="4">[1]Insumos!$H$1198</definedName>
    <definedName name="mimp2">[1]Insumos!$H$1198</definedName>
    <definedName name="mimp3" localSheetId="4">[1]Insumos!$H$1199</definedName>
    <definedName name="mimp3">[1]Insumos!$H$1199</definedName>
    <definedName name="mjap270" localSheetId="4">[1]Insumos!$H$1436</definedName>
    <definedName name="mjap270">[1]Insumos!$H$1436</definedName>
    <definedName name="mlb">[2]Insumos!$E$487</definedName>
    <definedName name="mmt">[2]Insumos!$E$584</definedName>
    <definedName name="MNI">[2]Equipamentos!$P$23</definedName>
    <definedName name="MNP">[2]Equipamentos!$N$23</definedName>
    <definedName name="mntc" localSheetId="4">[1]Insumos!$H$1410</definedName>
    <definedName name="mntc">[1]Insumos!$H$1410</definedName>
    <definedName name="mnte" localSheetId="4">[1]Insumos!$H$1411</definedName>
    <definedName name="mnte">[1]Insumos!$H$1411</definedName>
    <definedName name="mob">[2]Insumos!$E$694</definedName>
    <definedName name="mpc1_3m" localSheetId="4">[1]Insumos!$H$1439</definedName>
    <definedName name="mpc1_3m">[1]Insumos!$H$1439</definedName>
    <definedName name="mpv" localSheetId="4">[1]Insumos!$H$512</definedName>
    <definedName name="mpv">[1]Insumos!$H$512</definedName>
    <definedName name="mqp">[2]Insumos!$E$608</definedName>
    <definedName name="mra" localSheetId="4">[1]Insumos!$H$56</definedName>
    <definedName name="mra">[1]Insumos!$H$56</definedName>
    <definedName name="msm" localSheetId="4">[1]Insumos!$H$1468</definedName>
    <definedName name="msm">[1]Insumos!$H$1468</definedName>
    <definedName name="msv">[2]Insumos!$E$431</definedName>
    <definedName name="mtpn36" localSheetId="4">[1]Insumos!$H$1416</definedName>
    <definedName name="mtpn36">[1]Insumos!$H$1416</definedName>
    <definedName name="mud">[2]Insumos!$E$568</definedName>
    <definedName name="mult" localSheetId="4">#REF!</definedName>
    <definedName name="mult">#REF!</definedName>
    <definedName name="mvb">[2]Insumos!$E$565</definedName>
    <definedName name="nip1_2" localSheetId="4">[1]Insumos!$H$895</definedName>
    <definedName name="nip1_2">[1]Insumos!$H$895</definedName>
    <definedName name="nip3_4" localSheetId="4">[1]Insumos!$H$896</definedName>
    <definedName name="nip3_4">[1]Insumos!$H$896</definedName>
    <definedName name="niv" localSheetId="4">[1]Insumos!$H$1414</definedName>
    <definedName name="niv">[1]Insumos!$H$1414</definedName>
    <definedName name="ocb1a" localSheetId="4">[1]Insumos!$H$1229</definedName>
    <definedName name="ocb1a">[1]Insumos!$H$1229</definedName>
    <definedName name="odi">[2]Insumos!$E$572</definedName>
    <definedName name="ofi">[2]Insumos!$E$16</definedName>
    <definedName name="ofic">[4]Insumos!$C$6</definedName>
    <definedName name="ofic_1">NA()</definedName>
    <definedName name="ofic_5">NA()</definedName>
    <definedName name="ofic_6">NA()</definedName>
    <definedName name="oqx">[2]Insumos!$E$547</definedName>
    <definedName name="osj" localSheetId="4">[1]Insumos!$H$1469</definedName>
    <definedName name="osj">[1]Insumos!$H$1469</definedName>
    <definedName name="paeu11_2x3_4" localSheetId="4">[1]Insumos!$H$160</definedName>
    <definedName name="paeu11_2x3_4">[1]Insumos!$H$160</definedName>
    <definedName name="paeu11_4x5_8" localSheetId="4">[1]Insumos!$H$161</definedName>
    <definedName name="paeu11_4x5_8">[1]Insumos!$H$161</definedName>
    <definedName name="paeu21_2x11_4" localSheetId="4">[1]Insumos!$H$159</definedName>
    <definedName name="paeu21_2x11_4">[1]Insumos!$H$159</definedName>
    <definedName name="paeu3x11_2" localSheetId="4">[1]Insumos!$H$158</definedName>
    <definedName name="paeu3x11_2">[1]Insumos!$H$158</definedName>
    <definedName name="paeu6x2" localSheetId="4">[1]Insumos!$H$157</definedName>
    <definedName name="paeu6x2">[1]Insumos!$H$157</definedName>
    <definedName name="pal">[2]Insumos!$E$247</definedName>
    <definedName name="pal100x210">[2]Insumos!$E$230</definedName>
    <definedName name="pal60x210">[2]Insumos!$E$226</definedName>
    <definedName name="pal70x210">[2]Insumos!$E$227</definedName>
    <definedName name="pal80x100">[2]Insumos!$E$229</definedName>
    <definedName name="pal80x210">[2]Insumos!$E$228</definedName>
    <definedName name="pan60x160" localSheetId="4">[1]Insumos!$H$379</definedName>
    <definedName name="pan60x160">[1]Insumos!$H$379</definedName>
    <definedName name="pan60x180" localSheetId="4">[1]Insumos!$H$380</definedName>
    <definedName name="pan60x180">[1]Insumos!$H$380</definedName>
    <definedName name="pas10x10" localSheetId="4">[1]Insumos!$H$224</definedName>
    <definedName name="pas10x10">[1]Insumos!$H$224</definedName>
    <definedName name="pas120x8" localSheetId="4">[1]Insumos!$H$225</definedName>
    <definedName name="pas120x8">[1]Insumos!$H$225</definedName>
    <definedName name="pas5x5\1">[2]Insumos!$E$101</definedName>
    <definedName name="pas5x5\2">[2]Insumos!$E$102</definedName>
    <definedName name="pas5x5_1_1" localSheetId="4">[1]Insumos!$H$222</definedName>
    <definedName name="pas5x5_1_1">[1]Insumos!$H$222</definedName>
    <definedName name="pas5x5_2_1" localSheetId="4">[1]Insumos!$H$223</definedName>
    <definedName name="pas5x5_2_1">[1]Insumos!$H$223</definedName>
    <definedName name="PassaExtenso" localSheetId="1">[10]!PassaExtenso</definedName>
    <definedName name="PassaExtenso">[10]!PassaExtenso</definedName>
    <definedName name="pav">[2]Insumos!$E$121</definedName>
    <definedName name="pavb" localSheetId="4">[1]Insumos!$H$381</definedName>
    <definedName name="pavb">[1]Insumos!$H$381</definedName>
    <definedName name="pbas">[2]Insumos!$E$87</definedName>
    <definedName name="pbf">[2]Insumos!$E$179</definedName>
    <definedName name="pbf300x210">[2]Insumos!$E$178</definedName>
    <definedName name="pbf80X210">[2]Insumos!$E$180</definedName>
    <definedName name="pbl85x210">[2]Insumos!$E$240</definedName>
    <definedName name="pbr100x210" localSheetId="4">[1]Insumos!$H$468</definedName>
    <definedName name="pbr100x210">[1]Insumos!$H$468</definedName>
    <definedName name="pbr120x210" localSheetId="4">[1]Insumos!$H$469</definedName>
    <definedName name="pbr120x210">[1]Insumos!$H$469</definedName>
    <definedName name="pbr70x210" localSheetId="4">[1]Insumos!$H$466</definedName>
    <definedName name="pbr70x210">[1]Insumos!$H$466</definedName>
    <definedName name="pbr80x210" localSheetId="4">[1]Insumos!$H$467</definedName>
    <definedName name="pbr80x210">[1]Insumos!$H$467</definedName>
    <definedName name="pca145x25">[2]Insumos!$E$521</definedName>
    <definedName name="pca5e" localSheetId="4">[1]Insumos!$H$761</definedName>
    <definedName name="pca5e">[1]Insumos!$H$761</definedName>
    <definedName name="pcdlm" localSheetId="4">[1]Insumos!$H$58</definedName>
    <definedName name="pcdlm">[1]Insumos!$H$58</definedName>
    <definedName name="pcdz" localSheetId="4">[1]Insumos!$H$531</definedName>
    <definedName name="pcdz">[1]Insumos!$H$531</definedName>
    <definedName name="pcf100x210" localSheetId="4">[1]Insumos!$H$373</definedName>
    <definedName name="pcf100x210">[1]Insumos!$H$373</definedName>
    <definedName name="pcf130x110" localSheetId="4">[1]Insumos!$H$366</definedName>
    <definedName name="pcf130x110">[1]Insumos!$H$366</definedName>
    <definedName name="pcf150x210">[2]Insumos!$E$174</definedName>
    <definedName name="pcf200x210">[2]Insumos!$E$173</definedName>
    <definedName name="pcf250x210">[2]Insumos!$E$174</definedName>
    <definedName name="pcf60x180">[2]Insumos!$E$172</definedName>
    <definedName name="pcf60x210" localSheetId="4">[1]Insumos!$H$368</definedName>
    <definedName name="pcf60x210">[1]Insumos!$H$368</definedName>
    <definedName name="pcf70x210" localSheetId="4">[1]Insumos!$H$369</definedName>
    <definedName name="pcf70x210">[1]Insumos!$H$369</definedName>
    <definedName name="pcf80x210" localSheetId="4">[1]Insumos!$H$370</definedName>
    <definedName name="pcf80x210">[1]Insumos!$H$370</definedName>
    <definedName name="pcf80x80" localSheetId="4">[1]Insumos!$H$365</definedName>
    <definedName name="pcf80x80">[1]Insumos!$H$365</definedName>
    <definedName name="pcf87x210" localSheetId="4">[1]Insumos!$H$371</definedName>
    <definedName name="pcf87x210">[1]Insumos!$H$371</definedName>
    <definedName name="pcf90x210" localSheetId="4">[1]Insumos!$H$372</definedName>
    <definedName name="pcf90x210">[1]Insumos!$H$372</definedName>
    <definedName name="pcg40x20" localSheetId="4">[1]Insumos!$H$1294</definedName>
    <definedName name="pcg40x20">[1]Insumos!$H$1294</definedName>
    <definedName name="pchp" localSheetId="4">[1]Insumos!$H$233</definedName>
    <definedName name="pchp">[1]Insumos!$H$233</definedName>
    <definedName name="pcl160x210" localSheetId="4">[1]Insumos!$H$486</definedName>
    <definedName name="pcl160x210">[1]Insumos!$H$486</definedName>
    <definedName name="pcl180x210" localSheetId="4">[1]Insumos!$H$487</definedName>
    <definedName name="pcl180x210">[1]Insumos!$H$487</definedName>
    <definedName name="pcl200x210" localSheetId="4">[1]Insumos!$H$488</definedName>
    <definedName name="pcl200x210">[1]Insumos!$H$488</definedName>
    <definedName name="pcl50x160">[2]Insumos!$E$218</definedName>
    <definedName name="pcl60x100" localSheetId="4">[1]Insumos!$H$476</definedName>
    <definedName name="pcl60x100">[1]Insumos!$H$476</definedName>
    <definedName name="pcl60x160" localSheetId="4">[1]Insumos!$H$478</definedName>
    <definedName name="pcl60x160">[1]Insumos!$H$478</definedName>
    <definedName name="pcl60x210">[2]Insumos!$E$219</definedName>
    <definedName name="pcl70x180" localSheetId="4">[1]Insumos!$H$481</definedName>
    <definedName name="pcl70x180">[1]Insumos!$H$481</definedName>
    <definedName name="pcl70x210">[2]Insumos!$E$220</definedName>
    <definedName name="pcl80x160" localSheetId="4">[1]Insumos!$H$479</definedName>
    <definedName name="pcl80x160">[1]Insumos!$H$479</definedName>
    <definedName name="pcl80x210">[2]Insumos!$E$221</definedName>
    <definedName name="pcl80x210v">[2]Insumos!$E$222</definedName>
    <definedName name="pcl90x160" localSheetId="4">[1]Insumos!$H$480</definedName>
    <definedName name="pcl90x160">[1]Insumos!$H$480</definedName>
    <definedName name="pcl90x210" localSheetId="4">[1]Insumos!$H$485</definedName>
    <definedName name="pcl90x210">[1]Insumos!$H$485</definedName>
    <definedName name="pclf" localSheetId="4">[1]Insumos!$H$470</definedName>
    <definedName name="pclf">[1]Insumos!$H$470</definedName>
    <definedName name="pclf50x160">[2]Insumos!$E$215</definedName>
    <definedName name="pclf50x60" localSheetId="4">[1]Insumos!$H$471</definedName>
    <definedName name="pclf50x60">[1]Insumos!$H$471</definedName>
    <definedName name="pclf55x110">[2]Insumos!$E$214</definedName>
    <definedName name="pclf60x160">[2]Insumos!$E$216</definedName>
    <definedName name="pclf80x210">[2]Insumos!$E$217</definedName>
    <definedName name="pco">[2]Insumos!$E$595</definedName>
    <definedName name="pcu200x50x2" localSheetId="4">[1]Insumos!$H$162</definedName>
    <definedName name="pcu200x50x2">[1]Insumos!$H$162</definedName>
    <definedName name="pcue100x40x17x2_65" localSheetId="4">[1]Insumos!$H$164</definedName>
    <definedName name="pcue100x40x17x2_65">[1]Insumos!$H$164</definedName>
    <definedName name="pcue100x50x17x2" localSheetId="4">[1]Insumos!$H$163</definedName>
    <definedName name="pcue100x50x17x2">[1]Insumos!$H$163</definedName>
    <definedName name="pdc" localSheetId="4">[1]Insumos!$H$210</definedName>
    <definedName name="pdc">[1]Insumos!$H$210</definedName>
    <definedName name="pdcr" localSheetId="4">[1]Insumos!$H$211</definedName>
    <definedName name="pdcr">[1]Insumos!$H$211</definedName>
    <definedName name="pdm">[2]Insumos!$E$29</definedName>
    <definedName name="pdn80x210">[2]Insumos!$E$231</definedName>
    <definedName name="pdp">[2]Insumos!$E$94</definedName>
    <definedName name="pdq">[2]Insumos!$E$93</definedName>
    <definedName name="pdr" localSheetId="4">[1]Insumos!$H$51</definedName>
    <definedName name="pdr">[1]Insumos!$H$51</definedName>
    <definedName name="pe" localSheetId="4">#REF!</definedName>
    <definedName name="pe" localSheetId="1">#REF!</definedName>
    <definedName name="pe">#REF!</definedName>
    <definedName name="PÉ_DIREITO" localSheetId="4">#REF!</definedName>
    <definedName name="PÉ_DIREITO" localSheetId="1">#REF!</definedName>
    <definedName name="PÉ_DIREITO">#REF!</definedName>
    <definedName name="pears" localSheetId="4">[1]Insumos!$H$646</definedName>
    <definedName name="pears">[1]Insumos!$H$646</definedName>
    <definedName name="pedr">[7]FUNDAÇÕES!$E$48</definedName>
    <definedName name="pedr_4" localSheetId="4">#REF!</definedName>
    <definedName name="pedr_4" localSheetId="1">#REF!</definedName>
    <definedName name="pedr_4">#REF!</definedName>
    <definedName name="pef" localSheetId="4">[1]Insumos!$H$382</definedName>
    <definedName name="pef">[1]Insumos!$H$382</definedName>
    <definedName name="peir20x45" localSheetId="4">[1]Insumos!$H$1301</definedName>
    <definedName name="peir20x45">[1]Insumos!$H$1301</definedName>
    <definedName name="peir25x45" localSheetId="4">[1]Insumos!$H$1300</definedName>
    <definedName name="peir25x45">[1]Insumos!$H$1300</definedName>
    <definedName name="pem10x50">[2]Insumos!$E$582</definedName>
    <definedName name="PERIMETRO_WC" localSheetId="4">#REF!</definedName>
    <definedName name="PERIMETRO_WC">#REF!</definedName>
    <definedName name="pesv30x45" localSheetId="4">[1]Insumos!$H$1298</definedName>
    <definedName name="pesv30x45">[1]Insumos!$H$1298</definedName>
    <definedName name="pesv50x75" localSheetId="4">[1]Insumos!$H$1299</definedName>
    <definedName name="pesv50x75">[1]Insumos!$H$1299</definedName>
    <definedName name="pfb4_8x40" localSheetId="4">[1]Insumos!$H$339</definedName>
    <definedName name="pfb4_8x40">[1]Insumos!$H$339</definedName>
    <definedName name="pfb4_8x75" localSheetId="4">[1]Insumos!$H$340</definedName>
    <definedName name="pfb4_8x75">[1]Insumos!$H$340</definedName>
    <definedName name="pfb7x65" localSheetId="4">[1]Insumos!$H$341</definedName>
    <definedName name="pfb7x65">[1]Insumos!$H$341</definedName>
    <definedName name="pfb8x100" localSheetId="4">[1]Insumos!$H$342</definedName>
    <definedName name="pfb8x100">[1]Insumos!$H$342</definedName>
    <definedName name="pfg80x6" localSheetId="4">[1]Insumos!$H$557</definedName>
    <definedName name="pfg80x6">[1]Insumos!$H$557</definedName>
    <definedName name="pfqm" localSheetId="4">[1]Insumos!$H$378</definedName>
    <definedName name="pfqm">[1]Insumos!$H$378</definedName>
    <definedName name="pft8x110">[2]Insumos!$E$168</definedName>
    <definedName name="pgr" localSheetId="4">[1]Insumos!$H$538</definedName>
    <definedName name="pgr">[1]Insumos!$H$538</definedName>
    <definedName name="pgr30x30">[2]Insumos!$E$84</definedName>
    <definedName name="pgr40x40">[2]Insumos!$E$83</definedName>
    <definedName name="pgt5x20" localSheetId="4">[1]Insumos!$H$396</definedName>
    <definedName name="pgt5x20">[1]Insumos!$H$396</definedName>
    <definedName name="pgt5x20e" localSheetId="4">[1]Insumos!$H$397</definedName>
    <definedName name="pgt5x20e">[1]Insumos!$H$397</definedName>
    <definedName name="pia">[2]Insumos!$E$691</definedName>
    <definedName name="pian" localSheetId="4">[1]Insumos!$H$1389</definedName>
    <definedName name="pian">[1]Insumos!$H$1389</definedName>
    <definedName name="pic">[2]Insumos!$E$687</definedName>
    <definedName name="pie">[2]Insumos!$E$685</definedName>
    <definedName name="pih">[2]Insumos!$E$688</definedName>
    <definedName name="pii">[2]Insumos!$E$690</definedName>
    <definedName name="pin">[2]Insumos!$E$70</definedName>
    <definedName name="PIP">[2]Equipamentos!$N$32</definedName>
    <definedName name="pis">[2]Insumos!$E$689</definedName>
    <definedName name="pit">[2]Insumos!$E$686</definedName>
    <definedName name="piv">[2]Insumos!$E$69</definedName>
    <definedName name="plb">[2]Insumos!$E$488</definedName>
    <definedName name="plc">[2]Insumos!$E$142</definedName>
    <definedName name="plc3x3">[2]Insumos!$E$331</definedName>
    <definedName name="plc4x2" localSheetId="4">[1]Insumos!$H$642</definedName>
    <definedName name="plc4x2">[1]Insumos!$H$642</definedName>
    <definedName name="plc4x4" localSheetId="4">[1]Insumos!$H$644</definedName>
    <definedName name="plc4x4">[1]Insumos!$H$644</definedName>
    <definedName name="plie" localSheetId="4">[1]Insumos!$H$1038</definedName>
    <definedName name="plie">[1]Insumos!$H$1038</definedName>
    <definedName name="pmr">[2]Insumos!$E$120</definedName>
    <definedName name="pms">[2]Insumos!$E$146</definedName>
    <definedName name="pomr150x210">[2]Insumos!$E$224</definedName>
    <definedName name="pomr165x210">[2]Insumos!$E$225</definedName>
    <definedName name="pomr80x210">[2]Insumos!$E$223</definedName>
    <definedName name="ppa24_6" localSheetId="4">[1]Insumos!$H$764</definedName>
    <definedName name="ppa24_6">[1]Insumos!$H$764</definedName>
    <definedName name="ppb">[2]Insumos!$E$489</definedName>
    <definedName name="pphi" localSheetId="4">[1]Insumos!$H$1084</definedName>
    <definedName name="pphi">[1]Insumos!$H$1084</definedName>
    <definedName name="pphl">[2]Insumos!$E$493</definedName>
    <definedName name="pphp">[2]Insumos!$E$494</definedName>
    <definedName name="ppmc" localSheetId="4">[1]Insumos!$H$214</definedName>
    <definedName name="ppmc">[1]Insumos!$H$214</definedName>
    <definedName name="ppmi" localSheetId="4">[1]Insumos!$H$213</definedName>
    <definedName name="ppmi">[1]Insumos!$H$213</definedName>
    <definedName name="ppp">[2]Insumos!$E$96</definedName>
    <definedName name="ppt">[2]Insumos!$E$95</definedName>
    <definedName name="PREF" localSheetId="4">[1]Dados!$B$15</definedName>
    <definedName name="PREF">[1]Dados!$B$15</definedName>
    <definedName name="prg">[2]Insumos!$E$169</definedName>
    <definedName name="prl250m">[2]Insumos!$E$286</definedName>
    <definedName name="prli" localSheetId="4">[1]Insumos!$H$1190</definedName>
    <definedName name="prli">[1]Insumos!$H$1190</definedName>
    <definedName name="prnch">[4]Insumos!$C$39</definedName>
    <definedName name="prnch_1">NA()</definedName>
    <definedName name="prnch_5">NA()</definedName>
    <definedName name="prnch_6">NA()</definedName>
    <definedName name="prs3_8" localSheetId="4">[1]Insumos!$H$334</definedName>
    <definedName name="prs3_8">[1]Insumos!$H$334</definedName>
    <definedName name="prsv" localSheetId="4">[1]Insumos!$H$1295</definedName>
    <definedName name="prsv">[1]Insumos!$H$1295</definedName>
    <definedName name="prsv30x45" localSheetId="4">[1]Insumos!$H$1296</definedName>
    <definedName name="prsv30x45">[1]Insumos!$H$1296</definedName>
    <definedName name="prsv50x75" localSheetId="4">[1]Insumos!$H$1297</definedName>
    <definedName name="prsv50x75">[1]Insumos!$H$1297</definedName>
    <definedName name="pshi" localSheetId="4">[1]Insumos!$H$1086</definedName>
    <definedName name="pshi">[1]Insumos!$H$1086</definedName>
    <definedName name="pshp" localSheetId="4">[1]Insumos!$H$1085</definedName>
    <definedName name="pshp">[1]Insumos!$H$1085</definedName>
    <definedName name="psi">[2]Insumos!$E$496</definedName>
    <definedName name="pslp">[2]Insumos!$E$495</definedName>
    <definedName name="pso" localSheetId="4">[1]Insumos!$H$1459</definedName>
    <definedName name="pso">[1]Insumos!$H$1459</definedName>
    <definedName name="psp" localSheetId="4">[1]Insumos!$H$1080</definedName>
    <definedName name="psp">[1]Insumos!$H$1080</definedName>
    <definedName name="pss" localSheetId="4">[1]Insumos!$H$1037</definedName>
    <definedName name="pss">[1]Insumos!$H$1037</definedName>
    <definedName name="ptb25x25" localSheetId="4">[1]Insumos!$H$200</definedName>
    <definedName name="ptb25x25">[1]Insumos!$H$200</definedName>
    <definedName name="ptcf100x210" localSheetId="4">[1]Insumos!$H$388</definedName>
    <definedName name="ptcf100x210">[1]Insumos!$H$388</definedName>
    <definedName name="ptcf160x220" localSheetId="4">[1]Insumos!$H$390</definedName>
    <definedName name="ptcf160x220">[1]Insumos!$H$390</definedName>
    <definedName name="ptcf200x200" localSheetId="4">[1]Insumos!$H$395</definedName>
    <definedName name="ptcf200x200">[1]Insumos!$H$395</definedName>
    <definedName name="ptcf220x240" localSheetId="4">[1]Insumos!$H$391</definedName>
    <definedName name="ptcf220x240">[1]Insumos!$H$391</definedName>
    <definedName name="ptcf300x210" localSheetId="4">[1]Insumos!$H$389</definedName>
    <definedName name="ptcf300x210">[1]Insumos!$H$389</definedName>
    <definedName name="ptcf420x250" localSheetId="4">[1]Insumos!$H$393</definedName>
    <definedName name="ptcf420x250">[1]Insumos!$H$393</definedName>
    <definedName name="ptcf500x200" localSheetId="4">[1]Insumos!$H$394</definedName>
    <definedName name="ptcf500x200">[1]Insumos!$H$394</definedName>
    <definedName name="ptcf70x210" localSheetId="4">[1]Insumos!$H$387</definedName>
    <definedName name="ptcf70x210">[1]Insumos!$H$387</definedName>
    <definedName name="ptcf90x100" localSheetId="4">[1]Insumos!$H$386</definedName>
    <definedName name="ptcf90x100">[1]Insumos!$H$386</definedName>
    <definedName name="ptfg10" localSheetId="4">[1]Insumos!$H$556</definedName>
    <definedName name="ptfg10">[1]Insumos!$H$556</definedName>
    <definedName name="ptfg9" localSheetId="4">[1]Insumos!$H$555</definedName>
    <definedName name="ptfg9">[1]Insumos!$H$555</definedName>
    <definedName name="pti" localSheetId="4">[1]Insumos!$H$1077</definedName>
    <definedName name="pti">[1]Insumos!$H$1077</definedName>
    <definedName name="ptlb" localSheetId="4">[3]Insumos!$F$1060</definedName>
    <definedName name="ptlb">[3]Insumos!$F$1060</definedName>
    <definedName name="pttp" localSheetId="4">[1]Insumos!$H$647</definedName>
    <definedName name="pttp">[1]Insumos!$H$647</definedName>
    <definedName name="ptv30x30" localSheetId="4">[1]Insumos!$H$226</definedName>
    <definedName name="ptv30x30">[1]Insumos!$H$226</definedName>
    <definedName name="pux1x40" localSheetId="4">[1]Insumos!$H$132</definedName>
    <definedName name="pux1x40">[1]Insumos!$H$132</definedName>
    <definedName name="pux1x60" localSheetId="4">[1]Insumos!$H$131</definedName>
    <definedName name="pux1x60">[1]Insumos!$H$131</definedName>
    <definedName name="pvf">[2]Insumos!$E$86</definedName>
    <definedName name="pvo">[2]Insumos!$E$588</definedName>
    <definedName name="pvtf150x250">[2]Insumos!$E$241</definedName>
    <definedName name="pvtj95x245">[2]Insumos!$E$243</definedName>
    <definedName name="pvtt280x210">[2]Insumos!$E$242</definedName>
    <definedName name="pzf5_16x1_4" localSheetId="4">[1]Insumos!$H$349</definedName>
    <definedName name="pzf5_16x1_4">[1]Insumos!$H$349</definedName>
    <definedName name="pzf5_16x31_2" localSheetId="4">[1]Insumos!$H$348</definedName>
    <definedName name="pzf5_16x31_2">[1]Insumos!$H$348</definedName>
    <definedName name="qd12_" localSheetId="4">[1]Insumos!$H$566</definedName>
    <definedName name="qd12_">[1]Insumos!$H$566</definedName>
    <definedName name="qd18_" localSheetId="4">[1]Insumos!$H$565</definedName>
    <definedName name="qd18_">[1]Insumos!$H$565</definedName>
    <definedName name="qd6_" localSheetId="4">[1]Insumos!$H$567</definedName>
    <definedName name="qd6_">[1]Insumos!$H$567</definedName>
    <definedName name="qdt">[2]Insumos!$E$277</definedName>
    <definedName name="qgm">[2]Insumos!$E$269</definedName>
    <definedName name="qgt">[2]Insumos!$E$268</definedName>
    <definedName name="QQ_2">#N/A</definedName>
    <definedName name="QUANT__PILARES" localSheetId="4">#REF!</definedName>
    <definedName name="QUANT__PILARES">#REF!</definedName>
    <definedName name="QW" localSheetId="4">#REF!</definedName>
    <definedName name="QW" localSheetId="1">#REF!</definedName>
    <definedName name="QW">#REF!</definedName>
    <definedName name="QWERWT" localSheetId="4">#REF!</definedName>
    <definedName name="QWERWT" localSheetId="1">#REF!</definedName>
    <definedName name="QWERWT">#REF!</definedName>
    <definedName name="ran3_5x1" localSheetId="4">[1]Insumos!$H$546</definedName>
    <definedName name="ran3_5x1">[1]Insumos!$H$546</definedName>
    <definedName name="rca25x3">[2]Insumos!$E$535</definedName>
    <definedName name="rca25x5">[2]Insumos!$E$522</definedName>
    <definedName name="rca40x3" localSheetId="4">[1]Insumos!$H$1143</definedName>
    <definedName name="rca40x3">[1]Insumos!$H$1143</definedName>
    <definedName name="rcv80_8" localSheetId="4">[1]Insumos!$H$1433</definedName>
    <definedName name="rcv80_8">[1]Insumos!$H$1433</definedName>
    <definedName name="rdv">[2]Insumos!$E$589</definedName>
    <definedName name="REATERRO" localSheetId="4">#REF!</definedName>
    <definedName name="REATERRO">#REF!</definedName>
    <definedName name="REATERRO_APILOADO" localSheetId="4">#REF!</definedName>
    <definedName name="REATERRO_APILOADO" localSheetId="1">#REF!</definedName>
    <definedName name="REATERRO_APILOADO">#REF!</definedName>
    <definedName name="rec">[2]Insumos!$E$88</definedName>
    <definedName name="recp">[2]Insumos!$E$703</definedName>
    <definedName name="ree7x20">[2]Insumos!$E$258</definedName>
    <definedName name="ree7x20_4_1" localSheetId="4">[1]Insumos!$H$541</definedName>
    <definedName name="ree7x20_4_1">[1]Insumos!$H$541</definedName>
    <definedName name="ree7x30">[2]Insumos!$E$259</definedName>
    <definedName name="ree7x30_4_1" localSheetId="4">[1]Insumos!$H$543</definedName>
    <definedName name="ree7x30_4_1">[1]Insumos!$H$543</definedName>
    <definedName name="reg">[2]Insumos!$E$627</definedName>
    <definedName name="rei50_40s" localSheetId="4">[1]Insumos!$H$915</definedName>
    <definedName name="rei50_40s">[1]Insumos!$H$915</definedName>
    <definedName name="rei75_40s" localSheetId="4">[1]Insumos!$H$914</definedName>
    <definedName name="rei75_40s">[1]Insumos!$H$914</definedName>
    <definedName name="RES">[2]Equipamentos!$F$10</definedName>
    <definedName name="RESUMO">#N/A</definedName>
    <definedName name="REVEST_CERAMIC" localSheetId="4">#REF!</definedName>
    <definedName name="REVEST_CERAMIC">#REF!</definedName>
    <definedName name="rftp">[2]Insumos!$E$129</definedName>
    <definedName name="rgc1\2">[2]Insumos!$E$421</definedName>
    <definedName name="rgc1_2_1_1" localSheetId="4">[1]Insumos!$H$847</definedName>
    <definedName name="rgc1_2_1_1">[1]Insumos!$H$847</definedName>
    <definedName name="rgc11\2">[2]Insumos!$E$423</definedName>
    <definedName name="rgc11_2_1" localSheetId="4">[1]Insumos!$H$851</definedName>
    <definedName name="rgc11_2_1">[1]Insumos!$H$851</definedName>
    <definedName name="rgc11_4" localSheetId="4">[1]Insumos!$H$850</definedName>
    <definedName name="rgc11_4">[1]Insumos!$H$850</definedName>
    <definedName name="rgc3_4" localSheetId="4">[1]Insumos!$H$848</definedName>
    <definedName name="rgc3_4">[1]Insumos!$H$848</definedName>
    <definedName name="rgcr1" localSheetId="4">[1]Insumos!$H$859</definedName>
    <definedName name="rgcr1">[1]Insumos!$H$859</definedName>
    <definedName name="rgcr1\2">[2]Insumos!$E$426</definedName>
    <definedName name="rgcr1_2_1_1" localSheetId="4">[1]Insumos!$H$857</definedName>
    <definedName name="rgcr1_2_1_1">[1]Insumos!$H$857</definedName>
    <definedName name="rgcr11_2" localSheetId="4">[1]Insumos!$H$861</definedName>
    <definedName name="rgcr11_2">[1]Insumos!$H$861</definedName>
    <definedName name="rgcr11_4" localSheetId="4">[1]Insumos!$H$860</definedName>
    <definedName name="rgcr11_4">[1]Insumos!$H$860</definedName>
    <definedName name="rgcr3_4_1_1" localSheetId="4">[1]Insumos!$H$858</definedName>
    <definedName name="rgcr3_4_1_1">[1]Insumos!$H$858</definedName>
    <definedName name="rgp1\2">[2]Insumos!$E$419</definedName>
    <definedName name="rgp1_2_1_1" localSheetId="4">[1]Insumos!$H$845</definedName>
    <definedName name="rgp1_2_1_1">[1]Insumos!$H$845</definedName>
    <definedName name="rgpfr1" localSheetId="4">[1]Insumos!$H$841</definedName>
    <definedName name="rgpfr1">[1]Insumos!$H$841</definedName>
    <definedName name="rgpfr1_2" localSheetId="4">[1]Insumos!$H$839</definedName>
    <definedName name="rgpfr1_2">[1]Insumos!$H$839</definedName>
    <definedName name="rgpfr11_2" localSheetId="4">[1]Insumos!$H$843</definedName>
    <definedName name="rgpfr11_2">[1]Insumos!$H$843</definedName>
    <definedName name="rgpfr11_4" localSheetId="4">[1]Insumos!$H$842</definedName>
    <definedName name="rgpfr11_4">[1]Insumos!$H$842</definedName>
    <definedName name="rgpfr2" localSheetId="4">[1]Insumos!$H$844</definedName>
    <definedName name="rgpfr2">[1]Insumos!$H$844</definedName>
    <definedName name="rgpfr3_4" localSheetId="4">[1]Insumos!$H$840</definedName>
    <definedName name="rgpfr3_4">[1]Insumos!$H$840</definedName>
    <definedName name="rie">[2]Insumos!$E$379</definedName>
    <definedName name="RLI">[2]Equipamentos!$P$28</definedName>
    <definedName name="RLP">[2]Equipamentos!$N$28</definedName>
    <definedName name="rnt">[2]Insumos!$E$592</definedName>
    <definedName name="rpc1\2">[2]Insumos!$E$424</definedName>
    <definedName name="rpc1_2_1" localSheetId="4">[1]Insumos!$H$853</definedName>
    <definedName name="rpc1_2_1">[1]Insumos!$H$853</definedName>
    <definedName name="rpc3_4" localSheetId="4">[1]Insumos!$H$854</definedName>
    <definedName name="rpc3_4">[1]Insumos!$H$854</definedName>
    <definedName name="rpci" localSheetId="4">[1]Insumos!$H$532</definedName>
    <definedName name="rpci">[1]Insumos!$H$532</definedName>
    <definedName name="rpcr1\2">[2]Insumos!$E$425</definedName>
    <definedName name="rpcr1_2_1" localSheetId="4">[1]Insumos!$H$855</definedName>
    <definedName name="rpcr1_2_1">[1]Insumos!$H$855</definedName>
    <definedName name="rpcr3_4_1" localSheetId="4">[1]Insumos!$H$856</definedName>
    <definedName name="rpcr3_4_1">[1]Insumos!$H$856</definedName>
    <definedName name="rpcs" localSheetId="4">[1]Insumos!$H$533</definedName>
    <definedName name="rpcs">[1]Insumos!$H$533</definedName>
    <definedName name="rpg8x40">[2]Insumos!$E$260</definedName>
    <definedName name="RPI">[2]Equipamentos!$P$29</definedName>
    <definedName name="rplt" localSheetId="4">[1]Insumos!$H$756</definedName>
    <definedName name="rplt">[1]Insumos!$H$756</definedName>
    <definedName name="RPP">[2]Equipamentos!$N$29</definedName>
    <definedName name="rpp1\2">[2]Insumos!$E$420</definedName>
    <definedName name="rpp1_2_1" localSheetId="4">[1]Insumos!$H$846</definedName>
    <definedName name="rpp1_2_1">[1]Insumos!$H$846</definedName>
    <definedName name="rpqs12" localSheetId="4">[1]Insumos!$H$1035</definedName>
    <definedName name="rpqs12">[1]Insumos!$H$1035</definedName>
    <definedName name="rpqs6" localSheetId="4">[1]Insumos!$H$1034</definedName>
    <definedName name="rpqs6">[1]Insumos!$H$1034</definedName>
    <definedName name="rql" localSheetId="4">[1]Insumos!$H$227</definedName>
    <definedName name="rql">[1]Insumos!$H$227</definedName>
    <definedName name="rtb" localSheetId="4">[1]Insumos!$H$1263</definedName>
    <definedName name="rtb">[1]Insumos!$H$1263</definedName>
    <definedName name="sagfp" localSheetId="4">[1]Insumos!$H$173</definedName>
    <definedName name="sagfp">[1]Insumos!$H$173</definedName>
    <definedName name="sagfp1" localSheetId="4">[1]Insumos!$H$174</definedName>
    <definedName name="sagfp1">[1]Insumos!$H$174</definedName>
    <definedName name="SAL">[2]Insumos!$C$2</definedName>
    <definedName name="sar" localSheetId="4">[1]Insumos!$H$330</definedName>
    <definedName name="sar">[1]Insumos!$H$330</definedName>
    <definedName name="scsp" localSheetId="4">[3]Insumos!$F$61</definedName>
    <definedName name="scsp">[3]Insumos!$F$61</definedName>
    <definedName name="seixo" localSheetId="4">#REF!</definedName>
    <definedName name="seixo" localSheetId="1">#REF!</definedName>
    <definedName name="seixo">#REF!</definedName>
    <definedName name="serv" localSheetId="4">#REF!</definedName>
    <definedName name="serv" localSheetId="1">#REF!</definedName>
    <definedName name="serv">#REF!</definedName>
    <definedName name="serv_1">NA()</definedName>
    <definedName name="serv_5">NA()</definedName>
    <definedName name="serv_6">NA()</definedName>
    <definedName name="serv_8" localSheetId="4">#REF!</definedName>
    <definedName name="serv_8" localSheetId="1">#REF!</definedName>
    <definedName name="serv_8">#REF!</definedName>
    <definedName name="sfi" localSheetId="4">[1]Insumos!$H$971</definedName>
    <definedName name="sfi">[1]Insumos!$H$971</definedName>
    <definedName name="sfm">[2]Insumos!$E$262</definedName>
    <definedName name="sfp" localSheetId="4">[1]Insumos!$H$970</definedName>
    <definedName name="sfp">[1]Insumos!$H$970</definedName>
    <definedName name="shdsm" localSheetId="4">[1]Insumos!$H$59</definedName>
    <definedName name="shdsm">[1]Insumos!$H$59</definedName>
    <definedName name="sika1">[4]Insumos!$C$60</definedName>
    <definedName name="sika1_1">NA()</definedName>
    <definedName name="sika1_5">NA()</definedName>
    <definedName name="sika1_6">NA()</definedName>
    <definedName name="sknl">[4]Insumos!$C$58</definedName>
    <definedName name="sknl_1">NA()</definedName>
    <definedName name="sknl_5">NA()</definedName>
    <definedName name="sknl_6">NA()</definedName>
    <definedName name="slb">[2]Insumos!$E$492</definedName>
    <definedName name="smf">[2]Insumos!$E$63</definedName>
    <definedName name="sol">[2]Insumos!$E$263</definedName>
    <definedName name="spl12a" localSheetId="4">[1]Insumos!$H$747</definedName>
    <definedName name="spl12a">[1]Insumos!$H$747</definedName>
    <definedName name="spl24a" localSheetId="4">[1]Insumos!$H$748</definedName>
    <definedName name="spl24a">[1]Insumos!$H$748</definedName>
    <definedName name="spl9a" localSheetId="4">[1]Insumos!$H$746</definedName>
    <definedName name="spl9a">[1]Insumos!$H$746</definedName>
    <definedName name="spp15x2" localSheetId="4">[1]Insumos!$H$552</definedName>
    <definedName name="spp15x2">[1]Insumos!$H$552</definedName>
    <definedName name="spp22x3_" localSheetId="4">[1]Insumos!$H$551</definedName>
    <definedName name="spp22x3_">[1]Insumos!$H$551</definedName>
    <definedName name="sptl4p" localSheetId="4">[1]Insumos!$H$768</definedName>
    <definedName name="sptl4p">[1]Insumos!$H$768</definedName>
    <definedName name="srv">[2]Insumos!$E$17</definedName>
    <definedName name="stdc1_4" localSheetId="4">[1]Insumos!$H$1435</definedName>
    <definedName name="stdc1_4">[1]Insumos!$H$1435</definedName>
    <definedName name="svt">[2]Insumos!$E$541</definedName>
    <definedName name="sxo">[2]Insumos!$E$27</definedName>
    <definedName name="tabb" localSheetId="4">[1]Insumos!$H$1261</definedName>
    <definedName name="tabb">[1]Insumos!$H$1261</definedName>
    <definedName name="tabb1" localSheetId="4">[1]Insumos!$H$1262</definedName>
    <definedName name="tabb1">[1]Insumos!$H$1262</definedName>
    <definedName name="tac">[2]Insumos!$E$333</definedName>
    <definedName name="tai11_2" localSheetId="4">[1]Insumos!$H$123</definedName>
    <definedName name="tai11_2">[1]Insumos!$H$123</definedName>
    <definedName name="tal" localSheetId="4">[1]Insumos!$H$77</definedName>
    <definedName name="tal">[1]Insumos!$H$77</definedName>
    <definedName name="tarp">[2]Insumos!$E$320</definedName>
    <definedName name="taz">[2]Insumos!$E$48</definedName>
    <definedName name="tazo" localSheetId="4">[1]Insumos!$H$82</definedName>
    <definedName name="tazo">[1]Insumos!$H$82</definedName>
    <definedName name="tbaz50" localSheetId="4">[1]Insumos!$H$121</definedName>
    <definedName name="tbaz50">[1]Insumos!$H$121</definedName>
    <definedName name="tbi50_40s" localSheetId="4">[1]Insumos!$H$907</definedName>
    <definedName name="tbi50_40s">[1]Insumos!$H$907</definedName>
    <definedName name="tbi75_40s" localSheetId="4">[1]Insumos!$H$906</definedName>
    <definedName name="tbi75_40s">[1]Insumos!$H$906</definedName>
    <definedName name="tbre200" localSheetId="4">[1]Insumos!$H$928</definedName>
    <definedName name="tbre200">[1]Insumos!$H$928</definedName>
    <definedName name="tbre250" localSheetId="4">[1]Insumos!$H$927</definedName>
    <definedName name="tbre250">[1]Insumos!$H$927</definedName>
    <definedName name="tbre300" localSheetId="4">[1]Insumos!$H$926</definedName>
    <definedName name="tbre300">[1]Insumos!$H$926</definedName>
    <definedName name="tbv">[2]Insumos!$E$139</definedName>
    <definedName name="tcda1_2" localSheetId="4">[1]Insumos!$H$834</definedName>
    <definedName name="tcda1_2">[1]Insumos!$H$834</definedName>
    <definedName name="tcef">[2]Insumos!$E$706</definedName>
    <definedName name="tcg1\2">[2]Insumos!$E$414</definedName>
    <definedName name="tcg1_2_1" localSheetId="4">[1]Insumos!$H$832</definedName>
    <definedName name="tcg1_2_1">[1]Insumos!$H$832</definedName>
    <definedName name="tcj3_4" localSheetId="4">[1]Insumos!$H$833</definedName>
    <definedName name="tcj3_4">[1]Insumos!$H$833</definedName>
    <definedName name="tcl1\2">[2]Insumos!$E$412</definedName>
    <definedName name="tcl1_2_1_1" localSheetId="4">[1]Insumos!$H$830</definedName>
    <definedName name="tcl1_2_1_1">[1]Insumos!$H$830</definedName>
    <definedName name="tco">[2]Insumos!$E$316</definedName>
    <definedName name="tcop">[2]Insumos!$E$317</definedName>
    <definedName name="tcopsp">[2]Insumos!$E$318</definedName>
    <definedName name="tcpp">[2]Insumos!$E$319</definedName>
    <definedName name="tea1_220L" localSheetId="4">[1]Insumos!$H$803</definedName>
    <definedName name="tea1_220L">[1]Insumos!$H$803</definedName>
    <definedName name="tea3_425L" localSheetId="4">[1]Insumos!$H$804</definedName>
    <definedName name="tea3_425L">[1]Insumos!$H$804</definedName>
    <definedName name="tec" localSheetId="4">[1]Insumos!$H$1161</definedName>
    <definedName name="tec">[1]Insumos!$H$1161</definedName>
    <definedName name="téc" localSheetId="4">[1]Insumos!$H$20</definedName>
    <definedName name="téc">[1]Insumos!$H$20</definedName>
    <definedName name="tei50_40s" localSheetId="4">[1]Insumos!$H$911</definedName>
    <definedName name="tei50_40s">[1]Insumos!$H$911</definedName>
    <definedName name="tei75_40s" localSheetId="4">[1]Insumos!$H$910</definedName>
    <definedName name="tei75_40s">[1]Insumos!$H$910</definedName>
    <definedName name="teid50x3_4_40rs" localSheetId="4">[1]Insumos!$H$916</definedName>
    <definedName name="teid50x3_4_40rs">[1]Insumos!$H$916</definedName>
    <definedName name="tel" localSheetId="4">[1]Insumos!$H$79</definedName>
    <definedName name="tel">[1]Insumos!$H$79</definedName>
    <definedName name="teo" localSheetId="4">[1]Insumos!$H$1413</definedName>
    <definedName name="teo">[1]Insumos!$H$1413</definedName>
    <definedName name="tepx" localSheetId="4">[1]Insumos!$H$1178</definedName>
    <definedName name="tepx">[1]Insumos!$H$1178</definedName>
    <definedName name="tev">[2]Insumos!$E$31</definedName>
    <definedName name="tfg50c" localSheetId="4">[1]Insumos!$H$103</definedName>
    <definedName name="tfg50c">[1]Insumos!$H$103</definedName>
    <definedName name="tfi40_" localSheetId="4">[1]Insumos!$H$117</definedName>
    <definedName name="tfi40_">[1]Insumos!$H$117</definedName>
    <definedName name="tfs">[2]Insumos!$E$591</definedName>
    <definedName name="tim">[2]Insumos!$E$585</definedName>
    <definedName name="_xlnm.Print_Titles" localSheetId="6">'COMPOSIÇÃO DE CUSTOS'!$1:$6</definedName>
    <definedName name="_xlnm.Print_Titles" localSheetId="0">'PLANILHA ORÇA - CORREGEDORIA'!$13:$21</definedName>
    <definedName name="_xlnm.Print_Titles" localSheetId="1">'PLANILHA ORÇA - EJUD'!$12:$14</definedName>
    <definedName name="tjf">[2]Insumos!$E$35</definedName>
    <definedName name="tjt">[2]Insumos!$E$248</definedName>
    <definedName name="tjv">[2]Insumos!$E$39</definedName>
    <definedName name="tla14x2">[2]Insumos!$E$57</definedName>
    <definedName name="tll">[2]Insumos!$E$326</definedName>
    <definedName name="tllp">[2]Insumos!$E$327</definedName>
    <definedName name="tllpsp">[2]Insumos!$E$328</definedName>
    <definedName name="tma" localSheetId="4">[1]Insumos!$H$640</definedName>
    <definedName name="tma">[1]Insumos!$H$640</definedName>
    <definedName name="tmap" localSheetId="4">[1]Insumos!$H$641</definedName>
    <definedName name="tmap">[1]Insumos!$H$641</definedName>
    <definedName name="tmf">[2]Insumos!$E$620</definedName>
    <definedName name="tmi">[2]Insumos!$E$329</definedName>
    <definedName name="tmip">[2]Insumos!$E$330</definedName>
    <definedName name="tmk">[2]Insumos!$E$625</definedName>
    <definedName name="tnc1\2">[2]Insumos!$E$411</definedName>
    <definedName name="tnc1_2_1_1" localSheetId="4">[1]Insumos!$H$828</definedName>
    <definedName name="tnc1_2_1_1">[1]Insumos!$H$828</definedName>
    <definedName name="tnc3_4" localSheetId="4">[1]Insumos!$H$829</definedName>
    <definedName name="tnc3_4">[1]Insumos!$H$829</definedName>
    <definedName name="tncb1\2">[2]Insumos!$E$413</definedName>
    <definedName name="tncb1_2_1" localSheetId="4">[1]Insumos!$H$831</definedName>
    <definedName name="tncb1_2_1">[1]Insumos!$H$831</definedName>
    <definedName name="tni1\2">[2]Insumos!$E$410</definedName>
    <definedName name="tni1_2_1" localSheetId="4">[1]Insumos!$H$827</definedName>
    <definedName name="tni1_2_1">[1]Insumos!$H$827</definedName>
    <definedName name="tnp1\2">[2]Insumos!$E$409</definedName>
    <definedName name="tnp1_2_1_1" localSheetId="4">[1]Insumos!$H$826</definedName>
    <definedName name="tnp1_2_1_1">[1]Insumos!$H$826</definedName>
    <definedName name="top" localSheetId="4">[1]Insumos!$H$18</definedName>
    <definedName name="top">[1]Insumos!$H$18</definedName>
    <definedName name="TOT" localSheetId="4">[1]Orçamento!$F$722</definedName>
    <definedName name="TOT">[1]Orçamento!$F$722</definedName>
    <definedName name="tpb">[2]Insumos!$E$490</definedName>
    <definedName name="TPI">[2]Equipamentos!$P$31</definedName>
    <definedName name="tpl1\2">[2]Insumos!$E$408</definedName>
    <definedName name="tpl1_2_1_1" localSheetId="4">[1]Insumos!$H$825</definedName>
    <definedName name="tpl1_2_1_1">[1]Insumos!$H$825</definedName>
    <definedName name="TPP">[2]Equipamentos!$N$31</definedName>
    <definedName name="tpq600f" localSheetId="4">[1]Insumos!$H$1028</definedName>
    <definedName name="tpq600f">[1]Insumos!$H$1028</definedName>
    <definedName name="tpr">[2]Insumos!$E$614</definedName>
    <definedName name="trc">[2]Insumos!$E$252</definedName>
    <definedName name="TRIBUNAL_DE_JUSTIÇA_DO_ESTADO_DO_PIAUÍ" localSheetId="4">#REF!</definedName>
    <definedName name="TRIBUNAL_DE_JUSTIÇA_DO_ESTADO_DO_PIAUÍ">#REF!</definedName>
    <definedName name="tsac" localSheetId="4">[1]Insumos!$H$534</definedName>
    <definedName name="tsac">[1]Insumos!$H$534</definedName>
    <definedName name="tsp">[2]Insumos!$E$321</definedName>
    <definedName name="tspp">[2]Insumos!$E$322</definedName>
    <definedName name="tta">[2]Insumos!$E$529</definedName>
    <definedName name="ttc">[2]Insumos!$E$545</definedName>
    <definedName name="tte">[2]Insumos!$E$540</definedName>
    <definedName name="ttea" localSheetId="4">[1]Insumos!$H$1174</definedName>
    <definedName name="ttea">[1]Insumos!$H$1174</definedName>
    <definedName name="tteaa" localSheetId="4">[1]Insumos!$H$83</definedName>
    <definedName name="tteaa">[1]Insumos!$H$83</definedName>
    <definedName name="tteat" localSheetId="4">[1]Insumos!$H$1176</definedName>
    <definedName name="tteat">[1]Insumos!$H$1176</definedName>
    <definedName name="ttef" localSheetId="4">[1]Insumos!$H$1175</definedName>
    <definedName name="ttef">[1]Insumos!$H$1175</definedName>
    <definedName name="ttel">[2]Insumos!$E$713</definedName>
    <definedName name="tter" localSheetId="4">[1]Insumos!$H$1177</definedName>
    <definedName name="tter">[1]Insumos!$H$1177</definedName>
    <definedName name="ttl">[2]Insumos!$E$530</definedName>
    <definedName name="tto">[2]Insumos!$E$539</definedName>
    <definedName name="ttp">[2]Insumos!$E$702</definedName>
    <definedName name="ttt">[2]Insumos!$E$323</definedName>
    <definedName name="tttp">[2]Insumos!$E$324</definedName>
    <definedName name="tttpsp">[2]Insumos!$E$325</definedName>
    <definedName name="tttrj11" localSheetId="4">[1]Insumos!$H$635</definedName>
    <definedName name="tttrj11">[1]Insumos!$H$635</definedName>
    <definedName name="ttv">[2]Insumos!$E$531</definedName>
    <definedName name="ttva">[2]Insumos!$E$532</definedName>
    <definedName name="tub100ca2">[2]Insumos!$E$506</definedName>
    <definedName name="tub40ps1" localSheetId="4">[1]Insumos!$H$1104</definedName>
    <definedName name="tub40ps1">[1]Insumos!$H$1104</definedName>
    <definedName name="tub60ca2">[2]Insumos!$E$504</definedName>
    <definedName name="tub80ca2">[2]Insumos!$E$505</definedName>
    <definedName name="tubaf110" localSheetId="4">#REF!</definedName>
    <definedName name="tubaf110">#REF!</definedName>
    <definedName name="tubaf20">'[11]COMP HIDRAULICA'!$E$9</definedName>
    <definedName name="tubaf25" localSheetId="4">#REF!</definedName>
    <definedName name="tubaf25" localSheetId="1">#REF!</definedName>
    <definedName name="tubaf25">#REF!</definedName>
    <definedName name="tubaf32" localSheetId="4">#REF!</definedName>
    <definedName name="tubaf32" localSheetId="1">#REF!</definedName>
    <definedName name="tubaf32">#REF!</definedName>
    <definedName name="tubaf50">'[11]COMP HIDRAULICA'!$E$36</definedName>
    <definedName name="tubaf60">'[11]COMP HIDRAULICA'!$E$45</definedName>
    <definedName name="tubaf75">'[11]COMP HIDRAULICA'!$E$54</definedName>
    <definedName name="tubaf85">'[11]COMP HIDRAULICA'!$E$63</definedName>
    <definedName name="tubo20" localSheetId="4">#REF!</definedName>
    <definedName name="tubo20" localSheetId="1">#REF!</definedName>
    <definedName name="tubo20">#REF!</definedName>
    <definedName name="tup">[2]Insumos!$E$314</definedName>
    <definedName name="tus">[2]Insumos!$E$313</definedName>
    <definedName name="tusp1">[2]Insumos!$E$315</definedName>
    <definedName name="txa">[2]Insumos!$E$533</definedName>
    <definedName name="unt" localSheetId="4">[1]Insumos!$H$1461</definedName>
    <definedName name="unt">[1]Insumos!$H$1461</definedName>
    <definedName name="USS">[2]Equipamentos!$A$15</definedName>
    <definedName name="vbi2_CI" localSheetId="4">[1]Insumos!$H$1430</definedName>
    <definedName name="vbi2_CI">[1]Insumos!$H$1430</definedName>
    <definedName name="vbi2_CP" localSheetId="4">[1]Insumos!$H$1429</definedName>
    <definedName name="vbi2_CP">[1]Insumos!$H$1429</definedName>
    <definedName name="vbi2_HP" localSheetId="4">[3]Insumos!$F$1413</definedName>
    <definedName name="vbi2_HP">[3]Insumos!$F$1413</definedName>
    <definedName name="vcc3.5">[2]Insumos!$E$566</definedName>
    <definedName name="vcc3_5_" localSheetId="4">[1]Insumos!$H$1209</definedName>
    <definedName name="vcc3_5_">[1]Insumos!$H$1209</definedName>
    <definedName name="vcpp" localSheetId="4">[1]Insumos!$H$1019</definedName>
    <definedName name="vcpp">[1]Insumos!$H$1019</definedName>
    <definedName name="vep">[2]Insumos!$E$609</definedName>
    <definedName name="vfi3.5">[2]Insumos!$E$557</definedName>
    <definedName name="vfi3_5_" localSheetId="4">[1]Insumos!$H$1207</definedName>
    <definedName name="vfi3_5_">[1]Insumos!$H$1207</definedName>
    <definedName name="VII">[2]Equipamentos!$P$39</definedName>
    <definedName name="VIP">[2]Equipamentos!$N$39</definedName>
    <definedName name="vli">[2]Insumos!$E$457</definedName>
    <definedName name="vlp">[2]Insumos!$E$458</definedName>
    <definedName name="VLR">[2]Equipamentos!$F$16</definedName>
    <definedName name="vmt10x50" localSheetId="4">[1]Insumos!$H$1246</definedName>
    <definedName name="vmt10x50">[1]Insumos!$H$1246</definedName>
    <definedName name="vmt690x10x50" localSheetId="4">[1]Insumos!$H$1247</definedName>
    <definedName name="vmt690x10x50">[1]Insumos!$H$1247</definedName>
    <definedName name="vpma" localSheetId="4">[1]Insumos!$H$462</definedName>
    <definedName name="vpma">[1]Insumos!$H$462</definedName>
    <definedName name="vsb">[2]Insumos!$E$479</definedName>
    <definedName name="vsbc">[2]Insumos!$E$481</definedName>
    <definedName name="vsbpc">[2]Insumos!$E$480</definedName>
    <definedName name="vtt">[2]Insumos!$E$368</definedName>
    <definedName name="vul" localSheetId="4">[1]Insumos!$H$1412</definedName>
    <definedName name="vul">[1]Insumos!$H$1412</definedName>
    <definedName name="WEWRWR">#N/A</definedName>
    <definedName name="wpta" localSheetId="4">[1]Insumos!$H$1187</definedName>
    <definedName name="wpta">[1]Insumos!$H$1187</definedName>
    <definedName name="XXX">#N/A</definedName>
    <definedName name="zba">[2]Insumos!$E$542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9" l="1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D52" i="9"/>
  <c r="I54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D53" i="9"/>
  <c r="W50" i="9"/>
  <c r="E50" i="9"/>
  <c r="D50" i="9"/>
  <c r="S175" i="1"/>
  <c r="R175" i="1"/>
  <c r="P980" i="15"/>
  <c r="P1004" i="15"/>
  <c r="P1271" i="1"/>
  <c r="P228" i="1"/>
  <c r="P1152" i="1"/>
  <c r="Q1152" i="1" s="1"/>
  <c r="U1152" i="1" s="1"/>
  <c r="P1136" i="1"/>
  <c r="AB1152" i="1"/>
  <c r="X1152" i="1"/>
  <c r="S1152" i="1"/>
  <c r="G1152" i="1"/>
  <c r="H1152" i="1" s="1"/>
  <c r="I1152" i="1" s="1"/>
  <c r="Q133" i="1"/>
  <c r="U133" i="1" s="1"/>
  <c r="P133" i="1"/>
  <c r="T133" i="1" s="1"/>
  <c r="P95" i="1"/>
  <c r="AB133" i="1"/>
  <c r="X133" i="1"/>
  <c r="S133" i="1"/>
  <c r="G133" i="1"/>
  <c r="Z133" i="1" s="1"/>
  <c r="T228" i="1" l="1"/>
  <c r="T1152" i="1"/>
  <c r="Z1152" i="1"/>
  <c r="H133" i="1"/>
  <c r="I133" i="1" s="1"/>
  <c r="V100" i="1" l="1"/>
  <c r="P100" i="1" s="1"/>
  <c r="P49" i="1"/>
  <c r="P433" i="1"/>
  <c r="Q433" i="1" s="1"/>
  <c r="U433" i="1" s="1"/>
  <c r="T435" i="1"/>
  <c r="T434" i="1"/>
  <c r="Q434" i="1"/>
  <c r="U434" i="1" s="1"/>
  <c r="H412" i="21"/>
  <c r="F412" i="21" s="1"/>
  <c r="G412" i="21" s="1"/>
  <c r="F414" i="21"/>
  <c r="G414" i="21" s="1"/>
  <c r="F413" i="21"/>
  <c r="G413" i="21" s="1"/>
  <c r="P431" i="1"/>
  <c r="T431" i="1" s="1"/>
  <c r="P432" i="1"/>
  <c r="Q432" i="1" s="1"/>
  <c r="U432" i="1" s="1"/>
  <c r="P351" i="15"/>
  <c r="P352" i="15"/>
  <c r="Q352" i="15" s="1"/>
  <c r="U352" i="15" s="1"/>
  <c r="P350" i="15"/>
  <c r="P349" i="15"/>
  <c r="Q349" i="15" s="1"/>
  <c r="U349" i="15" s="1"/>
  <c r="P430" i="1"/>
  <c r="P429" i="1"/>
  <c r="Q429" i="1" s="1"/>
  <c r="U429" i="1" s="1"/>
  <c r="Q347" i="15"/>
  <c r="U347" i="15" s="1"/>
  <c r="P347" i="15"/>
  <c r="T347" i="15" s="1"/>
  <c r="P346" i="15"/>
  <c r="P344" i="15"/>
  <c r="T344" i="15" s="1"/>
  <c r="P426" i="1"/>
  <c r="P427" i="1" s="1"/>
  <c r="Q427" i="1" s="1"/>
  <c r="U427" i="1" s="1"/>
  <c r="P425" i="1"/>
  <c r="T425" i="1" s="1"/>
  <c r="P424" i="1"/>
  <c r="T424" i="1" s="1"/>
  <c r="T204" i="1"/>
  <c r="P136" i="15"/>
  <c r="T136" i="15" s="1"/>
  <c r="N136" i="15"/>
  <c r="M136" i="15"/>
  <c r="N204" i="1"/>
  <c r="M204" i="1"/>
  <c r="P204" i="1"/>
  <c r="I39" i="9"/>
  <c r="I17" i="9"/>
  <c r="H17" i="9"/>
  <c r="Q424" i="1" l="1"/>
  <c r="U424" i="1" s="1"/>
  <c r="Q344" i="15"/>
  <c r="U344" i="15" s="1"/>
  <c r="T426" i="1"/>
  <c r="T351" i="15"/>
  <c r="T427" i="1"/>
  <c r="P345" i="15"/>
  <c r="T433" i="1"/>
  <c r="G415" i="21"/>
  <c r="V435" i="1" s="1"/>
  <c r="T432" i="1"/>
  <c r="T346" i="15"/>
  <c r="T352" i="15"/>
  <c r="T349" i="15"/>
  <c r="T430" i="1"/>
  <c r="T429" i="1"/>
  <c r="T345" i="15" l="1"/>
  <c r="T350" i="15"/>
  <c r="T118" i="15"/>
  <c r="T117" i="15"/>
  <c r="T896" i="15"/>
  <c r="T895" i="15"/>
  <c r="T894" i="15"/>
  <c r="T916" i="15"/>
  <c r="T917" i="15"/>
  <c r="T915" i="15"/>
  <c r="T914" i="15"/>
  <c r="T918" i="15"/>
  <c r="T919" i="15"/>
  <c r="T920" i="15"/>
  <c r="T921" i="15"/>
  <c r="T940" i="15"/>
  <c r="T941" i="15"/>
  <c r="T942" i="15"/>
  <c r="T943" i="15"/>
  <c r="T944" i="15"/>
  <c r="T945" i="15"/>
  <c r="T946" i="15"/>
  <c r="T947" i="15"/>
  <c r="T948" i="15"/>
  <c r="T949" i="15"/>
  <c r="T950" i="15"/>
  <c r="T951" i="15"/>
  <c r="T952" i="15"/>
  <c r="T953" i="15"/>
  <c r="T954" i="15"/>
  <c r="T939" i="15"/>
  <c r="T937" i="15"/>
  <c r="T936" i="15"/>
  <c r="J336" i="21" l="1"/>
  <c r="J331" i="21"/>
  <c r="L70" i="21"/>
  <c r="J70" i="21"/>
  <c r="T1205" i="1"/>
  <c r="T1204" i="1"/>
  <c r="F407" i="21"/>
  <c r="G407" i="21" s="1"/>
  <c r="F406" i="21"/>
  <c r="G406" i="21" s="1"/>
  <c r="F405" i="21"/>
  <c r="G405" i="21" s="1"/>
  <c r="G404" i="21"/>
  <c r="F404" i="21"/>
  <c r="F403" i="21"/>
  <c r="G403" i="21" s="1"/>
  <c r="G402" i="21"/>
  <c r="F402" i="21"/>
  <c r="F401" i="21"/>
  <c r="G401" i="21" s="1"/>
  <c r="G400" i="21"/>
  <c r="F400" i="21"/>
  <c r="F395" i="21"/>
  <c r="G395" i="21" s="1"/>
  <c r="F394" i="21"/>
  <c r="G394" i="21" s="1"/>
  <c r="F393" i="21"/>
  <c r="G393" i="21" s="1"/>
  <c r="F392" i="21"/>
  <c r="G392" i="21" s="1"/>
  <c r="F391" i="21"/>
  <c r="G391" i="21" s="1"/>
  <c r="F390" i="21"/>
  <c r="G390" i="21" s="1"/>
  <c r="F389" i="21"/>
  <c r="G389" i="21" s="1"/>
  <c r="F388" i="21"/>
  <c r="G388" i="21" s="1"/>
  <c r="F361" i="21"/>
  <c r="G361" i="21" s="1"/>
  <c r="F360" i="21"/>
  <c r="G360" i="21" s="1"/>
  <c r="F358" i="21"/>
  <c r="G358" i="21" s="1"/>
  <c r="F359" i="21"/>
  <c r="G359" i="21" s="1"/>
  <c r="F362" i="21"/>
  <c r="G362" i="21" s="1"/>
  <c r="H70" i="21" l="1"/>
  <c r="G408" i="21"/>
  <c r="G396" i="21"/>
  <c r="V251" i="1"/>
  <c r="F383" i="21"/>
  <c r="G383" i="21" s="1"/>
  <c r="F382" i="21"/>
  <c r="G382" i="21" s="1"/>
  <c r="F381" i="21"/>
  <c r="G381" i="21" s="1"/>
  <c r="F375" i="21"/>
  <c r="G375" i="21" s="1"/>
  <c r="F376" i="21"/>
  <c r="G376" i="21" s="1"/>
  <c r="F374" i="21"/>
  <c r="G374" i="21" s="1"/>
  <c r="P1218" i="1"/>
  <c r="T1076" i="1"/>
  <c r="F369" i="21"/>
  <c r="G369" i="21" s="1"/>
  <c r="G370" i="21" s="1"/>
  <c r="V1076" i="1" s="1"/>
  <c r="R99" i="1"/>
  <c r="S126" i="1"/>
  <c r="S128" i="1"/>
  <c r="S129" i="1"/>
  <c r="S130" i="1"/>
  <c r="S131" i="1"/>
  <c r="S132" i="1"/>
  <c r="R90" i="1"/>
  <c r="S90" i="1" s="1"/>
  <c r="F357" i="21"/>
  <c r="G357" i="21" s="1"/>
  <c r="F364" i="21"/>
  <c r="G364" i="21" s="1"/>
  <c r="F363" i="21"/>
  <c r="G363" i="21" s="1"/>
  <c r="F356" i="21"/>
  <c r="G356" i="21" s="1"/>
  <c r="R159" i="15"/>
  <c r="R620" i="15"/>
  <c r="R934" i="15"/>
  <c r="R928" i="15"/>
  <c r="R78" i="15"/>
  <c r="P186" i="15"/>
  <c r="Q186" i="15" s="1"/>
  <c r="R177" i="15"/>
  <c r="T153" i="15"/>
  <c r="T227" i="1"/>
  <c r="R904" i="15"/>
  <c r="R929" i="15"/>
  <c r="R931" i="15"/>
  <c r="R932" i="15"/>
  <c r="R933" i="15"/>
  <c r="R1196" i="1"/>
  <c r="P1198" i="1"/>
  <c r="R1199" i="1"/>
  <c r="R1197" i="1"/>
  <c r="R1201" i="1"/>
  <c r="R1200" i="1"/>
  <c r="P1179" i="1"/>
  <c r="F100" i="21"/>
  <c r="G100" i="21" s="1"/>
  <c r="R1173" i="1"/>
  <c r="P1177" i="1"/>
  <c r="R1171" i="1"/>
  <c r="R1172" i="1"/>
  <c r="K192" i="21"/>
  <c r="J192" i="21"/>
  <c r="K191" i="21"/>
  <c r="J191" i="21"/>
  <c r="K190" i="21"/>
  <c r="J190" i="21"/>
  <c r="K189" i="21"/>
  <c r="J189" i="21"/>
  <c r="K289" i="21"/>
  <c r="K288" i="21"/>
  <c r="K287" i="21"/>
  <c r="K286" i="21"/>
  <c r="J289" i="21"/>
  <c r="J288" i="21"/>
  <c r="J287" i="21"/>
  <c r="J286" i="21"/>
  <c r="G920" i="15"/>
  <c r="H920" i="15"/>
  <c r="Q920" i="15" s="1"/>
  <c r="U920" i="15" s="1"/>
  <c r="J242" i="21"/>
  <c r="K242" i="21"/>
  <c r="K235" i="21"/>
  <c r="J235" i="21"/>
  <c r="J228" i="21"/>
  <c r="K228" i="21"/>
  <c r="J221" i="21"/>
  <c r="K221" i="21"/>
  <c r="K214" i="21"/>
  <c r="K207" i="21"/>
  <c r="J214" i="21"/>
  <c r="J207" i="21"/>
  <c r="J200" i="21"/>
  <c r="H200" i="21" s="1"/>
  <c r="F304" i="21"/>
  <c r="G304" i="21" s="1"/>
  <c r="F312" i="21"/>
  <c r="G312" i="21" s="1"/>
  <c r="F319" i="21"/>
  <c r="G319" i="21" s="1"/>
  <c r="F326" i="21"/>
  <c r="G326" i="21" s="1"/>
  <c r="K351" i="21"/>
  <c r="H351" i="21" s="1"/>
  <c r="F351" i="21" s="1"/>
  <c r="G351" i="21" s="1"/>
  <c r="G352" i="21" s="1"/>
  <c r="V1185" i="1" s="1"/>
  <c r="K346" i="21"/>
  <c r="H346" i="21" s="1"/>
  <c r="F346" i="21" s="1"/>
  <c r="G346" i="21" s="1"/>
  <c r="G347" i="21" s="1"/>
  <c r="V1184" i="1" s="1"/>
  <c r="K341" i="21"/>
  <c r="H341" i="21" s="1"/>
  <c r="F341" i="21" s="1"/>
  <c r="G341" i="21" s="1"/>
  <c r="G342" i="21" s="1"/>
  <c r="V1183" i="1" s="1"/>
  <c r="H336" i="21"/>
  <c r="F336" i="21" s="1"/>
  <c r="G336" i="21" s="1"/>
  <c r="G337" i="21" s="1"/>
  <c r="W915" i="15" s="1"/>
  <c r="G915" i="15" s="1"/>
  <c r="H915" i="15" s="1"/>
  <c r="Q915" i="15" s="1"/>
  <c r="U915" i="15" s="1"/>
  <c r="H331" i="21"/>
  <c r="F331" i="21" s="1"/>
  <c r="G331" i="21" s="1"/>
  <c r="G332" i="21" s="1"/>
  <c r="V1186" i="1" s="1"/>
  <c r="H302" i="21"/>
  <c r="F302" i="21" s="1"/>
  <c r="G302" i="21" s="1"/>
  <c r="H310" i="21"/>
  <c r="F310" i="21" s="1"/>
  <c r="G310" i="21" s="1"/>
  <c r="H317" i="21"/>
  <c r="F317" i="21" s="1"/>
  <c r="G317" i="21" s="1"/>
  <c r="H324" i="21"/>
  <c r="F324" i="21" s="1"/>
  <c r="G324" i="21" s="1"/>
  <c r="F325" i="21"/>
  <c r="G325" i="21" s="1"/>
  <c r="F318" i="21"/>
  <c r="G318" i="21" s="1"/>
  <c r="F311" i="21"/>
  <c r="G311" i="21" s="1"/>
  <c r="F303" i="21"/>
  <c r="G303" i="21" s="1"/>
  <c r="H286" i="21" l="1"/>
  <c r="H221" i="21"/>
  <c r="H192" i="21"/>
  <c r="H287" i="21"/>
  <c r="V1204" i="1"/>
  <c r="W936" i="15"/>
  <c r="G936" i="15" s="1"/>
  <c r="H936" i="15" s="1"/>
  <c r="Q936" i="15" s="1"/>
  <c r="U936" i="15" s="1"/>
  <c r="V1205" i="1"/>
  <c r="W937" i="15"/>
  <c r="G937" i="15" s="1"/>
  <c r="H937" i="15" s="1"/>
  <c r="Q937" i="15" s="1"/>
  <c r="U937" i="15" s="1"/>
  <c r="H191" i="21"/>
  <c r="G384" i="21"/>
  <c r="V1210" i="1" s="1"/>
  <c r="H189" i="21"/>
  <c r="H214" i="21"/>
  <c r="G377" i="21"/>
  <c r="V1209" i="1" s="1"/>
  <c r="G365" i="21"/>
  <c r="T186" i="15"/>
  <c r="U186" i="15"/>
  <c r="H288" i="21"/>
  <c r="H190" i="21"/>
  <c r="H207" i="21"/>
  <c r="H235" i="21"/>
  <c r="H228" i="21"/>
  <c r="H242" i="21"/>
  <c r="W916" i="15"/>
  <c r="G916" i="15" s="1"/>
  <c r="H916" i="15" s="1"/>
  <c r="Q916" i="15" s="1"/>
  <c r="U916" i="15" s="1"/>
  <c r="H289" i="21"/>
  <c r="W914" i="15"/>
  <c r="G914" i="15" s="1"/>
  <c r="H914" i="15" s="1"/>
  <c r="Q914" i="15" s="1"/>
  <c r="U914" i="15" s="1"/>
  <c r="G327" i="21"/>
  <c r="W918" i="15" s="1"/>
  <c r="G918" i="15" s="1"/>
  <c r="H918" i="15" s="1"/>
  <c r="Q918" i="15" s="1"/>
  <c r="U918" i="15" s="1"/>
  <c r="G313" i="21"/>
  <c r="V1190" i="1" s="1"/>
  <c r="G320" i="21"/>
  <c r="W917" i="15" s="1"/>
  <c r="G917" i="15" s="1"/>
  <c r="H917" i="15" s="1"/>
  <c r="Q917" i="15" s="1"/>
  <c r="U917" i="15" s="1"/>
  <c r="G305" i="21"/>
  <c r="V1189" i="1" s="1"/>
  <c r="W979" i="15"/>
  <c r="R979" i="15" s="1"/>
  <c r="R255" i="1"/>
  <c r="R254" i="1"/>
  <c r="R263" i="1"/>
  <c r="P257" i="1"/>
  <c r="P261" i="1"/>
  <c r="W939" i="15" l="1"/>
  <c r="G939" i="15" s="1"/>
  <c r="H939" i="15" s="1"/>
  <c r="Q939" i="15" s="1"/>
  <c r="U939" i="15" s="1"/>
  <c r="V1208" i="1"/>
  <c r="H297" i="21"/>
  <c r="G297" i="21"/>
  <c r="G298" i="21" s="1"/>
  <c r="W919" i="15" s="1"/>
  <c r="G919" i="15" s="1"/>
  <c r="H919" i="15" s="1"/>
  <c r="Q919" i="15" s="1"/>
  <c r="U919" i="15" s="1"/>
  <c r="E154" i="21"/>
  <c r="E153" i="21"/>
  <c r="E152" i="21"/>
  <c r="E151" i="21"/>
  <c r="E150" i="21"/>
  <c r="E149" i="21"/>
  <c r="E148" i="21"/>
  <c r="E147" i="21"/>
  <c r="E146" i="21"/>
  <c r="E290" i="21"/>
  <c r="H292" i="21"/>
  <c r="F292" i="21" s="1"/>
  <c r="G292" i="21" s="1"/>
  <c r="H291" i="21"/>
  <c r="F291" i="21" s="1"/>
  <c r="G291" i="21" s="1"/>
  <c r="F290" i="21"/>
  <c r="F289" i="21"/>
  <c r="G289" i="21" s="1"/>
  <c r="F288" i="21"/>
  <c r="G288" i="21" s="1"/>
  <c r="F287" i="21"/>
  <c r="G287" i="21" s="1"/>
  <c r="F286" i="21"/>
  <c r="G286" i="21" s="1"/>
  <c r="H281" i="21"/>
  <c r="F281" i="21" s="1"/>
  <c r="G281" i="21" s="1"/>
  <c r="F280" i="21"/>
  <c r="G280" i="21" s="1"/>
  <c r="F279" i="21"/>
  <c r="G279" i="21" s="1"/>
  <c r="F278" i="21"/>
  <c r="G278" i="21" s="1"/>
  <c r="F277" i="21"/>
  <c r="G277" i="21" s="1"/>
  <c r="F276" i="21"/>
  <c r="G276" i="21" s="1"/>
  <c r="F275" i="21"/>
  <c r="G275" i="21" s="1"/>
  <c r="F274" i="21"/>
  <c r="G274" i="21" s="1"/>
  <c r="F273" i="21"/>
  <c r="G273" i="21" s="1"/>
  <c r="T1187" i="1"/>
  <c r="G268" i="21"/>
  <c r="G269" i="21" s="1"/>
  <c r="V1187" i="1" s="1"/>
  <c r="G263" i="21"/>
  <c r="G264" i="21" s="1"/>
  <c r="V1188" i="1" s="1"/>
  <c r="E193" i="21"/>
  <c r="F193" i="21"/>
  <c r="P278" i="1"/>
  <c r="T1184" i="1"/>
  <c r="T1185" i="1"/>
  <c r="T1186" i="1"/>
  <c r="T1188" i="1"/>
  <c r="T1189" i="1"/>
  <c r="T1190" i="1"/>
  <c r="T1183" i="1"/>
  <c r="S330" i="1"/>
  <c r="F72" i="21"/>
  <c r="G72" i="21" s="1"/>
  <c r="H256" i="21"/>
  <c r="F256" i="21" s="1"/>
  <c r="G256" i="21" s="1"/>
  <c r="F258" i="21"/>
  <c r="G258" i="21" s="1"/>
  <c r="F257" i="21"/>
  <c r="G257" i="21" s="1"/>
  <c r="H249" i="21"/>
  <c r="F249" i="21" s="1"/>
  <c r="G249" i="21" s="1"/>
  <c r="F251" i="21"/>
  <c r="G251" i="21" s="1"/>
  <c r="F250" i="21"/>
  <c r="G250" i="21" s="1"/>
  <c r="F242" i="21"/>
  <c r="G242" i="21" s="1"/>
  <c r="F244" i="21"/>
  <c r="G244" i="21" s="1"/>
  <c r="F243" i="21"/>
  <c r="G243" i="21" s="1"/>
  <c r="F235" i="21"/>
  <c r="G235" i="21" s="1"/>
  <c r="F237" i="21"/>
  <c r="G237" i="21" s="1"/>
  <c r="F236" i="21"/>
  <c r="G236" i="21" s="1"/>
  <c r="F228" i="21"/>
  <c r="G228" i="21" s="1"/>
  <c r="F230" i="21"/>
  <c r="G230" i="21" s="1"/>
  <c r="F229" i="21"/>
  <c r="G229" i="21" s="1"/>
  <c r="F221" i="21"/>
  <c r="G221" i="21" s="1"/>
  <c r="F223" i="21"/>
  <c r="G223" i="21" s="1"/>
  <c r="F222" i="21"/>
  <c r="G222" i="21" s="1"/>
  <c r="F214" i="21"/>
  <c r="G214" i="21" s="1"/>
  <c r="F216" i="21"/>
  <c r="G216" i="21" s="1"/>
  <c r="F215" i="21"/>
  <c r="G215" i="21" s="1"/>
  <c r="F207" i="21"/>
  <c r="G207" i="21" s="1"/>
  <c r="F209" i="21"/>
  <c r="G209" i="21" s="1"/>
  <c r="F208" i="21"/>
  <c r="G208" i="21" s="1"/>
  <c r="F200" i="21"/>
  <c r="G200" i="21" s="1"/>
  <c r="F202" i="21"/>
  <c r="G202" i="21" s="1"/>
  <c r="F201" i="21"/>
  <c r="G201" i="21" s="1"/>
  <c r="H195" i="21"/>
  <c r="F195" i="21" s="1"/>
  <c r="G195" i="21" s="1"/>
  <c r="H194" i="21"/>
  <c r="F194" i="21" s="1"/>
  <c r="G194" i="21" s="1"/>
  <c r="T1221" i="1"/>
  <c r="T1222" i="1"/>
  <c r="T1223" i="1"/>
  <c r="T1217" i="1"/>
  <c r="T1216" i="1"/>
  <c r="T1215" i="1"/>
  <c r="T1211" i="1"/>
  <c r="T1219" i="1"/>
  <c r="T1218" i="1"/>
  <c r="T1213" i="1"/>
  <c r="T1214" i="1"/>
  <c r="T1212" i="1"/>
  <c r="F140" i="21"/>
  <c r="E140" i="21"/>
  <c r="H139" i="21"/>
  <c r="F139" i="21" s="1"/>
  <c r="G139" i="21" s="1"/>
  <c r="H141" i="21"/>
  <c r="F141" i="21" s="1"/>
  <c r="E141" i="21"/>
  <c r="F191" i="21"/>
  <c r="G191" i="21" s="1"/>
  <c r="F189" i="21"/>
  <c r="G189" i="21" s="1"/>
  <c r="F190" i="21"/>
  <c r="G190" i="21" s="1"/>
  <c r="F192" i="21"/>
  <c r="G192" i="21" s="1"/>
  <c r="E85" i="21"/>
  <c r="E84" i="21"/>
  <c r="E83" i="21"/>
  <c r="E82" i="21"/>
  <c r="E81" i="21"/>
  <c r="E80" i="21"/>
  <c r="E79" i="21"/>
  <c r="E78" i="21"/>
  <c r="E77" i="21"/>
  <c r="G290" i="21" l="1"/>
  <c r="G293" i="21" s="1"/>
  <c r="W950" i="15" s="1"/>
  <c r="G950" i="15" s="1"/>
  <c r="H950" i="15" s="1"/>
  <c r="Q950" i="15" s="1"/>
  <c r="U950" i="15" s="1"/>
  <c r="G282" i="21"/>
  <c r="W952" i="15" s="1"/>
  <c r="G245" i="21"/>
  <c r="V1217" i="1" s="1"/>
  <c r="G231" i="21"/>
  <c r="V1215" i="1" s="1"/>
  <c r="G252" i="21"/>
  <c r="V1218" i="1" s="1"/>
  <c r="G217" i="21"/>
  <c r="V1213" i="1" s="1"/>
  <c r="G224" i="21"/>
  <c r="V1214" i="1" s="1"/>
  <c r="G259" i="21"/>
  <c r="V1219" i="1" s="1"/>
  <c r="G193" i="21"/>
  <c r="G196" i="21" s="1"/>
  <c r="V1206" i="1" s="1"/>
  <c r="G238" i="21"/>
  <c r="V1216" i="1" s="1"/>
  <c r="G210" i="21"/>
  <c r="V1212" i="1" s="1"/>
  <c r="G141" i="21"/>
  <c r="G140" i="21"/>
  <c r="G203" i="21"/>
  <c r="V1211" i="1" s="1"/>
  <c r="P1003" i="15"/>
  <c r="V267" i="1"/>
  <c r="R267" i="1" s="1"/>
  <c r="P275" i="1"/>
  <c r="V275" i="1"/>
  <c r="P266" i="1"/>
  <c r="P268" i="1"/>
  <c r="Q268" i="1" s="1"/>
  <c r="P1270" i="1"/>
  <c r="P131" i="1"/>
  <c r="Q131" i="1" s="1"/>
  <c r="U131" i="1" s="1"/>
  <c r="P132" i="1"/>
  <c r="P128" i="1"/>
  <c r="T128" i="1" s="1"/>
  <c r="P130" i="1"/>
  <c r="Q130" i="1" s="1"/>
  <c r="U130" i="1" s="1"/>
  <c r="P129" i="1"/>
  <c r="Q129" i="1" s="1"/>
  <c r="U129" i="1" s="1"/>
  <c r="B129" i="1"/>
  <c r="B130" i="1"/>
  <c r="R91" i="1"/>
  <c r="S91" i="1" s="1"/>
  <c r="S99" i="1"/>
  <c r="S100" i="1"/>
  <c r="T131" i="1" l="1"/>
  <c r="T129" i="1"/>
  <c r="T130" i="1"/>
  <c r="R97" i="1" l="1"/>
  <c r="S97" i="1" s="1"/>
  <c r="R96" i="1"/>
  <c r="S96" i="1" s="1"/>
  <c r="R94" i="1"/>
  <c r="S94" i="1" s="1"/>
  <c r="R93" i="1"/>
  <c r="S93" i="1" s="1"/>
  <c r="S98" i="1"/>
  <c r="S95" i="1"/>
  <c r="S92" i="1"/>
  <c r="T126" i="1"/>
  <c r="Q126" i="1"/>
  <c r="U126" i="1" s="1"/>
  <c r="P112" i="1"/>
  <c r="P124" i="1"/>
  <c r="P120" i="1"/>
  <c r="P121" i="1"/>
  <c r="P119" i="1"/>
  <c r="P118" i="1"/>
  <c r="P117" i="1"/>
  <c r="P105" i="1"/>
  <c r="P108" i="1"/>
  <c r="P107" i="1" s="1"/>
  <c r="P106" i="1"/>
  <c r="P102" i="1"/>
  <c r="P104" i="1"/>
  <c r="P101" i="1"/>
  <c r="P103" i="1" l="1"/>
  <c r="P109" i="1"/>
  <c r="P110" i="1"/>
  <c r="P114" i="1"/>
  <c r="P115" i="1" s="1"/>
  <c r="P1130" i="1"/>
  <c r="P1140" i="1"/>
  <c r="P1143" i="1" s="1"/>
  <c r="V1085" i="1"/>
  <c r="P1145" i="1"/>
  <c r="P1146" i="1"/>
  <c r="P1141" i="1"/>
  <c r="P1126" i="1"/>
  <c r="P1129" i="1"/>
  <c r="P1131" i="1"/>
  <c r="P1127" i="1"/>
  <c r="P1128" i="1" s="1"/>
  <c r="P1151" i="1"/>
  <c r="P1147" i="1"/>
  <c r="P1139" i="1"/>
  <c r="P1124" i="1"/>
  <c r="P1122" i="1"/>
  <c r="P1123" i="1" s="1"/>
  <c r="P1121" i="1"/>
  <c r="R70" i="15"/>
  <c r="R67" i="15"/>
  <c r="P139" i="1"/>
  <c r="P136" i="1"/>
  <c r="F173" i="21"/>
  <c r="G173" i="21" s="1"/>
  <c r="F174" i="21"/>
  <c r="G174" i="21" s="1"/>
  <c r="F175" i="21"/>
  <c r="G175" i="21" s="1"/>
  <c r="F176" i="21"/>
  <c r="G176" i="21" s="1"/>
  <c r="F177" i="21"/>
  <c r="G177" i="21" s="1"/>
  <c r="F178" i="21"/>
  <c r="G178" i="21" s="1"/>
  <c r="F179" i="21"/>
  <c r="G179" i="21" s="1"/>
  <c r="F180" i="21"/>
  <c r="G180" i="21" s="1"/>
  <c r="F181" i="21"/>
  <c r="G181" i="21" s="1"/>
  <c r="F182" i="21"/>
  <c r="G182" i="21" s="1"/>
  <c r="F183" i="21"/>
  <c r="G183" i="21" s="1"/>
  <c r="F184" i="21"/>
  <c r="G184" i="21" s="1"/>
  <c r="P1148" i="1" l="1"/>
  <c r="P1149" i="1" s="1"/>
  <c r="P1150" i="1" s="1"/>
  <c r="P1144" i="1"/>
  <c r="G185" i="21"/>
  <c r="V1137" i="1" s="1"/>
  <c r="N1151" i="1"/>
  <c r="Q1151" i="1" s="1"/>
  <c r="M1151" i="1"/>
  <c r="N1150" i="1"/>
  <c r="M1150" i="1"/>
  <c r="N1149" i="1"/>
  <c r="M1149" i="1"/>
  <c r="N1148" i="1"/>
  <c r="M1148" i="1"/>
  <c r="N1147" i="1"/>
  <c r="Q1147" i="1" s="1"/>
  <c r="M1147" i="1"/>
  <c r="G1146" i="1"/>
  <c r="N1145" i="1"/>
  <c r="Q1145" i="1" s="1"/>
  <c r="M1145" i="1"/>
  <c r="N1144" i="1"/>
  <c r="M1144" i="1"/>
  <c r="N1143" i="1"/>
  <c r="Q1143" i="1" s="1"/>
  <c r="M1143" i="1"/>
  <c r="N1142" i="1"/>
  <c r="Q1142" i="1" s="1"/>
  <c r="M1142" i="1"/>
  <c r="N1141" i="1"/>
  <c r="Q1141" i="1" s="1"/>
  <c r="M1141" i="1"/>
  <c r="N1140" i="1"/>
  <c r="Q1140" i="1" s="1"/>
  <c r="M1140" i="1"/>
  <c r="N1139" i="1"/>
  <c r="Q1139" i="1" s="1"/>
  <c r="M1139" i="1"/>
  <c r="N1138" i="1"/>
  <c r="Q1138" i="1" s="1"/>
  <c r="M1138" i="1"/>
  <c r="M1136" i="1"/>
  <c r="Q1144" i="1" l="1"/>
  <c r="Q1148" i="1"/>
  <c r="Q1150" i="1"/>
  <c r="Q1149" i="1"/>
  <c r="N1136" i="1"/>
  <c r="Q1136" i="1" s="1"/>
  <c r="N1135" i="1"/>
  <c r="Q1135" i="1" s="1"/>
  <c r="M1135" i="1"/>
  <c r="N1134" i="1"/>
  <c r="Q1134" i="1" s="1"/>
  <c r="M1134" i="1"/>
  <c r="N1133" i="1"/>
  <c r="Q1133" i="1" s="1"/>
  <c r="M1133" i="1"/>
  <c r="N1132" i="1"/>
  <c r="Q1132" i="1" s="1"/>
  <c r="M1132" i="1"/>
  <c r="N1131" i="1"/>
  <c r="Q1131" i="1" s="1"/>
  <c r="M1131" i="1"/>
  <c r="N1130" i="1"/>
  <c r="Q1130" i="1" s="1"/>
  <c r="M1130" i="1"/>
  <c r="N1129" i="1"/>
  <c r="Q1129" i="1" s="1"/>
  <c r="M1129" i="1"/>
  <c r="N117" i="1"/>
  <c r="H1146" i="1"/>
  <c r="I1138" i="1"/>
  <c r="S1126" i="1"/>
  <c r="T1126" i="1"/>
  <c r="S1127" i="1"/>
  <c r="T1127" i="1"/>
  <c r="S1128" i="1"/>
  <c r="T1128" i="1"/>
  <c r="S1129" i="1"/>
  <c r="T1129" i="1"/>
  <c r="S1130" i="1"/>
  <c r="T1130" i="1"/>
  <c r="S1131" i="1"/>
  <c r="T1131" i="1"/>
  <c r="S1132" i="1"/>
  <c r="T1132" i="1"/>
  <c r="S1133" i="1"/>
  <c r="T1133" i="1"/>
  <c r="S1134" i="1"/>
  <c r="T1134" i="1"/>
  <c r="S1135" i="1"/>
  <c r="T1135" i="1"/>
  <c r="S1136" i="1"/>
  <c r="T1136" i="1"/>
  <c r="S1137" i="1"/>
  <c r="T1137" i="1"/>
  <c r="S1138" i="1"/>
  <c r="U1138" i="1" s="1"/>
  <c r="T1138" i="1"/>
  <c r="S1139" i="1"/>
  <c r="U1139" i="1" s="1"/>
  <c r="T1139" i="1"/>
  <c r="U1153" i="1"/>
  <c r="T1143" i="1"/>
  <c r="T1144" i="1"/>
  <c r="T1145" i="1"/>
  <c r="T1146" i="1"/>
  <c r="T1147" i="1"/>
  <c r="T1148" i="1"/>
  <c r="S1147" i="1"/>
  <c r="U1147" i="1" s="1"/>
  <c r="S1148" i="1"/>
  <c r="T1150" i="1"/>
  <c r="T1151" i="1"/>
  <c r="S1150" i="1"/>
  <c r="S1151" i="1"/>
  <c r="U1151" i="1" s="1"/>
  <c r="S1143" i="1"/>
  <c r="U1143" i="1" s="1"/>
  <c r="S1144" i="1"/>
  <c r="S1145" i="1"/>
  <c r="U1145" i="1" s="1"/>
  <c r="S1146" i="1"/>
  <c r="U1144" i="1" l="1"/>
  <c r="U1150" i="1"/>
  <c r="U1148" i="1"/>
  <c r="U1133" i="1"/>
  <c r="U1135" i="1"/>
  <c r="I1146" i="1"/>
  <c r="U1134" i="1"/>
  <c r="U1136" i="1"/>
  <c r="U1131" i="1"/>
  <c r="U1132" i="1"/>
  <c r="U1130" i="1"/>
  <c r="U1129" i="1"/>
  <c r="B1124" i="1"/>
  <c r="Q1118" i="1"/>
  <c r="T1121" i="1"/>
  <c r="T1122" i="1"/>
  <c r="T1123" i="1"/>
  <c r="T1124" i="1"/>
  <c r="T1125" i="1"/>
  <c r="T1140" i="1"/>
  <c r="T1141" i="1"/>
  <c r="T1142" i="1"/>
  <c r="T1149" i="1"/>
  <c r="S1121" i="1"/>
  <c r="S1122" i="1"/>
  <c r="S1123" i="1"/>
  <c r="S1124" i="1"/>
  <c r="S1125" i="1"/>
  <c r="S1140" i="1"/>
  <c r="S1141" i="1"/>
  <c r="S1142" i="1"/>
  <c r="S1149" i="1"/>
  <c r="Q1120" i="1"/>
  <c r="T132" i="1"/>
  <c r="T127" i="1"/>
  <c r="N127" i="1"/>
  <c r="M127" i="1"/>
  <c r="H168" i="21"/>
  <c r="F168" i="21" s="1"/>
  <c r="G168" i="21" s="1"/>
  <c r="F167" i="21"/>
  <c r="G167" i="21" s="1"/>
  <c r="F166" i="21"/>
  <c r="G166" i="21" s="1"/>
  <c r="F165" i="21"/>
  <c r="G165" i="21" s="1"/>
  <c r="F164" i="21"/>
  <c r="G164" i="21" s="1"/>
  <c r="F163" i="21"/>
  <c r="G163" i="21" s="1"/>
  <c r="F162" i="21"/>
  <c r="G162" i="21" s="1"/>
  <c r="F161" i="21"/>
  <c r="G161" i="21" s="1"/>
  <c r="F160" i="21"/>
  <c r="G160" i="21" s="1"/>
  <c r="F159" i="21"/>
  <c r="G159" i="21" s="1"/>
  <c r="F154" i="21"/>
  <c r="G154" i="21" s="1"/>
  <c r="F153" i="21"/>
  <c r="G153" i="21" s="1"/>
  <c r="F152" i="21"/>
  <c r="G152" i="21" s="1"/>
  <c r="F151" i="21"/>
  <c r="G151" i="21" s="1"/>
  <c r="F150" i="21"/>
  <c r="G150" i="21" s="1"/>
  <c r="F149" i="21"/>
  <c r="G149" i="21" s="1"/>
  <c r="F148" i="21"/>
  <c r="G148" i="21" s="1"/>
  <c r="F147" i="21"/>
  <c r="G147" i="21" s="1"/>
  <c r="F146" i="21"/>
  <c r="G146" i="21" s="1"/>
  <c r="R898" i="15"/>
  <c r="R913" i="15"/>
  <c r="Q127" i="1" l="1"/>
  <c r="S127" i="1"/>
  <c r="U1149" i="1"/>
  <c r="U1141" i="1"/>
  <c r="U1142" i="1"/>
  <c r="U1140" i="1"/>
  <c r="Q132" i="1"/>
  <c r="U132" i="1" s="1"/>
  <c r="G169" i="21"/>
  <c r="G155" i="21"/>
  <c r="W951" i="15" s="1"/>
  <c r="G951" i="15" s="1"/>
  <c r="H951" i="15" s="1"/>
  <c r="T125" i="1"/>
  <c r="N125" i="1"/>
  <c r="M125" i="1"/>
  <c r="T124" i="1"/>
  <c r="N124" i="1"/>
  <c r="Q124" i="1" s="1"/>
  <c r="M124" i="1"/>
  <c r="T122" i="1"/>
  <c r="T123" i="1"/>
  <c r="S123" i="1"/>
  <c r="N122" i="1"/>
  <c r="Q122" i="1" s="1"/>
  <c r="M122" i="1"/>
  <c r="N121" i="1"/>
  <c r="M121" i="1"/>
  <c r="N120" i="1"/>
  <c r="M120" i="1"/>
  <c r="N119" i="1"/>
  <c r="M119" i="1"/>
  <c r="T119" i="1"/>
  <c r="T120" i="1"/>
  <c r="T121" i="1"/>
  <c r="M117" i="1"/>
  <c r="N118" i="1"/>
  <c r="M118" i="1"/>
  <c r="T116" i="1"/>
  <c r="T117" i="1"/>
  <c r="T118" i="1"/>
  <c r="S116" i="1"/>
  <c r="T114" i="1"/>
  <c r="T115" i="1"/>
  <c r="N115" i="1"/>
  <c r="Q115" i="1" s="1"/>
  <c r="M115" i="1"/>
  <c r="N114" i="1"/>
  <c r="M114" i="1"/>
  <c r="T112" i="1"/>
  <c r="T113" i="1"/>
  <c r="N113" i="1"/>
  <c r="M113" i="1"/>
  <c r="T109" i="1"/>
  <c r="T110" i="1"/>
  <c r="T111" i="1"/>
  <c r="N111" i="1"/>
  <c r="Q111" i="1" s="1"/>
  <c r="M111" i="1"/>
  <c r="N110" i="1"/>
  <c r="Q110" i="1" s="1"/>
  <c r="M110" i="1"/>
  <c r="N109" i="1"/>
  <c r="Q109" i="1" s="1"/>
  <c r="M109" i="1"/>
  <c r="G112" i="1"/>
  <c r="H112" i="1" s="1"/>
  <c r="T108" i="1"/>
  <c r="N108" i="1"/>
  <c r="Q108" i="1" s="1"/>
  <c r="M108" i="1"/>
  <c r="T107" i="1"/>
  <c r="S106" i="1"/>
  <c r="T106" i="1"/>
  <c r="M107" i="1"/>
  <c r="N107" i="1"/>
  <c r="Q107" i="1" s="1"/>
  <c r="S103" i="1"/>
  <c r="T103" i="1"/>
  <c r="S102" i="1"/>
  <c r="T102" i="1"/>
  <c r="F138" i="21"/>
  <c r="G138" i="21" s="1"/>
  <c r="F137" i="21"/>
  <c r="G137" i="21" s="1"/>
  <c r="F136" i="21"/>
  <c r="G136" i="21" s="1"/>
  <c r="F135" i="21"/>
  <c r="G135" i="21" s="1"/>
  <c r="F134" i="21"/>
  <c r="G134" i="21" s="1"/>
  <c r="F133" i="21"/>
  <c r="G133" i="21" s="1"/>
  <c r="F132" i="21"/>
  <c r="G132" i="21" s="1"/>
  <c r="F131" i="21"/>
  <c r="G131" i="21" s="1"/>
  <c r="F130" i="21"/>
  <c r="G130" i="21" s="1"/>
  <c r="F124" i="21"/>
  <c r="G124" i="21" s="1"/>
  <c r="F114" i="21"/>
  <c r="G114" i="21" s="1"/>
  <c r="F113" i="21"/>
  <c r="G113" i="21" s="1"/>
  <c r="F112" i="21"/>
  <c r="G112" i="21" s="1"/>
  <c r="F111" i="21"/>
  <c r="G111" i="21" s="1"/>
  <c r="E122" i="21"/>
  <c r="E118" i="21"/>
  <c r="E117" i="21"/>
  <c r="E116" i="21"/>
  <c r="E115" i="21"/>
  <c r="F125" i="21"/>
  <c r="G125" i="21" s="1"/>
  <c r="F123" i="21"/>
  <c r="G123" i="21" s="1"/>
  <c r="F122" i="21"/>
  <c r="F121" i="21"/>
  <c r="G121" i="21" s="1"/>
  <c r="F120" i="21"/>
  <c r="G120" i="21" s="1"/>
  <c r="F119" i="21"/>
  <c r="G119" i="21" s="1"/>
  <c r="F118" i="21"/>
  <c r="F117" i="21"/>
  <c r="F116" i="21"/>
  <c r="F115" i="21"/>
  <c r="T1220" i="1"/>
  <c r="H106" i="21"/>
  <c r="F106" i="21" s="1"/>
  <c r="G106" i="21" s="1"/>
  <c r="F105" i="21"/>
  <c r="G105" i="21" s="1"/>
  <c r="F104" i="21"/>
  <c r="G104" i="21" s="1"/>
  <c r="F103" i="21"/>
  <c r="G103" i="21" s="1"/>
  <c r="F102" i="21"/>
  <c r="G102" i="21" s="1"/>
  <c r="F101" i="21"/>
  <c r="G101" i="21" s="1"/>
  <c r="F99" i="21"/>
  <c r="G99" i="21" s="1"/>
  <c r="F98" i="21"/>
  <c r="G98" i="21" s="1"/>
  <c r="F97" i="21"/>
  <c r="G97" i="21" s="1"/>
  <c r="T1163" i="1"/>
  <c r="T1162" i="1"/>
  <c r="T1161" i="1"/>
  <c r="T1210" i="1"/>
  <c r="T1209" i="1"/>
  <c r="T1208" i="1"/>
  <c r="T1206" i="1"/>
  <c r="T1182" i="1"/>
  <c r="S355" i="1"/>
  <c r="R733" i="1"/>
  <c r="S733" i="1" s="1"/>
  <c r="S409" i="15"/>
  <c r="S410" i="15"/>
  <c r="S411" i="15"/>
  <c r="S412" i="15"/>
  <c r="S413" i="15"/>
  <c r="S414" i="15"/>
  <c r="S415" i="15"/>
  <c r="S416" i="15"/>
  <c r="S417" i="15"/>
  <c r="S418" i="15"/>
  <c r="S419" i="15"/>
  <c r="S420" i="15"/>
  <c r="S421" i="15"/>
  <c r="S422" i="15"/>
  <c r="S423" i="15"/>
  <c r="S424" i="15"/>
  <c r="S425" i="15"/>
  <c r="S426" i="15"/>
  <c r="S427" i="15"/>
  <c r="S428" i="15"/>
  <c r="S429" i="15"/>
  <c r="S430" i="15"/>
  <c r="S431" i="15"/>
  <c r="S432" i="15"/>
  <c r="S433" i="15"/>
  <c r="S434" i="15"/>
  <c r="S435" i="15"/>
  <c r="S436" i="15"/>
  <c r="S437" i="15"/>
  <c r="S438" i="15"/>
  <c r="S439" i="15"/>
  <c r="S440" i="15"/>
  <c r="S441" i="15"/>
  <c r="S442" i="15"/>
  <c r="S443" i="15"/>
  <c r="S444" i="15"/>
  <c r="S445" i="15"/>
  <c r="S408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8" i="15"/>
  <c r="Q409" i="15"/>
  <c r="Q410" i="15"/>
  <c r="Q411" i="15"/>
  <c r="Q412" i="15"/>
  <c r="Q413" i="15"/>
  <c r="Q414" i="15"/>
  <c r="Q415" i="15"/>
  <c r="Q416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S450" i="15"/>
  <c r="S451" i="15"/>
  <c r="S452" i="15"/>
  <c r="S453" i="15"/>
  <c r="S454" i="15"/>
  <c r="S455" i="15"/>
  <c r="S456" i="15"/>
  <c r="S457" i="15"/>
  <c r="S458" i="15"/>
  <c r="S459" i="15"/>
  <c r="S460" i="15"/>
  <c r="S461" i="15"/>
  <c r="S462" i="15"/>
  <c r="S463" i="15"/>
  <c r="S464" i="15"/>
  <c r="S465" i="15"/>
  <c r="S466" i="15"/>
  <c r="S467" i="15"/>
  <c r="S468" i="15"/>
  <c r="S469" i="15"/>
  <c r="S470" i="15"/>
  <c r="S471" i="15"/>
  <c r="S472" i="15"/>
  <c r="S473" i="15"/>
  <c r="S474" i="15"/>
  <c r="S475" i="15"/>
  <c r="S476" i="15"/>
  <c r="S477" i="15"/>
  <c r="S478" i="15"/>
  <c r="S479" i="15"/>
  <c r="S480" i="15"/>
  <c r="S481" i="15"/>
  <c r="S482" i="15"/>
  <c r="S483" i="15"/>
  <c r="S484" i="15"/>
  <c r="S485" i="15"/>
  <c r="S486" i="15"/>
  <c r="S487" i="15"/>
  <c r="S488" i="15"/>
  <c r="S489" i="15"/>
  <c r="S490" i="15"/>
  <c r="S491" i="15"/>
  <c r="S492" i="15"/>
  <c r="S493" i="15"/>
  <c r="S494" i="15"/>
  <c r="S495" i="15"/>
  <c r="S496" i="15"/>
  <c r="S497" i="15"/>
  <c r="S498" i="15"/>
  <c r="S499" i="15"/>
  <c r="S500" i="15"/>
  <c r="S501" i="15"/>
  <c r="S502" i="15"/>
  <c r="S503" i="15"/>
  <c r="S504" i="15"/>
  <c r="S505" i="15"/>
  <c r="S506" i="15"/>
  <c r="S507" i="15"/>
  <c r="S508" i="15"/>
  <c r="S509" i="15"/>
  <c r="S510" i="15"/>
  <c r="S511" i="15"/>
  <c r="S512" i="15"/>
  <c r="S449" i="15"/>
  <c r="Q449" i="15"/>
  <c r="Q450" i="15"/>
  <c r="Q451" i="15"/>
  <c r="Q452" i="15"/>
  <c r="Q453" i="15"/>
  <c r="Q454" i="15"/>
  <c r="Q455" i="15"/>
  <c r="Q456" i="15"/>
  <c r="Q457" i="15"/>
  <c r="Q458" i="15"/>
  <c r="Q459" i="15"/>
  <c r="Q460" i="15"/>
  <c r="Q461" i="15"/>
  <c r="Q462" i="15"/>
  <c r="Q463" i="15"/>
  <c r="Q464" i="15"/>
  <c r="Q465" i="15"/>
  <c r="Q466" i="15"/>
  <c r="Q467" i="15"/>
  <c r="Q468" i="15"/>
  <c r="Q469" i="15"/>
  <c r="Q470" i="15"/>
  <c r="Q471" i="15"/>
  <c r="Q472" i="15"/>
  <c r="Q473" i="15"/>
  <c r="Q474" i="15"/>
  <c r="Q475" i="15"/>
  <c r="Q476" i="15"/>
  <c r="Q477" i="15"/>
  <c r="Q478" i="15"/>
  <c r="Q479" i="15"/>
  <c r="Q480" i="15"/>
  <c r="Q481" i="15"/>
  <c r="Q482" i="15"/>
  <c r="Q483" i="15"/>
  <c r="Q484" i="15"/>
  <c r="Q485" i="15"/>
  <c r="Q486" i="15"/>
  <c r="Q487" i="15"/>
  <c r="Q488" i="15"/>
  <c r="Q489" i="15"/>
  <c r="Q490" i="15"/>
  <c r="Q491" i="15"/>
  <c r="Q492" i="15"/>
  <c r="Q493" i="15"/>
  <c r="Q494" i="15"/>
  <c r="Q495" i="15"/>
  <c r="Q496" i="15"/>
  <c r="Q497" i="15"/>
  <c r="Q498" i="15"/>
  <c r="Q499" i="15"/>
  <c r="Q500" i="15"/>
  <c r="Q501" i="15"/>
  <c r="Q502" i="15"/>
  <c r="Q503" i="15"/>
  <c r="Q504" i="15"/>
  <c r="Q505" i="15"/>
  <c r="Q506" i="15"/>
  <c r="Q507" i="15"/>
  <c r="Q508" i="15"/>
  <c r="Q509" i="15"/>
  <c r="Q510" i="15"/>
  <c r="Q511" i="15"/>
  <c r="Q512" i="15"/>
  <c r="S517" i="15"/>
  <c r="S518" i="15"/>
  <c r="S519" i="15"/>
  <c r="S520" i="15"/>
  <c r="S521" i="15"/>
  <c r="S522" i="15"/>
  <c r="S523" i="15"/>
  <c r="S524" i="15"/>
  <c r="S525" i="15"/>
  <c r="S526" i="15"/>
  <c r="S527" i="15"/>
  <c r="S528" i="15"/>
  <c r="S529" i="15"/>
  <c r="S530" i="15"/>
  <c r="S531" i="15"/>
  <c r="S516" i="15"/>
  <c r="Q516" i="15"/>
  <c r="Q517" i="15"/>
  <c r="Q518" i="15"/>
  <c r="Q519" i="15"/>
  <c r="Q520" i="15"/>
  <c r="Q521" i="15"/>
  <c r="Q522" i="15"/>
  <c r="Q523" i="15"/>
  <c r="Q524" i="15"/>
  <c r="Q525" i="15"/>
  <c r="Q526" i="15"/>
  <c r="Q527" i="15"/>
  <c r="Q528" i="15"/>
  <c r="Q529" i="15"/>
  <c r="Q530" i="15"/>
  <c r="Q531" i="15"/>
  <c r="S536" i="15"/>
  <c r="S537" i="15"/>
  <c r="S538" i="15"/>
  <c r="S539" i="15"/>
  <c r="S540" i="15"/>
  <c r="S541" i="15"/>
  <c r="S542" i="15"/>
  <c r="S543" i="15"/>
  <c r="S544" i="15"/>
  <c r="S545" i="15"/>
  <c r="S546" i="15"/>
  <c r="S547" i="15"/>
  <c r="S548" i="15"/>
  <c r="S549" i="15"/>
  <c r="S550" i="15"/>
  <c r="S551" i="15"/>
  <c r="S552" i="15"/>
  <c r="S553" i="15"/>
  <c r="S554" i="15"/>
  <c r="S555" i="15"/>
  <c r="S556" i="15"/>
  <c r="S557" i="15"/>
  <c r="S558" i="15"/>
  <c r="S559" i="15"/>
  <c r="S560" i="15"/>
  <c r="S561" i="15"/>
  <c r="S562" i="15"/>
  <c r="S563" i="15"/>
  <c r="S564" i="15"/>
  <c r="S565" i="15"/>
  <c r="S566" i="15"/>
  <c r="S535" i="15"/>
  <c r="Q535" i="15"/>
  <c r="Q536" i="15"/>
  <c r="Q537" i="15"/>
  <c r="Q538" i="15"/>
  <c r="Q539" i="15"/>
  <c r="Q540" i="15"/>
  <c r="Q541" i="15"/>
  <c r="Q542" i="15"/>
  <c r="Q543" i="15"/>
  <c r="Q544" i="15"/>
  <c r="Q545" i="15"/>
  <c r="Q546" i="15"/>
  <c r="Q547" i="15"/>
  <c r="Q548" i="15"/>
  <c r="Q549" i="15"/>
  <c r="Q550" i="15"/>
  <c r="Q551" i="15"/>
  <c r="Q552" i="15"/>
  <c r="Q553" i="15"/>
  <c r="Q554" i="15"/>
  <c r="Q555" i="15"/>
  <c r="Q556" i="15"/>
  <c r="Q557" i="15"/>
  <c r="Q558" i="15"/>
  <c r="Q559" i="15"/>
  <c r="Q560" i="15"/>
  <c r="Q561" i="15"/>
  <c r="Q562" i="15"/>
  <c r="Q563" i="15"/>
  <c r="Q564" i="15"/>
  <c r="Q565" i="15"/>
  <c r="Q566" i="15"/>
  <c r="S570" i="15"/>
  <c r="S569" i="15"/>
  <c r="Q570" i="15"/>
  <c r="Q569" i="15"/>
  <c r="S575" i="15"/>
  <c r="S576" i="15"/>
  <c r="S577" i="15"/>
  <c r="S578" i="15"/>
  <c r="S579" i="15"/>
  <c r="S580" i="15"/>
  <c r="S581" i="15"/>
  <c r="S582" i="15"/>
  <c r="S583" i="15"/>
  <c r="S584" i="15"/>
  <c r="S585" i="15"/>
  <c r="S586" i="15"/>
  <c r="S587" i="15"/>
  <c r="S588" i="15"/>
  <c r="S589" i="15"/>
  <c r="S590" i="15"/>
  <c r="S591" i="15"/>
  <c r="S592" i="15"/>
  <c r="S593" i="15"/>
  <c r="S594" i="15"/>
  <c r="S595" i="15"/>
  <c r="S596" i="15"/>
  <c r="S597" i="15"/>
  <c r="S598" i="15"/>
  <c r="S599" i="15"/>
  <c r="S600" i="15"/>
  <c r="S601" i="15"/>
  <c r="S602" i="15"/>
  <c r="S603" i="15"/>
  <c r="S604" i="15"/>
  <c r="S605" i="15"/>
  <c r="S606" i="15"/>
  <c r="S607" i="15"/>
  <c r="S608" i="15"/>
  <c r="S609" i="15"/>
  <c r="S610" i="15"/>
  <c r="S611" i="15"/>
  <c r="S612" i="15"/>
  <c r="S574" i="15"/>
  <c r="Q574" i="15"/>
  <c r="Q575" i="15"/>
  <c r="Q576" i="15"/>
  <c r="Q577" i="15"/>
  <c r="Q578" i="15"/>
  <c r="Q579" i="15"/>
  <c r="Q580" i="15"/>
  <c r="Q581" i="15"/>
  <c r="Q582" i="15"/>
  <c r="Q583" i="15"/>
  <c r="Q584" i="15"/>
  <c r="Q585" i="15"/>
  <c r="Q586" i="15"/>
  <c r="Q587" i="15"/>
  <c r="Q588" i="15"/>
  <c r="Q589" i="15"/>
  <c r="Q590" i="15"/>
  <c r="Q591" i="15"/>
  <c r="Q592" i="15"/>
  <c r="Q593" i="15"/>
  <c r="Q594" i="15"/>
  <c r="Q595" i="15"/>
  <c r="Q596" i="15"/>
  <c r="Q597" i="15"/>
  <c r="Q598" i="15"/>
  <c r="Q599" i="15"/>
  <c r="Q600" i="15"/>
  <c r="Q601" i="15"/>
  <c r="Q603" i="15"/>
  <c r="Q604" i="15"/>
  <c r="Q605" i="15"/>
  <c r="Q606" i="15"/>
  <c r="Q607" i="15"/>
  <c r="Q608" i="15"/>
  <c r="Q609" i="15"/>
  <c r="Q610" i="15"/>
  <c r="Q611" i="15"/>
  <c r="Q612" i="15"/>
  <c r="S617" i="15"/>
  <c r="S618" i="15"/>
  <c r="S619" i="15"/>
  <c r="S620" i="15"/>
  <c r="S621" i="15"/>
  <c r="S622" i="15"/>
  <c r="S623" i="15"/>
  <c r="S624" i="15"/>
  <c r="S625" i="15"/>
  <c r="S616" i="15"/>
  <c r="Q616" i="15"/>
  <c r="Q617" i="15"/>
  <c r="Q618" i="15"/>
  <c r="Q619" i="15"/>
  <c r="Q620" i="15"/>
  <c r="Q621" i="15"/>
  <c r="Q622" i="15"/>
  <c r="Q623" i="15"/>
  <c r="Q624" i="15"/>
  <c r="Q625" i="15"/>
  <c r="S630" i="15"/>
  <c r="S631" i="15"/>
  <c r="S632" i="15"/>
  <c r="S633" i="15"/>
  <c r="S634" i="15"/>
  <c r="S635" i="15"/>
  <c r="S636" i="15"/>
  <c r="S637" i="15"/>
  <c r="S638" i="15"/>
  <c r="S639" i="15"/>
  <c r="S640" i="15"/>
  <c r="S641" i="15"/>
  <c r="S642" i="15"/>
  <c r="S643" i="15"/>
  <c r="S644" i="15"/>
  <c r="S645" i="15"/>
  <c r="S646" i="15"/>
  <c r="S647" i="15"/>
  <c r="S648" i="15"/>
  <c r="S649" i="15"/>
  <c r="S650" i="15"/>
  <c r="S651" i="15"/>
  <c r="S652" i="15"/>
  <c r="S653" i="15"/>
  <c r="S654" i="15"/>
  <c r="S655" i="15"/>
  <c r="S656" i="15"/>
  <c r="S657" i="15"/>
  <c r="S658" i="15"/>
  <c r="S659" i="15"/>
  <c r="S660" i="15"/>
  <c r="S661" i="15"/>
  <c r="S662" i="15"/>
  <c r="S663" i="15"/>
  <c r="S664" i="15"/>
  <c r="S665" i="15"/>
  <c r="S666" i="15"/>
  <c r="S667" i="15"/>
  <c r="S668" i="15"/>
  <c r="S669" i="15"/>
  <c r="S670" i="15"/>
  <c r="S671" i="15"/>
  <c r="S672" i="15"/>
  <c r="S673" i="15"/>
  <c r="S674" i="15"/>
  <c r="S675" i="15"/>
  <c r="S676" i="15"/>
  <c r="S677" i="15"/>
  <c r="S678" i="15"/>
  <c r="S679" i="15"/>
  <c r="S680" i="15"/>
  <c r="S629" i="15"/>
  <c r="Q629" i="15"/>
  <c r="Q630" i="15"/>
  <c r="Q631" i="15"/>
  <c r="Q632" i="15"/>
  <c r="Q633" i="15"/>
  <c r="Q634" i="15"/>
  <c r="Q635" i="15"/>
  <c r="Q636" i="15"/>
  <c r="Q637" i="15"/>
  <c r="Q638" i="15"/>
  <c r="Q639" i="15"/>
  <c r="Q640" i="15"/>
  <c r="Q641" i="15"/>
  <c r="Q642" i="15"/>
  <c r="Q643" i="15"/>
  <c r="Q644" i="15"/>
  <c r="Q645" i="15"/>
  <c r="Q646" i="15"/>
  <c r="Q647" i="15"/>
  <c r="Q648" i="15"/>
  <c r="Q649" i="15"/>
  <c r="Q650" i="15"/>
  <c r="Q651" i="15"/>
  <c r="Q652" i="15"/>
  <c r="Q653" i="15"/>
  <c r="Q654" i="15"/>
  <c r="Q655" i="15"/>
  <c r="Q656" i="15"/>
  <c r="Q657" i="15"/>
  <c r="Q658" i="15"/>
  <c r="Q659" i="15"/>
  <c r="Q660" i="15"/>
  <c r="Q661" i="15"/>
  <c r="Q662" i="15"/>
  <c r="Q663" i="15"/>
  <c r="Q664" i="15"/>
  <c r="Q665" i="15"/>
  <c r="Q666" i="15"/>
  <c r="Q667" i="15"/>
  <c r="Q668" i="15"/>
  <c r="Q669" i="15"/>
  <c r="Q670" i="15"/>
  <c r="Q671" i="15"/>
  <c r="Q672" i="15"/>
  <c r="Q673" i="15"/>
  <c r="Q674" i="15"/>
  <c r="Q675" i="15"/>
  <c r="Q676" i="15"/>
  <c r="Q677" i="15"/>
  <c r="Q678" i="15"/>
  <c r="Q679" i="15"/>
  <c r="Q680" i="15"/>
  <c r="S685" i="15"/>
  <c r="S686" i="15"/>
  <c r="S687" i="15"/>
  <c r="S688" i="15"/>
  <c r="S689" i="15"/>
  <c r="S690" i="15"/>
  <c r="S691" i="15"/>
  <c r="S692" i="15"/>
  <c r="S693" i="15"/>
  <c r="S694" i="15"/>
  <c r="S695" i="15"/>
  <c r="S696" i="15"/>
  <c r="S697" i="15"/>
  <c r="S698" i="15"/>
  <c r="S699" i="15"/>
  <c r="S700" i="15"/>
  <c r="S701" i="15"/>
  <c r="S702" i="15"/>
  <c r="S703" i="15"/>
  <c r="S704" i="15"/>
  <c r="S705" i="15"/>
  <c r="S706" i="15"/>
  <c r="S707" i="15"/>
  <c r="S708" i="15"/>
  <c r="S709" i="15"/>
  <c r="S710" i="15"/>
  <c r="S711" i="15"/>
  <c r="S712" i="15"/>
  <c r="S713" i="15"/>
  <c r="S714" i="15"/>
  <c r="S715" i="15"/>
  <c r="S716" i="15"/>
  <c r="S717" i="15"/>
  <c r="S718" i="15"/>
  <c r="S719" i="15"/>
  <c r="S720" i="15"/>
  <c r="S721" i="15"/>
  <c r="S722" i="15"/>
  <c r="S723" i="15"/>
  <c r="S724" i="15"/>
  <c r="S725" i="15"/>
  <c r="S726" i="15"/>
  <c r="S727" i="15"/>
  <c r="S728" i="15"/>
  <c r="S729" i="15"/>
  <c r="S730" i="15"/>
  <c r="S731" i="15"/>
  <c r="S732" i="15"/>
  <c r="S733" i="15"/>
  <c r="S734" i="15"/>
  <c r="S735" i="15"/>
  <c r="S736" i="15"/>
  <c r="S737" i="15"/>
  <c r="S738" i="15"/>
  <c r="S739" i="15"/>
  <c r="S740" i="15"/>
  <c r="S741" i="15"/>
  <c r="S742" i="15"/>
  <c r="S743" i="15"/>
  <c r="S744" i="15"/>
  <c r="S745" i="15"/>
  <c r="S746" i="15"/>
  <c r="S747" i="15"/>
  <c r="S748" i="15"/>
  <c r="S749" i="15"/>
  <c r="S750" i="15"/>
  <c r="S751" i="15"/>
  <c r="S752" i="15"/>
  <c r="S753" i="15"/>
  <c r="S754" i="15"/>
  <c r="S755" i="15"/>
  <c r="S756" i="15"/>
  <c r="S757" i="15"/>
  <c r="S758" i="15"/>
  <c r="S759" i="15"/>
  <c r="S760" i="15"/>
  <c r="S761" i="15"/>
  <c r="S762" i="15"/>
  <c r="S763" i="15"/>
  <c r="S764" i="15"/>
  <c r="S765" i="15"/>
  <c r="S766" i="15"/>
  <c r="S767" i="15"/>
  <c r="S768" i="15"/>
  <c r="S769" i="15"/>
  <c r="S770" i="15"/>
  <c r="S771" i="15"/>
  <c r="S772" i="15"/>
  <c r="S773" i="15"/>
  <c r="S774" i="15"/>
  <c r="S775" i="15"/>
  <c r="S776" i="15"/>
  <c r="S777" i="15"/>
  <c r="S778" i="15"/>
  <c r="S779" i="15"/>
  <c r="S780" i="15"/>
  <c r="S781" i="15"/>
  <c r="S782" i="15"/>
  <c r="S783" i="15"/>
  <c r="S784" i="15"/>
  <c r="S785" i="15"/>
  <c r="S786" i="15"/>
  <c r="S787" i="15"/>
  <c r="S788" i="15"/>
  <c r="S789" i="15"/>
  <c r="S790" i="15"/>
  <c r="S791" i="15"/>
  <c r="S792" i="15"/>
  <c r="S793" i="15"/>
  <c r="S794" i="15"/>
  <c r="S795" i="15"/>
  <c r="S796" i="15"/>
  <c r="S797" i="15"/>
  <c r="S798" i="15"/>
  <c r="S799" i="15"/>
  <c r="S800" i="15"/>
  <c r="S801" i="15"/>
  <c r="S802" i="15"/>
  <c r="S803" i="15"/>
  <c r="S804" i="15"/>
  <c r="S805" i="15"/>
  <c r="S806" i="15"/>
  <c r="S807" i="15"/>
  <c r="S808" i="15"/>
  <c r="S809" i="15"/>
  <c r="S810" i="15"/>
  <c r="S811" i="15"/>
  <c r="S812" i="15"/>
  <c r="S813" i="15"/>
  <c r="S814" i="15"/>
  <c r="S815" i="15"/>
  <c r="S816" i="15"/>
  <c r="S817" i="15"/>
  <c r="S818" i="15"/>
  <c r="S819" i="15"/>
  <c r="S820" i="15"/>
  <c r="S821" i="15"/>
  <c r="S822" i="15"/>
  <c r="S823" i="15"/>
  <c r="S824" i="15"/>
  <c r="S825" i="15"/>
  <c r="S826" i="15"/>
  <c r="S827" i="15"/>
  <c r="S828" i="15"/>
  <c r="S829" i="15"/>
  <c r="S830" i="15"/>
  <c r="S831" i="15"/>
  <c r="S832" i="15"/>
  <c r="S833" i="15"/>
  <c r="S834" i="15"/>
  <c r="S835" i="15"/>
  <c r="S836" i="15"/>
  <c r="S837" i="15"/>
  <c r="S684" i="15"/>
  <c r="Q684" i="15"/>
  <c r="Q685" i="15"/>
  <c r="Q686" i="15"/>
  <c r="Q687" i="15"/>
  <c r="Q688" i="15"/>
  <c r="Q689" i="15"/>
  <c r="Q690" i="15"/>
  <c r="Q691" i="15"/>
  <c r="Q692" i="15"/>
  <c r="Q693" i="15"/>
  <c r="Q694" i="15"/>
  <c r="Q695" i="15"/>
  <c r="Q696" i="15"/>
  <c r="Q697" i="15"/>
  <c r="Q698" i="15"/>
  <c r="Q699" i="15"/>
  <c r="Q700" i="15"/>
  <c r="Q701" i="15"/>
  <c r="Q702" i="15"/>
  <c r="Q703" i="15"/>
  <c r="Q704" i="15"/>
  <c r="Q705" i="15"/>
  <c r="Q706" i="15"/>
  <c r="Q707" i="15"/>
  <c r="Q708" i="15"/>
  <c r="Q709" i="15"/>
  <c r="Q710" i="15"/>
  <c r="Q711" i="15"/>
  <c r="Q712" i="15"/>
  <c r="Q713" i="15"/>
  <c r="Q714" i="15"/>
  <c r="Q715" i="15"/>
  <c r="Q716" i="15"/>
  <c r="Q717" i="15"/>
  <c r="Q718" i="15"/>
  <c r="Q719" i="15"/>
  <c r="Q720" i="15"/>
  <c r="Q721" i="15"/>
  <c r="Q722" i="15"/>
  <c r="Q723" i="15"/>
  <c r="Q724" i="15"/>
  <c r="Q725" i="15"/>
  <c r="Q726" i="15"/>
  <c r="Q727" i="15"/>
  <c r="Q728" i="15"/>
  <c r="Q729" i="15"/>
  <c r="Q730" i="15"/>
  <c r="Q731" i="15"/>
  <c r="Q732" i="15"/>
  <c r="Q733" i="15"/>
  <c r="Q734" i="15"/>
  <c r="Q735" i="15"/>
  <c r="Q736" i="15"/>
  <c r="Q737" i="15"/>
  <c r="Q738" i="15"/>
  <c r="Q739" i="15"/>
  <c r="Q740" i="15"/>
  <c r="Q741" i="15"/>
  <c r="Q742" i="15"/>
  <c r="Q743" i="15"/>
  <c r="Q744" i="15"/>
  <c r="Q745" i="15"/>
  <c r="Q746" i="15"/>
  <c r="Q747" i="15"/>
  <c r="Q748" i="15"/>
  <c r="Q749" i="15"/>
  <c r="Q750" i="15"/>
  <c r="Q751" i="15"/>
  <c r="Q752" i="15"/>
  <c r="Q753" i="15"/>
  <c r="Q754" i="15"/>
  <c r="Q755" i="15"/>
  <c r="Q756" i="15"/>
  <c r="Q757" i="15"/>
  <c r="Q758" i="15"/>
  <c r="Q759" i="15"/>
  <c r="Q760" i="15"/>
  <c r="Q761" i="15"/>
  <c r="Q762" i="15"/>
  <c r="Q763" i="15"/>
  <c r="Q764" i="15"/>
  <c r="Q765" i="15"/>
  <c r="Q766" i="15"/>
  <c r="Q767" i="15"/>
  <c r="Q768" i="15"/>
  <c r="Q769" i="15"/>
  <c r="Q770" i="15"/>
  <c r="Q771" i="15"/>
  <c r="Q772" i="15"/>
  <c r="Q773" i="15"/>
  <c r="Q774" i="15"/>
  <c r="Q775" i="15"/>
  <c r="Q776" i="15"/>
  <c r="Q777" i="15"/>
  <c r="Q778" i="15"/>
  <c r="Q779" i="15"/>
  <c r="Q780" i="15"/>
  <c r="Q781" i="15"/>
  <c r="Q782" i="15"/>
  <c r="Q783" i="15"/>
  <c r="Q784" i="15"/>
  <c r="Q785" i="15"/>
  <c r="Q786" i="15"/>
  <c r="Q787" i="15"/>
  <c r="Q788" i="15"/>
  <c r="Q789" i="15"/>
  <c r="Q790" i="15"/>
  <c r="Q791" i="15"/>
  <c r="Q792" i="15"/>
  <c r="Q793" i="15"/>
  <c r="Q794" i="15"/>
  <c r="Q795" i="15"/>
  <c r="Q796" i="15"/>
  <c r="Q797" i="15"/>
  <c r="Q798" i="15"/>
  <c r="Q799" i="15"/>
  <c r="Q800" i="15"/>
  <c r="Q801" i="15"/>
  <c r="Q802" i="15"/>
  <c r="Q803" i="15"/>
  <c r="Q804" i="15"/>
  <c r="Q805" i="15"/>
  <c r="Q806" i="15"/>
  <c r="Q807" i="15"/>
  <c r="Q808" i="15"/>
  <c r="Q809" i="15"/>
  <c r="Q810" i="15"/>
  <c r="Q811" i="15"/>
  <c r="Q812" i="15"/>
  <c r="Q813" i="15"/>
  <c r="Q814" i="15"/>
  <c r="Q815" i="15"/>
  <c r="Q816" i="15"/>
  <c r="Q817" i="15"/>
  <c r="Q818" i="15"/>
  <c r="Q819" i="15"/>
  <c r="Q820" i="15"/>
  <c r="Q821" i="15"/>
  <c r="Q822" i="15"/>
  <c r="Q823" i="15"/>
  <c r="Q824" i="15"/>
  <c r="Q825" i="15"/>
  <c r="Q826" i="15"/>
  <c r="Q827" i="15"/>
  <c r="Q828" i="15"/>
  <c r="Q829" i="15"/>
  <c r="Q830" i="15"/>
  <c r="Q831" i="15"/>
  <c r="Q832" i="15"/>
  <c r="Q833" i="15"/>
  <c r="Q834" i="15"/>
  <c r="Q835" i="15"/>
  <c r="Q836" i="15"/>
  <c r="Q837" i="15"/>
  <c r="S842" i="15"/>
  <c r="S843" i="15"/>
  <c r="S844" i="15"/>
  <c r="S845" i="15"/>
  <c r="S846" i="15"/>
  <c r="S847" i="15"/>
  <c r="S848" i="15"/>
  <c r="S849" i="15"/>
  <c r="S850" i="15"/>
  <c r="S851" i="15"/>
  <c r="S852" i="15"/>
  <c r="S853" i="15"/>
  <c r="S854" i="15"/>
  <c r="S855" i="15"/>
  <c r="S856" i="15"/>
  <c r="S857" i="15"/>
  <c r="S858" i="15"/>
  <c r="S859" i="15"/>
  <c r="S860" i="15"/>
  <c r="S861" i="15"/>
  <c r="S862" i="15"/>
  <c r="S863" i="15"/>
  <c r="S864" i="15"/>
  <c r="S865" i="15"/>
  <c r="S866" i="15"/>
  <c r="S841" i="15"/>
  <c r="Q841" i="15"/>
  <c r="Q842" i="15"/>
  <c r="Q843" i="15"/>
  <c r="Q844" i="15"/>
  <c r="Q845" i="15"/>
  <c r="Q846" i="15"/>
  <c r="Q847" i="15"/>
  <c r="Q848" i="15"/>
  <c r="Q849" i="15"/>
  <c r="Q850" i="15"/>
  <c r="Q851" i="15"/>
  <c r="Q852" i="15"/>
  <c r="Q853" i="15"/>
  <c r="Q854" i="15"/>
  <c r="Q855" i="15"/>
  <c r="Q856" i="15"/>
  <c r="Q857" i="15"/>
  <c r="Q858" i="15"/>
  <c r="Q859" i="15"/>
  <c r="Q860" i="15"/>
  <c r="Q861" i="15"/>
  <c r="Q862" i="15"/>
  <c r="Q863" i="15"/>
  <c r="Q864" i="15"/>
  <c r="Q865" i="15"/>
  <c r="Q866" i="15"/>
  <c r="S871" i="15"/>
  <c r="S872" i="15"/>
  <c r="S873" i="15"/>
  <c r="S874" i="15"/>
  <c r="S875" i="15"/>
  <c r="S877" i="15"/>
  <c r="S878" i="15"/>
  <c r="S880" i="15"/>
  <c r="S881" i="15"/>
  <c r="S882" i="15"/>
  <c r="S883" i="15"/>
  <c r="S884" i="15"/>
  <c r="S885" i="15"/>
  <c r="S870" i="15"/>
  <c r="Q870" i="15"/>
  <c r="Q871" i="15"/>
  <c r="Q872" i="15"/>
  <c r="Q873" i="15"/>
  <c r="Q874" i="15"/>
  <c r="Q875" i="15"/>
  <c r="Q877" i="15"/>
  <c r="Q878" i="15"/>
  <c r="Q880" i="15"/>
  <c r="Q881" i="15"/>
  <c r="Q882" i="15"/>
  <c r="Q883" i="15"/>
  <c r="Q884" i="15"/>
  <c r="Q885" i="15"/>
  <c r="S891" i="15"/>
  <c r="S892" i="15"/>
  <c r="S893" i="15"/>
  <c r="S898" i="15"/>
  <c r="S899" i="15"/>
  <c r="S901" i="15"/>
  <c r="S902" i="15"/>
  <c r="S903" i="15"/>
  <c r="S904" i="15"/>
  <c r="S905" i="15"/>
  <c r="S906" i="15"/>
  <c r="S907" i="15"/>
  <c r="S908" i="15"/>
  <c r="S909" i="15"/>
  <c r="S910" i="15"/>
  <c r="S911" i="15"/>
  <c r="S912" i="15"/>
  <c r="S913" i="15"/>
  <c r="S923" i="15"/>
  <c r="S924" i="15"/>
  <c r="S925" i="15"/>
  <c r="S926" i="15"/>
  <c r="S928" i="15"/>
  <c r="S929" i="15"/>
  <c r="S930" i="15"/>
  <c r="S931" i="15"/>
  <c r="S932" i="15"/>
  <c r="S933" i="15"/>
  <c r="S934" i="15"/>
  <c r="S935" i="15"/>
  <c r="S956" i="15"/>
  <c r="S890" i="15"/>
  <c r="Q891" i="15"/>
  <c r="Q892" i="15"/>
  <c r="Q893" i="15"/>
  <c r="Q898" i="15"/>
  <c r="Q899" i="15"/>
  <c r="Q901" i="15"/>
  <c r="Q902" i="15"/>
  <c r="Q903" i="15"/>
  <c r="Q904" i="15"/>
  <c r="Q905" i="15"/>
  <c r="Q906" i="15"/>
  <c r="Q907" i="15"/>
  <c r="Q908" i="15"/>
  <c r="Q909" i="15"/>
  <c r="Q910" i="15"/>
  <c r="Q911" i="15"/>
  <c r="Q912" i="15"/>
  <c r="Q913" i="15"/>
  <c r="Q923" i="15"/>
  <c r="Q924" i="15"/>
  <c r="Q925" i="15"/>
  <c r="Q926" i="15"/>
  <c r="Q928" i="15"/>
  <c r="Q929" i="15"/>
  <c r="Q930" i="15"/>
  <c r="Q931" i="15"/>
  <c r="Q932" i="15"/>
  <c r="Q933" i="15"/>
  <c r="Q934" i="15"/>
  <c r="Q935" i="15"/>
  <c r="Q956" i="15"/>
  <c r="Q890" i="15"/>
  <c r="S960" i="15"/>
  <c r="S961" i="15"/>
  <c r="S962" i="15"/>
  <c r="S963" i="15"/>
  <c r="S964" i="15"/>
  <c r="S965" i="15"/>
  <c r="S966" i="15"/>
  <c r="S967" i="15"/>
  <c r="S968" i="15"/>
  <c r="S959" i="15"/>
  <c r="S975" i="15"/>
  <c r="Q975" i="15"/>
  <c r="S974" i="15"/>
  <c r="Q974" i="15"/>
  <c r="S984" i="15"/>
  <c r="Q984" i="15"/>
  <c r="S985" i="15"/>
  <c r="Q985" i="15"/>
  <c r="S986" i="15"/>
  <c r="Q986" i="15"/>
  <c r="S987" i="15"/>
  <c r="Q987" i="15"/>
  <c r="S988" i="15"/>
  <c r="Q988" i="15"/>
  <c r="S989" i="15"/>
  <c r="Q989" i="15"/>
  <c r="S990" i="15"/>
  <c r="Q990" i="15"/>
  <c r="S991" i="15"/>
  <c r="Q991" i="15"/>
  <c r="S992" i="15"/>
  <c r="Q992" i="15"/>
  <c r="S993" i="15"/>
  <c r="Q993" i="15"/>
  <c r="S994" i="15"/>
  <c r="Q994" i="15"/>
  <c r="S995" i="15"/>
  <c r="Q995" i="15"/>
  <c r="S996" i="15"/>
  <c r="Q996" i="15"/>
  <c r="S997" i="15"/>
  <c r="Q997" i="15"/>
  <c r="S998" i="15"/>
  <c r="Q998" i="15"/>
  <c r="S999" i="15"/>
  <c r="Q999" i="15"/>
  <c r="S1008" i="15"/>
  <c r="Q1008" i="15"/>
  <c r="S1007" i="15"/>
  <c r="Q1007" i="15"/>
  <c r="S372" i="15"/>
  <c r="S373" i="15"/>
  <c r="S374" i="15"/>
  <c r="S375" i="15"/>
  <c r="S376" i="15"/>
  <c r="S377" i="15"/>
  <c r="S378" i="15"/>
  <c r="S379" i="15"/>
  <c r="S380" i="15"/>
  <c r="S381" i="15"/>
  <c r="S382" i="15"/>
  <c r="S383" i="15"/>
  <c r="S384" i="15"/>
  <c r="S385" i="15"/>
  <c r="S386" i="15"/>
  <c r="S387" i="15"/>
  <c r="S388" i="15"/>
  <c r="S389" i="15"/>
  <c r="S390" i="15"/>
  <c r="S391" i="15"/>
  <c r="S392" i="15"/>
  <c r="S393" i="15"/>
  <c r="S394" i="15"/>
  <c r="S395" i="15"/>
  <c r="S396" i="15"/>
  <c r="S397" i="15"/>
  <c r="S398" i="15"/>
  <c r="S399" i="15"/>
  <c r="S400" i="15"/>
  <c r="S401" i="15"/>
  <c r="S402" i="15"/>
  <c r="S403" i="15"/>
  <c r="S371" i="15"/>
  <c r="Q210" i="15"/>
  <c r="S210" i="15"/>
  <c r="Q211" i="15"/>
  <c r="S211" i="15"/>
  <c r="Q212" i="15"/>
  <c r="S212" i="15"/>
  <c r="Q213" i="15"/>
  <c r="S213" i="15"/>
  <c r="Q214" i="15"/>
  <c r="S214" i="15"/>
  <c r="Q215" i="15"/>
  <c r="S215" i="15"/>
  <c r="Q216" i="15"/>
  <c r="S216" i="15"/>
  <c r="Q217" i="15"/>
  <c r="S217" i="15"/>
  <c r="Q218" i="15"/>
  <c r="S218" i="15"/>
  <c r="Q219" i="15"/>
  <c r="S219" i="15"/>
  <c r="Q220" i="15"/>
  <c r="S220" i="15"/>
  <c r="Q221" i="15"/>
  <c r="S221" i="15"/>
  <c r="Q222" i="15"/>
  <c r="S222" i="15"/>
  <c r="Q223" i="15"/>
  <c r="S223" i="15"/>
  <c r="Q224" i="15"/>
  <c r="S224" i="15"/>
  <c r="Q225" i="15"/>
  <c r="S225" i="15"/>
  <c r="Q226" i="15"/>
  <c r="S226" i="15"/>
  <c r="Q227" i="15"/>
  <c r="S227" i="15"/>
  <c r="Q228" i="15"/>
  <c r="S228" i="15"/>
  <c r="Q229" i="15"/>
  <c r="S229" i="15"/>
  <c r="Q230" i="15"/>
  <c r="S230" i="15"/>
  <c r="Q231" i="15"/>
  <c r="S231" i="15"/>
  <c r="Q232" i="15"/>
  <c r="S232" i="15"/>
  <c r="Q233" i="15"/>
  <c r="S233" i="15"/>
  <c r="Q234" i="15"/>
  <c r="S234" i="15"/>
  <c r="Q235" i="15"/>
  <c r="S235" i="15"/>
  <c r="Q236" i="15"/>
  <c r="S236" i="15"/>
  <c r="Q237" i="15"/>
  <c r="S237" i="15"/>
  <c r="Q238" i="15"/>
  <c r="S238" i="15"/>
  <c r="Q239" i="15"/>
  <c r="S239" i="15"/>
  <c r="Q240" i="15"/>
  <c r="S240" i="15"/>
  <c r="Q241" i="15"/>
  <c r="S241" i="15"/>
  <c r="Q242" i="15"/>
  <c r="S242" i="15"/>
  <c r="Q243" i="15"/>
  <c r="S243" i="15"/>
  <c r="Q244" i="15"/>
  <c r="S244" i="15"/>
  <c r="Q245" i="15"/>
  <c r="S245" i="15"/>
  <c r="Q246" i="15"/>
  <c r="S246" i="15"/>
  <c r="Q247" i="15"/>
  <c r="S247" i="15"/>
  <c r="Q248" i="15"/>
  <c r="S248" i="15"/>
  <c r="Q249" i="15"/>
  <c r="S249" i="15"/>
  <c r="Q250" i="15"/>
  <c r="S250" i="15"/>
  <c r="Q251" i="15"/>
  <c r="S251" i="15"/>
  <c r="Q252" i="15"/>
  <c r="S252" i="15"/>
  <c r="Q253" i="15"/>
  <c r="S253" i="15"/>
  <c r="Q254" i="15"/>
  <c r="S254" i="15"/>
  <c r="Q255" i="15"/>
  <c r="S255" i="15"/>
  <c r="Q256" i="15"/>
  <c r="S256" i="15"/>
  <c r="Q257" i="15"/>
  <c r="S257" i="15"/>
  <c r="Q258" i="15"/>
  <c r="S258" i="15"/>
  <c r="Q259" i="15"/>
  <c r="S259" i="15"/>
  <c r="Q260" i="15"/>
  <c r="S260" i="15"/>
  <c r="Q261" i="15"/>
  <c r="S261" i="15"/>
  <c r="Q262" i="15"/>
  <c r="S262" i="15"/>
  <c r="Q263" i="15"/>
  <c r="S263" i="15"/>
  <c r="Q264" i="15"/>
  <c r="S264" i="15"/>
  <c r="Q265" i="15"/>
  <c r="S265" i="15"/>
  <c r="Q266" i="15"/>
  <c r="S266" i="15"/>
  <c r="Q267" i="15"/>
  <c r="S267" i="15"/>
  <c r="Q268" i="15"/>
  <c r="S268" i="15"/>
  <c r="Q269" i="15"/>
  <c r="S269" i="15"/>
  <c r="Q270" i="15"/>
  <c r="S270" i="15"/>
  <c r="Q271" i="15"/>
  <c r="S271" i="15"/>
  <c r="Q272" i="15"/>
  <c r="S272" i="15"/>
  <c r="Q273" i="15"/>
  <c r="S273" i="15"/>
  <c r="Q274" i="15"/>
  <c r="S274" i="15"/>
  <c r="Q275" i="15"/>
  <c r="S275" i="15"/>
  <c r="Q276" i="15"/>
  <c r="S276" i="15"/>
  <c r="Q277" i="15"/>
  <c r="S277" i="15"/>
  <c r="Q278" i="15"/>
  <c r="S278" i="15"/>
  <c r="Q279" i="15"/>
  <c r="S279" i="15"/>
  <c r="Q280" i="15"/>
  <c r="S280" i="15"/>
  <c r="Q281" i="15"/>
  <c r="S281" i="15"/>
  <c r="Q282" i="15"/>
  <c r="S282" i="15"/>
  <c r="Q283" i="15"/>
  <c r="S283" i="15"/>
  <c r="Q284" i="15"/>
  <c r="S284" i="15"/>
  <c r="Q285" i="15"/>
  <c r="S285" i="15"/>
  <c r="Q286" i="15"/>
  <c r="S286" i="15"/>
  <c r="Q287" i="15"/>
  <c r="S287" i="15"/>
  <c r="Q288" i="15"/>
  <c r="S288" i="15"/>
  <c r="Q289" i="15"/>
  <c r="S289" i="15"/>
  <c r="Q290" i="15"/>
  <c r="S290" i="15"/>
  <c r="Q291" i="15"/>
  <c r="S291" i="15"/>
  <c r="Q292" i="15"/>
  <c r="S292" i="15"/>
  <c r="Q293" i="15"/>
  <c r="S293" i="15"/>
  <c r="Q294" i="15"/>
  <c r="S294" i="15"/>
  <c r="Q295" i="15"/>
  <c r="S295" i="15"/>
  <c r="Q296" i="15"/>
  <c r="S296" i="15"/>
  <c r="Q297" i="15"/>
  <c r="S297" i="15"/>
  <c r="Q298" i="15"/>
  <c r="S298" i="15"/>
  <c r="Q299" i="15"/>
  <c r="S299" i="15"/>
  <c r="Q300" i="15"/>
  <c r="S300" i="15"/>
  <c r="Q301" i="15"/>
  <c r="S301" i="15"/>
  <c r="Q302" i="15"/>
  <c r="S302" i="15"/>
  <c r="Q303" i="15"/>
  <c r="S303" i="15"/>
  <c r="Q304" i="15"/>
  <c r="S304" i="15"/>
  <c r="Q305" i="15"/>
  <c r="S305" i="15"/>
  <c r="Q306" i="15"/>
  <c r="S306" i="15"/>
  <c r="Q307" i="15"/>
  <c r="S307" i="15"/>
  <c r="Q308" i="15"/>
  <c r="S308" i="15"/>
  <c r="Q309" i="15"/>
  <c r="S309" i="15"/>
  <c r="Q310" i="15"/>
  <c r="S310" i="15"/>
  <c r="Q311" i="15"/>
  <c r="S311" i="15"/>
  <c r="Q312" i="15"/>
  <c r="S312" i="15"/>
  <c r="Q313" i="15"/>
  <c r="S313" i="15"/>
  <c r="Q314" i="15"/>
  <c r="S314" i="15"/>
  <c r="Q315" i="15"/>
  <c r="S315" i="15"/>
  <c r="Q316" i="15"/>
  <c r="S316" i="15"/>
  <c r="Q317" i="15"/>
  <c r="S317" i="15"/>
  <c r="Q318" i="15"/>
  <c r="S318" i="15"/>
  <c r="Q319" i="15"/>
  <c r="S319" i="15"/>
  <c r="Q320" i="15"/>
  <c r="S320" i="15"/>
  <c r="Q321" i="15"/>
  <c r="S321" i="15"/>
  <c r="Q322" i="15"/>
  <c r="S322" i="15"/>
  <c r="Q323" i="15"/>
  <c r="S323" i="15"/>
  <c r="Q324" i="15"/>
  <c r="S324" i="15"/>
  <c r="Q325" i="15"/>
  <c r="S325" i="15"/>
  <c r="Q326" i="15"/>
  <c r="S326" i="15"/>
  <c r="Q327" i="15"/>
  <c r="S327" i="15"/>
  <c r="Q328" i="15"/>
  <c r="S328" i="15"/>
  <c r="Q329" i="15"/>
  <c r="S329" i="15"/>
  <c r="Q330" i="15"/>
  <c r="S330" i="15"/>
  <c r="Q331" i="15"/>
  <c r="S331" i="15"/>
  <c r="Q332" i="15"/>
  <c r="S332" i="15"/>
  <c r="Q333" i="15"/>
  <c r="S333" i="15"/>
  <c r="Q334" i="15"/>
  <c r="S334" i="15"/>
  <c r="Q335" i="15"/>
  <c r="S335" i="15"/>
  <c r="Q336" i="15"/>
  <c r="S336" i="15"/>
  <c r="Q337" i="15"/>
  <c r="S337" i="15"/>
  <c r="Q338" i="15"/>
  <c r="S338" i="15"/>
  <c r="Q339" i="15"/>
  <c r="S339" i="15"/>
  <c r="Q340" i="15"/>
  <c r="S340" i="15"/>
  <c r="Q341" i="15"/>
  <c r="S341" i="15"/>
  <c r="Q342" i="15"/>
  <c r="S342" i="15"/>
  <c r="Q353" i="15"/>
  <c r="S353" i="15"/>
  <c r="Q354" i="15"/>
  <c r="S354" i="15"/>
  <c r="Q355" i="15"/>
  <c r="S355" i="15"/>
  <c r="Q356" i="15"/>
  <c r="S356" i="15"/>
  <c r="Q357" i="15"/>
  <c r="S357" i="15"/>
  <c r="Q358" i="15"/>
  <c r="S358" i="15"/>
  <c r="Q359" i="15"/>
  <c r="S359" i="15"/>
  <c r="Q360" i="15"/>
  <c r="S360" i="15"/>
  <c r="Q361" i="15"/>
  <c r="S361" i="15"/>
  <c r="Q362" i="15"/>
  <c r="S362" i="15"/>
  <c r="Q363" i="15"/>
  <c r="S363" i="15"/>
  <c r="Q364" i="15"/>
  <c r="S364" i="15"/>
  <c r="Q365" i="15"/>
  <c r="S365" i="15"/>
  <c r="Q366" i="15"/>
  <c r="S366" i="15"/>
  <c r="S209" i="15"/>
  <c r="Q209" i="15"/>
  <c r="S203" i="15"/>
  <c r="Q203" i="15"/>
  <c r="S202" i="15"/>
  <c r="Q202" i="15"/>
  <c r="S201" i="15"/>
  <c r="Q201" i="15"/>
  <c r="S200" i="15"/>
  <c r="Q200" i="15"/>
  <c r="S199" i="15"/>
  <c r="Q199" i="15"/>
  <c r="S179" i="15"/>
  <c r="Q179" i="15"/>
  <c r="S170" i="15"/>
  <c r="Q170" i="15"/>
  <c r="S169" i="15"/>
  <c r="Q169" i="15"/>
  <c r="S168" i="15"/>
  <c r="Q168" i="15"/>
  <c r="S167" i="15"/>
  <c r="Q167" i="15"/>
  <c r="S166" i="15"/>
  <c r="Q166" i="15"/>
  <c r="S165" i="15"/>
  <c r="Q165" i="15"/>
  <c r="S162" i="15"/>
  <c r="Q162" i="15"/>
  <c r="S159" i="15"/>
  <c r="Q159" i="15"/>
  <c r="S156" i="15"/>
  <c r="Q156" i="15"/>
  <c r="S155" i="15"/>
  <c r="Q155" i="15"/>
  <c r="S149" i="15"/>
  <c r="S150" i="15"/>
  <c r="S151" i="15"/>
  <c r="S148" i="15"/>
  <c r="Q149" i="15"/>
  <c r="Q150" i="15"/>
  <c r="Q151" i="15"/>
  <c r="Q148" i="15"/>
  <c r="Q144" i="15"/>
  <c r="Q143" i="15"/>
  <c r="Q142" i="15"/>
  <c r="Q139" i="15"/>
  <c r="Q129" i="15"/>
  <c r="Q130" i="15"/>
  <c r="Q131" i="15"/>
  <c r="Q132" i="15"/>
  <c r="Q133" i="15"/>
  <c r="Q134" i="15"/>
  <c r="Q135" i="15"/>
  <c r="Q136" i="15"/>
  <c r="Q128" i="15"/>
  <c r="Q123" i="15"/>
  <c r="Q124" i="15"/>
  <c r="Q125" i="15"/>
  <c r="Q126" i="15"/>
  <c r="Q122" i="15"/>
  <c r="Q109" i="15"/>
  <c r="Q110" i="15"/>
  <c r="Q111" i="15"/>
  <c r="Q112" i="15"/>
  <c r="Q113" i="15"/>
  <c r="Q114" i="15"/>
  <c r="Q115" i="15"/>
  <c r="Q116" i="15"/>
  <c r="Q108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85" i="15"/>
  <c r="Q1167" i="1"/>
  <c r="Q1158" i="1"/>
  <c r="Q1159" i="1"/>
  <c r="Q1160" i="1"/>
  <c r="Q1157" i="1"/>
  <c r="Q1071" i="1"/>
  <c r="Q1072" i="1"/>
  <c r="Q1074" i="1"/>
  <c r="Q1075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9" i="1"/>
  <c r="Q107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50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19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808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747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2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683" i="1"/>
  <c r="Q679" i="1"/>
  <c r="Q67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4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568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51" i="1"/>
  <c r="Q549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491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54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359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26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196" i="1"/>
  <c r="Q197" i="1"/>
  <c r="Q198" i="1"/>
  <c r="Q199" i="1"/>
  <c r="Q200" i="1"/>
  <c r="Q201" i="1"/>
  <c r="Q202" i="1"/>
  <c r="Q203" i="1"/>
  <c r="Q192" i="1"/>
  <c r="Q191" i="1"/>
  <c r="Q190" i="1"/>
  <c r="Q1176" i="1"/>
  <c r="U127" i="1" l="1"/>
  <c r="Q406" i="15"/>
  <c r="S119" i="1"/>
  <c r="Q119" i="1"/>
  <c r="S120" i="1"/>
  <c r="Q120" i="1"/>
  <c r="S113" i="1"/>
  <c r="Q113" i="1"/>
  <c r="I112" i="1"/>
  <c r="S121" i="1"/>
  <c r="Q121" i="1"/>
  <c r="S125" i="1"/>
  <c r="Q125" i="1"/>
  <c r="S118" i="1"/>
  <c r="Q118" i="1"/>
  <c r="S114" i="1"/>
  <c r="Q114" i="1"/>
  <c r="S117" i="1"/>
  <c r="Q117" i="1"/>
  <c r="S115" i="1"/>
  <c r="S122" i="1"/>
  <c r="U122" i="1" s="1"/>
  <c r="G118" i="21"/>
  <c r="S124" i="1"/>
  <c r="U124" i="1" s="1"/>
  <c r="G115" i="21"/>
  <c r="S112" i="1"/>
  <c r="S111" i="1"/>
  <c r="U111" i="1" s="1"/>
  <c r="S110" i="1"/>
  <c r="U110" i="1" s="1"/>
  <c r="S109" i="1"/>
  <c r="U109" i="1" s="1"/>
  <c r="S108" i="1"/>
  <c r="U108" i="1" s="1"/>
  <c r="S107" i="1"/>
  <c r="U107" i="1" s="1"/>
  <c r="G116" i="21"/>
  <c r="G117" i="21"/>
  <c r="G122" i="21"/>
  <c r="G142" i="21"/>
  <c r="G107" i="21"/>
  <c r="V1221" i="1" s="1"/>
  <c r="Q550" i="1"/>
  <c r="S1165" i="1"/>
  <c r="Q85" i="1"/>
  <c r="P602" i="15"/>
  <c r="Q602" i="15" s="1"/>
  <c r="V1223" i="1" l="1"/>
  <c r="W954" i="15"/>
  <c r="U117" i="1"/>
  <c r="U114" i="1"/>
  <c r="U113" i="1"/>
  <c r="U120" i="1"/>
  <c r="U121" i="1"/>
  <c r="U125" i="1"/>
  <c r="U118" i="1"/>
  <c r="U119" i="1"/>
  <c r="U115" i="1"/>
  <c r="G126" i="21"/>
  <c r="V1222" i="1" s="1"/>
  <c r="T105" i="1"/>
  <c r="S105" i="1"/>
  <c r="T104" i="1"/>
  <c r="S104" i="1"/>
  <c r="B104" i="1"/>
  <c r="T101" i="1"/>
  <c r="S101" i="1"/>
  <c r="S548" i="1"/>
  <c r="H90" i="21"/>
  <c r="F90" i="21" s="1"/>
  <c r="G90" i="21" s="1"/>
  <c r="F92" i="21"/>
  <c r="G92" i="21" s="1"/>
  <c r="F91" i="21"/>
  <c r="G91" i="21" s="1"/>
  <c r="F78" i="21"/>
  <c r="G78" i="21" s="1"/>
  <c r="F79" i="21"/>
  <c r="G79" i="21" s="1"/>
  <c r="F80" i="21"/>
  <c r="G80" i="21" s="1"/>
  <c r="F81" i="21"/>
  <c r="G81" i="21" s="1"/>
  <c r="F82" i="21"/>
  <c r="G82" i="21" s="1"/>
  <c r="F83" i="21"/>
  <c r="G83" i="21" s="1"/>
  <c r="F84" i="21"/>
  <c r="G84" i="21" s="1"/>
  <c r="F85" i="21"/>
  <c r="G85" i="21" s="1"/>
  <c r="F77" i="21"/>
  <c r="G77" i="21" s="1"/>
  <c r="G93" i="21" l="1"/>
  <c r="V356" i="1" s="1"/>
  <c r="G86" i="21"/>
  <c r="V1220" i="1" s="1"/>
  <c r="F70" i="21"/>
  <c r="G70" i="21" s="1"/>
  <c r="F71" i="21"/>
  <c r="G71" i="21" s="1"/>
  <c r="R1180" i="1"/>
  <c r="F65" i="21"/>
  <c r="G65" i="21" s="1"/>
  <c r="F60" i="21"/>
  <c r="G60" i="21" s="1"/>
  <c r="F59" i="21"/>
  <c r="G59" i="21" s="1"/>
  <c r="F58" i="21"/>
  <c r="G58" i="21" s="1"/>
  <c r="H51" i="21"/>
  <c r="F51" i="21" s="1"/>
  <c r="G51" i="21" s="1"/>
  <c r="F53" i="21"/>
  <c r="G53" i="21" s="1"/>
  <c r="F52" i="21"/>
  <c r="G52" i="21" s="1"/>
  <c r="P32" i="1"/>
  <c r="Q32" i="1" s="1"/>
  <c r="S190" i="15"/>
  <c r="S191" i="15"/>
  <c r="S192" i="15"/>
  <c r="S193" i="15"/>
  <c r="S194" i="15"/>
  <c r="Q190" i="15"/>
  <c r="Q191" i="15"/>
  <c r="Q193" i="15"/>
  <c r="Q194" i="15"/>
  <c r="Q189" i="15"/>
  <c r="Q180" i="15"/>
  <c r="Q181" i="15"/>
  <c r="Q182" i="15"/>
  <c r="Q183" i="15"/>
  <c r="Q184" i="15"/>
  <c r="Q177" i="15"/>
  <c r="S180" i="15"/>
  <c r="S181" i="15"/>
  <c r="S182" i="15"/>
  <c r="S183" i="15"/>
  <c r="S184" i="15"/>
  <c r="S185" i="15"/>
  <c r="Q960" i="15"/>
  <c r="Q962" i="15"/>
  <c r="Q963" i="15"/>
  <c r="Q964" i="15"/>
  <c r="Q965" i="15"/>
  <c r="Q966" i="15"/>
  <c r="Q967" i="15"/>
  <c r="Q968" i="15"/>
  <c r="Q959" i="15"/>
  <c r="S107" i="15"/>
  <c r="U243" i="15"/>
  <c r="U262" i="15"/>
  <c r="U264" i="15"/>
  <c r="U271" i="15"/>
  <c r="U277" i="15"/>
  <c r="U278" i="15"/>
  <c r="U299" i="15"/>
  <c r="U304" i="15"/>
  <c r="U305" i="15"/>
  <c r="U339" i="15"/>
  <c r="U353" i="15"/>
  <c r="U354" i="15"/>
  <c r="U362" i="15"/>
  <c r="U430" i="15"/>
  <c r="U434" i="15"/>
  <c r="U442" i="15"/>
  <c r="U469" i="15"/>
  <c r="U500" i="15"/>
  <c r="U504" i="15"/>
  <c r="U507" i="15"/>
  <c r="U509" i="15"/>
  <c r="U517" i="15"/>
  <c r="U526" i="15"/>
  <c r="U529" i="15"/>
  <c r="U540" i="15"/>
  <c r="U547" i="15"/>
  <c r="U562" i="15"/>
  <c r="U564" i="15"/>
  <c r="U567" i="15"/>
  <c r="U594" i="15"/>
  <c r="U601" i="15"/>
  <c r="U606" i="15"/>
  <c r="U609" i="15"/>
  <c r="U617" i="15"/>
  <c r="U619" i="15"/>
  <c r="U621" i="15"/>
  <c r="U635" i="15"/>
  <c r="U653" i="15"/>
  <c r="U657" i="15"/>
  <c r="U667" i="15"/>
  <c r="U669" i="15"/>
  <c r="U679" i="15"/>
  <c r="U695" i="15"/>
  <c r="U707" i="15"/>
  <c r="U719" i="15"/>
  <c r="U732" i="15"/>
  <c r="U747" i="15"/>
  <c r="U760" i="15"/>
  <c r="U772" i="15"/>
  <c r="U787" i="15"/>
  <c r="U802" i="15"/>
  <c r="U817" i="15"/>
  <c r="U822" i="15"/>
  <c r="U828" i="15"/>
  <c r="U833" i="15"/>
  <c r="U848" i="15"/>
  <c r="U851" i="15"/>
  <c r="U985" i="15"/>
  <c r="U43" i="15"/>
  <c r="U54" i="15"/>
  <c r="Q69" i="15"/>
  <c r="Q70" i="15"/>
  <c r="Q71" i="15"/>
  <c r="Q72" i="15"/>
  <c r="Q73" i="15"/>
  <c r="Q74" i="15"/>
  <c r="Q75" i="15"/>
  <c r="Q76" i="15"/>
  <c r="Q78" i="15"/>
  <c r="Q80" i="15"/>
  <c r="Q67" i="15"/>
  <c r="S68" i="15"/>
  <c r="S70" i="15"/>
  <c r="S77" i="15"/>
  <c r="S78" i="15"/>
  <c r="S79" i="15"/>
  <c r="S80" i="15"/>
  <c r="L1036" i="15"/>
  <c r="O1036" i="15"/>
  <c r="U183" i="15" l="1"/>
  <c r="U180" i="15"/>
  <c r="O1015" i="15"/>
  <c r="G61" i="21"/>
  <c r="V1163" i="1" s="1"/>
  <c r="G73" i="21"/>
  <c r="V1182" i="1" s="1"/>
  <c r="U80" i="15"/>
  <c r="U78" i="15"/>
  <c r="G54" i="21"/>
  <c r="V1161" i="1" s="1"/>
  <c r="U184" i="15"/>
  <c r="U70" i="15"/>
  <c r="U194" i="15"/>
  <c r="U182" i="15"/>
  <c r="U181" i="15"/>
  <c r="U193" i="15"/>
  <c r="U179" i="15"/>
  <c r="G66" i="21"/>
  <c r="U190" i="15"/>
  <c r="U191" i="15"/>
  <c r="U357" i="1"/>
  <c r="U358" i="1"/>
  <c r="U653" i="1"/>
  <c r="U895" i="1"/>
  <c r="U910" i="1"/>
  <c r="U922" i="1"/>
  <c r="U934" i="1"/>
  <c r="U949" i="1"/>
  <c r="U954" i="1"/>
  <c r="U959" i="1"/>
  <c r="U964" i="1"/>
  <c r="U969" i="1"/>
  <c r="U978" i="1"/>
  <c r="U986" i="1"/>
  <c r="U1001" i="1"/>
  <c r="U1047" i="1"/>
  <c r="S32" i="1"/>
  <c r="Q1168" i="1"/>
  <c r="S1168" i="1"/>
  <c r="Q1169" i="1"/>
  <c r="S1169" i="1"/>
  <c r="Q1170" i="1"/>
  <c r="S1170" i="1"/>
  <c r="Q1171" i="1"/>
  <c r="S1171" i="1"/>
  <c r="Q1172" i="1"/>
  <c r="S1172" i="1"/>
  <c r="Q1173" i="1"/>
  <c r="S1173" i="1"/>
  <c r="Q1174" i="1"/>
  <c r="S1174" i="1"/>
  <c r="Q1175" i="1"/>
  <c r="S1175" i="1"/>
  <c r="S1176" i="1"/>
  <c r="Q1177" i="1"/>
  <c r="S1177" i="1"/>
  <c r="Q1178" i="1"/>
  <c r="S1178" i="1"/>
  <c r="Q1179" i="1"/>
  <c r="S1179" i="1"/>
  <c r="Q1180" i="1"/>
  <c r="S1180" i="1"/>
  <c r="Q1181" i="1"/>
  <c r="S1181" i="1"/>
  <c r="S1167" i="1"/>
  <c r="S1192" i="1"/>
  <c r="Q1192" i="1"/>
  <c r="S1193" i="1"/>
  <c r="Q1193" i="1"/>
  <c r="S1194" i="1"/>
  <c r="Q1194" i="1"/>
  <c r="S1196" i="1"/>
  <c r="Q1196" i="1"/>
  <c r="S1197" i="1"/>
  <c r="Q1197" i="1"/>
  <c r="S1198" i="1"/>
  <c r="Q1198" i="1"/>
  <c r="S1199" i="1"/>
  <c r="Q1199" i="1"/>
  <c r="S1200" i="1"/>
  <c r="Q1200" i="1"/>
  <c r="S1201" i="1"/>
  <c r="Q1201" i="1"/>
  <c r="S1202" i="1"/>
  <c r="Q1202" i="1"/>
  <c r="S1203" i="1"/>
  <c r="Q1203" i="1"/>
  <c r="S1225" i="1"/>
  <c r="Q1225" i="1"/>
  <c r="S1228" i="1"/>
  <c r="Q1228" i="1"/>
  <c r="S1229" i="1"/>
  <c r="Q1229" i="1"/>
  <c r="S1230" i="1"/>
  <c r="Q1230" i="1"/>
  <c r="S1231" i="1"/>
  <c r="Q1231" i="1"/>
  <c r="S1232" i="1"/>
  <c r="Q1232" i="1"/>
  <c r="S1233" i="1"/>
  <c r="Q1233" i="1"/>
  <c r="S1234" i="1"/>
  <c r="Q1234" i="1"/>
  <c r="S1235" i="1"/>
  <c r="Q1235" i="1"/>
  <c r="S1236" i="1"/>
  <c r="Q1236" i="1"/>
  <c r="S1237" i="1"/>
  <c r="Q1237" i="1"/>
  <c r="S1238" i="1"/>
  <c r="Q1238" i="1"/>
  <c r="S1242" i="1"/>
  <c r="Q1242" i="1"/>
  <c r="S1243" i="1"/>
  <c r="Q1243" i="1"/>
  <c r="S1244" i="1"/>
  <c r="Q1244" i="1"/>
  <c r="S1249" i="1"/>
  <c r="Q1249" i="1"/>
  <c r="S1248" i="1"/>
  <c r="Q1248" i="1"/>
  <c r="S1253" i="1"/>
  <c r="Q1253" i="1"/>
  <c r="S1255" i="1"/>
  <c r="Q1255" i="1"/>
  <c r="S1256" i="1"/>
  <c r="Q1256" i="1"/>
  <c r="S1257" i="1"/>
  <c r="Q1257" i="1"/>
  <c r="S1259" i="1"/>
  <c r="Q1259" i="1"/>
  <c r="S1260" i="1"/>
  <c r="Q1260" i="1"/>
  <c r="S1261" i="1"/>
  <c r="Q1261" i="1"/>
  <c r="S1262" i="1"/>
  <c r="Q1262" i="1"/>
  <c r="S1263" i="1"/>
  <c r="Q1263" i="1"/>
  <c r="S1264" i="1"/>
  <c r="Q1264" i="1"/>
  <c r="S1265" i="1"/>
  <c r="Q1265" i="1"/>
  <c r="S1266" i="1"/>
  <c r="Q1266" i="1"/>
  <c r="S1267" i="1"/>
  <c r="Q1267" i="1"/>
  <c r="S1268" i="1"/>
  <c r="Q1268" i="1"/>
  <c r="S1275" i="1"/>
  <c r="Q1275" i="1"/>
  <c r="S1274" i="1"/>
  <c r="Q1274" i="1"/>
  <c r="S291" i="1"/>
  <c r="Q291" i="1"/>
  <c r="S285" i="1"/>
  <c r="Q285" i="1"/>
  <c r="S284" i="1"/>
  <c r="Q284" i="1"/>
  <c r="S283" i="1"/>
  <c r="Q283" i="1"/>
  <c r="S282" i="1"/>
  <c r="Q282" i="1"/>
  <c r="S281" i="1"/>
  <c r="Q281" i="1"/>
  <c r="S276" i="1"/>
  <c r="Q276" i="1"/>
  <c r="S274" i="1"/>
  <c r="Q274" i="1"/>
  <c r="S273" i="1"/>
  <c r="Q273" i="1"/>
  <c r="S272" i="1"/>
  <c r="Q272" i="1"/>
  <c r="S267" i="1"/>
  <c r="Q267" i="1"/>
  <c r="S266" i="1"/>
  <c r="Q266" i="1"/>
  <c r="S265" i="1"/>
  <c r="Q265" i="1"/>
  <c r="S264" i="1"/>
  <c r="Q264" i="1"/>
  <c r="S263" i="1"/>
  <c r="Q263" i="1"/>
  <c r="S261" i="1"/>
  <c r="Q261" i="1"/>
  <c r="S260" i="1"/>
  <c r="Q260" i="1"/>
  <c r="S259" i="1"/>
  <c r="Q259" i="1"/>
  <c r="S258" i="1"/>
  <c r="Q258" i="1"/>
  <c r="S256" i="1"/>
  <c r="Q256" i="1"/>
  <c r="S251" i="1"/>
  <c r="Q251" i="1"/>
  <c r="S248" i="1"/>
  <c r="Q248" i="1"/>
  <c r="S247" i="1"/>
  <c r="Q247" i="1"/>
  <c r="S246" i="1"/>
  <c r="Q246" i="1"/>
  <c r="S245" i="1"/>
  <c r="Q245" i="1"/>
  <c r="S244" i="1"/>
  <c r="Q244" i="1"/>
  <c r="S243" i="1"/>
  <c r="Q243" i="1"/>
  <c r="S240" i="1"/>
  <c r="Q240" i="1"/>
  <c r="S237" i="1"/>
  <c r="Q237" i="1"/>
  <c r="S236" i="1"/>
  <c r="Q236" i="1"/>
  <c r="S235" i="1"/>
  <c r="Q235" i="1"/>
  <c r="S234" i="1"/>
  <c r="Q234" i="1"/>
  <c r="S233" i="1"/>
  <c r="Q233" i="1"/>
  <c r="S230" i="1"/>
  <c r="Q230" i="1"/>
  <c r="S225" i="1"/>
  <c r="Q225" i="1"/>
  <c r="S224" i="1"/>
  <c r="Q224" i="1"/>
  <c r="S222" i="1"/>
  <c r="Q222" i="1"/>
  <c r="S221" i="1"/>
  <c r="Q221" i="1"/>
  <c r="S220" i="1"/>
  <c r="Q220" i="1"/>
  <c r="S219" i="1"/>
  <c r="Q219" i="1"/>
  <c r="S218" i="1"/>
  <c r="Q218" i="1"/>
  <c r="S214" i="1"/>
  <c r="Q214" i="1"/>
  <c r="S213" i="1"/>
  <c r="Q213" i="1"/>
  <c r="S210" i="1"/>
  <c r="Q210" i="1"/>
  <c r="S208" i="1"/>
  <c r="Q208" i="1"/>
  <c r="S207" i="1"/>
  <c r="Q207" i="1"/>
  <c r="S204" i="1"/>
  <c r="Q204" i="1"/>
  <c r="S203" i="1"/>
  <c r="U203" i="1" s="1"/>
  <c r="S202" i="1"/>
  <c r="S201" i="1"/>
  <c r="S200" i="1"/>
  <c r="S199" i="1"/>
  <c r="S198" i="1"/>
  <c r="S195" i="1"/>
  <c r="Q195" i="1"/>
  <c r="S193" i="1"/>
  <c r="Q193" i="1"/>
  <c r="S189" i="1"/>
  <c r="Q189" i="1"/>
  <c r="Q154" i="1"/>
  <c r="S154" i="1"/>
  <c r="Q155" i="1"/>
  <c r="S155" i="1"/>
  <c r="Q156" i="1"/>
  <c r="S156" i="1"/>
  <c r="Q157" i="1"/>
  <c r="S157" i="1"/>
  <c r="Q158" i="1"/>
  <c r="S158" i="1"/>
  <c r="Q159" i="1"/>
  <c r="S159" i="1"/>
  <c r="Q160" i="1"/>
  <c r="S160" i="1"/>
  <c r="Q161" i="1"/>
  <c r="S161" i="1"/>
  <c r="Q162" i="1"/>
  <c r="S162" i="1"/>
  <c r="Q164" i="1"/>
  <c r="S164" i="1"/>
  <c r="Q165" i="1"/>
  <c r="S165" i="1"/>
  <c r="Q166" i="1"/>
  <c r="S166" i="1"/>
  <c r="Q167" i="1"/>
  <c r="S167" i="1"/>
  <c r="Q168" i="1"/>
  <c r="S168" i="1"/>
  <c r="Q169" i="1"/>
  <c r="S169" i="1"/>
  <c r="Q170" i="1"/>
  <c r="S170" i="1"/>
  <c r="Q171" i="1"/>
  <c r="S171" i="1"/>
  <c r="Q172" i="1"/>
  <c r="S172" i="1"/>
  <c r="Q173" i="1"/>
  <c r="S173" i="1"/>
  <c r="Q175" i="1"/>
  <c r="U175" i="1" s="1"/>
  <c r="Q176" i="1"/>
  <c r="S176" i="1"/>
  <c r="Q177" i="1"/>
  <c r="S177" i="1"/>
  <c r="Q178" i="1"/>
  <c r="S178" i="1"/>
  <c r="Q179" i="1"/>
  <c r="S179" i="1"/>
  <c r="Q180" i="1"/>
  <c r="S180" i="1"/>
  <c r="Q181" i="1"/>
  <c r="S181" i="1"/>
  <c r="Q182" i="1"/>
  <c r="S182" i="1"/>
  <c r="Q183" i="1"/>
  <c r="S183" i="1"/>
  <c r="Q184" i="1"/>
  <c r="S184" i="1"/>
  <c r="S153" i="1"/>
  <c r="Q153" i="1"/>
  <c r="S148" i="1"/>
  <c r="Q148" i="1"/>
  <c r="S147" i="1"/>
  <c r="Q147" i="1"/>
  <c r="Q69" i="1"/>
  <c r="S69" i="1"/>
  <c r="Q70" i="1"/>
  <c r="S70" i="1"/>
  <c r="Q71" i="1"/>
  <c r="S71" i="1"/>
  <c r="Q72" i="1"/>
  <c r="S72" i="1"/>
  <c r="Q73" i="1"/>
  <c r="S73" i="1"/>
  <c r="Q74" i="1"/>
  <c r="S74" i="1"/>
  <c r="Q75" i="1"/>
  <c r="S75" i="1"/>
  <c r="Q77" i="1"/>
  <c r="S77" i="1"/>
  <c r="Q78" i="1"/>
  <c r="S78" i="1"/>
  <c r="Q79" i="1"/>
  <c r="S79" i="1"/>
  <c r="Q80" i="1"/>
  <c r="S80" i="1"/>
  <c r="Q81" i="1"/>
  <c r="S81" i="1"/>
  <c r="Q82" i="1"/>
  <c r="S82" i="1"/>
  <c r="Q83" i="1"/>
  <c r="S83" i="1"/>
  <c r="Q84" i="1"/>
  <c r="S84" i="1"/>
  <c r="S85" i="1"/>
  <c r="Q86" i="1"/>
  <c r="S86" i="1"/>
  <c r="Q87" i="1"/>
  <c r="S87" i="1"/>
  <c r="Q88" i="1"/>
  <c r="S88" i="1"/>
  <c r="Q91" i="1"/>
  <c r="Q98" i="1"/>
  <c r="S68" i="1"/>
  <c r="Q68" i="1"/>
  <c r="S64" i="1"/>
  <c r="Q64" i="1"/>
  <c r="S59" i="1"/>
  <c r="Q59" i="1"/>
  <c r="S57" i="1"/>
  <c r="Q57" i="1"/>
  <c r="S55" i="1"/>
  <c r="Q55" i="1"/>
  <c r="S51" i="1"/>
  <c r="Q51" i="1"/>
  <c r="S45" i="1"/>
  <c r="Q45" i="1"/>
  <c r="S44" i="1"/>
  <c r="Q44" i="1"/>
  <c r="S43" i="1"/>
  <c r="Q43" i="1"/>
  <c r="S42" i="1"/>
  <c r="Q42" i="1"/>
  <c r="S41" i="1"/>
  <c r="Q41" i="1"/>
  <c r="S40" i="1"/>
  <c r="Q40" i="1"/>
  <c r="S38" i="1"/>
  <c r="Q38" i="1"/>
  <c r="S37" i="1"/>
  <c r="Q37" i="1"/>
  <c r="S31" i="1"/>
  <c r="Q31" i="1"/>
  <c r="S30" i="1"/>
  <c r="S29" i="1"/>
  <c r="Q29" i="1"/>
  <c r="S28" i="1"/>
  <c r="Q28" i="1"/>
  <c r="S27" i="1"/>
  <c r="Q27" i="1"/>
  <c r="S26" i="1"/>
  <c r="Q26" i="1"/>
  <c r="S25" i="1"/>
  <c r="Q25" i="1"/>
  <c r="S24" i="1"/>
  <c r="Q24" i="1"/>
  <c r="S16" i="1"/>
  <c r="G228" i="1" s="1"/>
  <c r="H228" i="1" s="1"/>
  <c r="Q228" i="1" s="1"/>
  <c r="U228" i="1" s="1"/>
  <c r="Q346" i="15" l="1"/>
  <c r="U346" i="15" s="1"/>
  <c r="Q430" i="1"/>
  <c r="U430" i="1" s="1"/>
  <c r="Q426" i="1"/>
  <c r="U426" i="1" s="1"/>
  <c r="Q431" i="1"/>
  <c r="U431" i="1" s="1"/>
  <c r="Q350" i="15"/>
  <c r="U350" i="15" s="1"/>
  <c r="Q425" i="1"/>
  <c r="U425" i="1" s="1"/>
  <c r="Q351" i="15"/>
  <c r="U351" i="15" s="1"/>
  <c r="G435" i="1"/>
  <c r="H435" i="1" s="1"/>
  <c r="Q435" i="1" s="1"/>
  <c r="U435" i="1" s="1"/>
  <c r="Q345" i="15"/>
  <c r="U345" i="15" s="1"/>
  <c r="G1205" i="1"/>
  <c r="H1205" i="1" s="1"/>
  <c r="Q1205" i="1" s="1"/>
  <c r="U1205" i="1" s="1"/>
  <c r="G1204" i="1"/>
  <c r="H1204" i="1" s="1"/>
  <c r="Q1204" i="1" s="1"/>
  <c r="U1204" i="1" s="1"/>
  <c r="G153" i="15"/>
  <c r="H153" i="15" s="1"/>
  <c r="Q153" i="15" s="1"/>
  <c r="U153" i="15" s="1"/>
  <c r="G1076" i="1"/>
  <c r="H1076" i="1" s="1"/>
  <c r="Q1076" i="1" s="1"/>
  <c r="U1076" i="1" s="1"/>
  <c r="G227" i="1"/>
  <c r="H227" i="1" s="1"/>
  <c r="G1184" i="1"/>
  <c r="H1184" i="1" s="1"/>
  <c r="Q1184" i="1" s="1"/>
  <c r="U1184" i="1" s="1"/>
  <c r="G1185" i="1"/>
  <c r="H1185" i="1" s="1"/>
  <c r="Q1185" i="1" s="1"/>
  <c r="U1185" i="1" s="1"/>
  <c r="G1183" i="1"/>
  <c r="H1183" i="1" s="1"/>
  <c r="Q1183" i="1" s="1"/>
  <c r="U1183" i="1" s="1"/>
  <c r="G1186" i="1"/>
  <c r="H1186" i="1" s="1"/>
  <c r="Q1186" i="1" s="1"/>
  <c r="U1186" i="1" s="1"/>
  <c r="G1190" i="1"/>
  <c r="H1190" i="1" s="1"/>
  <c r="Q1190" i="1" s="1"/>
  <c r="U1190" i="1" s="1"/>
  <c r="G1189" i="1"/>
  <c r="H1189" i="1" s="1"/>
  <c r="Q1189" i="1" s="1"/>
  <c r="U1189" i="1" s="1"/>
  <c r="Q278" i="1"/>
  <c r="G1187" i="1"/>
  <c r="H1187" i="1" s="1"/>
  <c r="Q1187" i="1" s="1"/>
  <c r="U1187" i="1" s="1"/>
  <c r="G1188" i="1"/>
  <c r="H1188" i="1" s="1"/>
  <c r="Q1188" i="1" s="1"/>
  <c r="U1188" i="1" s="1"/>
  <c r="G1182" i="1"/>
  <c r="G116" i="1"/>
  <c r="H116" i="1" s="1"/>
  <c r="Q116" i="1" s="1"/>
  <c r="U116" i="1" s="1"/>
  <c r="G1219" i="1"/>
  <c r="G1213" i="1"/>
  <c r="G1215" i="1"/>
  <c r="G1216" i="1"/>
  <c r="G1211" i="1"/>
  <c r="G1218" i="1"/>
  <c r="G1214" i="1"/>
  <c r="G1217" i="1"/>
  <c r="G1212" i="1"/>
  <c r="G1137" i="1"/>
  <c r="H1137" i="1" s="1"/>
  <c r="Q1137" i="1" s="1"/>
  <c r="Q1146" i="1"/>
  <c r="U1146" i="1" s="1"/>
  <c r="Q112" i="1"/>
  <c r="U112" i="1" s="1"/>
  <c r="U204" i="1"/>
  <c r="U218" i="1"/>
  <c r="S66" i="1"/>
  <c r="U225" i="1"/>
  <c r="U237" i="1"/>
  <c r="U213" i="1"/>
  <c r="U235" i="1"/>
  <c r="U245" i="1"/>
  <c r="U258" i="1"/>
  <c r="U265" i="1"/>
  <c r="U276" i="1"/>
  <c r="U1265" i="1"/>
  <c r="U1259" i="1"/>
  <c r="U1249" i="1"/>
  <c r="U1236" i="1"/>
  <c r="U1230" i="1"/>
  <c r="U1194" i="1"/>
  <c r="U170" i="1"/>
  <c r="U195" i="1"/>
  <c r="U40" i="1"/>
  <c r="U88" i="1"/>
  <c r="U247" i="1"/>
  <c r="U260" i="1"/>
  <c r="U267" i="1"/>
  <c r="G1223" i="1"/>
  <c r="G1222" i="1"/>
  <c r="G356" i="1"/>
  <c r="H356" i="1" s="1"/>
  <c r="Q356" i="1" s="1"/>
  <c r="G1220" i="1"/>
  <c r="H1220" i="1" s="1"/>
  <c r="G1221" i="1"/>
  <c r="U83" i="1"/>
  <c r="U81" i="1"/>
  <c r="U77" i="1"/>
  <c r="U71" i="1"/>
  <c r="U69" i="1"/>
  <c r="U184" i="1"/>
  <c r="U182" i="1"/>
  <c r="U176" i="1"/>
  <c r="U224" i="1"/>
  <c r="U236" i="1"/>
  <c r="U246" i="1"/>
  <c r="U259" i="1"/>
  <c r="U266" i="1"/>
  <c r="U281" i="1"/>
  <c r="U1264" i="1"/>
  <c r="U1244" i="1"/>
  <c r="U1173" i="1"/>
  <c r="U70" i="1"/>
  <c r="U183" i="1"/>
  <c r="U193" i="1"/>
  <c r="U1178" i="1"/>
  <c r="U214" i="1"/>
  <c r="U1274" i="1"/>
  <c r="U1257" i="1"/>
  <c r="U1235" i="1"/>
  <c r="U1229" i="1"/>
  <c r="U1193" i="1"/>
  <c r="U1275" i="1"/>
  <c r="U1256" i="1"/>
  <c r="U1234" i="1"/>
  <c r="U1199" i="1"/>
  <c r="U1200" i="1"/>
  <c r="U172" i="1"/>
  <c r="U189" i="1"/>
  <c r="U201" i="1"/>
  <c r="U210" i="1"/>
  <c r="U221" i="1"/>
  <c r="U234" i="1"/>
  <c r="U244" i="1"/>
  <c r="U256" i="1"/>
  <c r="U264" i="1"/>
  <c r="U274" i="1"/>
  <c r="U285" i="1"/>
  <c r="U1266" i="1"/>
  <c r="U1260" i="1"/>
  <c r="U1248" i="1"/>
  <c r="U1237" i="1"/>
  <c r="U1231" i="1"/>
  <c r="U1202" i="1"/>
  <c r="U1196" i="1"/>
  <c r="U1168" i="1"/>
  <c r="U1201" i="1"/>
  <c r="U161" i="1"/>
  <c r="U199" i="1"/>
  <c r="U207" i="1"/>
  <c r="U219" i="1"/>
  <c r="U230" i="1"/>
  <c r="U240" i="1"/>
  <c r="U248" i="1"/>
  <c r="U261" i="1"/>
  <c r="U272" i="1"/>
  <c r="U283" i="1"/>
  <c r="U1268" i="1"/>
  <c r="U1262" i="1"/>
  <c r="U1255" i="1"/>
  <c r="U1242" i="1"/>
  <c r="U1233" i="1"/>
  <c r="U1225" i="1"/>
  <c r="U1198" i="1"/>
  <c r="U1167" i="1"/>
  <c r="U1176" i="1"/>
  <c r="U1170" i="1"/>
  <c r="U42" i="1"/>
  <c r="U98" i="1"/>
  <c r="U86" i="1"/>
  <c r="U80" i="1"/>
  <c r="U74" i="1"/>
  <c r="U200" i="1"/>
  <c r="U208" i="1"/>
  <c r="U220" i="1"/>
  <c r="U243" i="1"/>
  <c r="U263" i="1"/>
  <c r="U284" i="1"/>
  <c r="U1267" i="1"/>
  <c r="U1261" i="1"/>
  <c r="U1253" i="1"/>
  <c r="U1238" i="1"/>
  <c r="U1203" i="1"/>
  <c r="U1192" i="1"/>
  <c r="G1163" i="1"/>
  <c r="U159" i="1"/>
  <c r="U164" i="1"/>
  <c r="U82" i="1"/>
  <c r="U177" i="1"/>
  <c r="U181" i="1"/>
  <c r="U180" i="1"/>
  <c r="U85" i="1"/>
  <c r="U51" i="1"/>
  <c r="U1174" i="1"/>
  <c r="U167" i="1"/>
  <c r="U1175" i="1"/>
  <c r="U162" i="1"/>
  <c r="U198" i="1"/>
  <c r="U1171" i="1"/>
  <c r="U154" i="1"/>
  <c r="U73" i="1"/>
  <c r="G1208" i="1"/>
  <c r="G1206" i="1"/>
  <c r="G1210" i="1"/>
  <c r="G1209" i="1"/>
  <c r="U168" i="1"/>
  <c r="U155" i="1"/>
  <c r="U24" i="1"/>
  <c r="U84" i="1"/>
  <c r="U78" i="1"/>
  <c r="U72" i="1"/>
  <c r="U153" i="1"/>
  <c r="U179" i="1"/>
  <c r="U1181" i="1"/>
  <c r="U91" i="1"/>
  <c r="U38" i="1"/>
  <c r="U68" i="1"/>
  <c r="U171" i="1"/>
  <c r="U158" i="1"/>
  <c r="U1179" i="1"/>
  <c r="G1161" i="1"/>
  <c r="V1162" i="1"/>
  <c r="G1162" i="1" s="1"/>
  <c r="U25" i="1"/>
  <c r="U222" i="1"/>
  <c r="U166" i="1"/>
  <c r="U157" i="1"/>
  <c r="U43" i="1"/>
  <c r="U202" i="1"/>
  <c r="U233" i="1"/>
  <c r="U251" i="1"/>
  <c r="U273" i="1"/>
  <c r="U282" i="1"/>
  <c r="U291" i="1"/>
  <c r="U1263" i="1"/>
  <c r="U1243" i="1"/>
  <c r="U1232" i="1"/>
  <c r="U1228" i="1"/>
  <c r="U1197" i="1"/>
  <c r="U37" i="1"/>
  <c r="U64" i="1"/>
  <c r="U1180" i="1"/>
  <c r="U1172" i="1"/>
  <c r="U27" i="1"/>
  <c r="U31" i="1"/>
  <c r="U41" i="1"/>
  <c r="U45" i="1"/>
  <c r="U59" i="1"/>
  <c r="U87" i="1"/>
  <c r="U79" i="1"/>
  <c r="U75" i="1"/>
  <c r="U148" i="1"/>
  <c r="U178" i="1"/>
  <c r="U55" i="1"/>
  <c r="U173" i="1"/>
  <c r="U169" i="1"/>
  <c r="U165" i="1"/>
  <c r="U160" i="1"/>
  <c r="U156" i="1"/>
  <c r="U1177" i="1"/>
  <c r="U1169" i="1"/>
  <c r="G970" i="15"/>
  <c r="G195" i="15"/>
  <c r="G18" i="15"/>
  <c r="G19" i="15"/>
  <c r="G1003" i="15"/>
  <c r="G969" i="15"/>
  <c r="G152" i="15"/>
  <c r="G1004" i="15"/>
  <c r="G33" i="1"/>
  <c r="G47" i="1"/>
  <c r="G49" i="1"/>
  <c r="G226" i="1"/>
  <c r="G1245" i="1"/>
  <c r="U30" i="1"/>
  <c r="U44" i="1"/>
  <c r="U57" i="1"/>
  <c r="U147" i="1"/>
  <c r="U26" i="1"/>
  <c r="U29" i="1"/>
  <c r="U28" i="1"/>
  <c r="Q223" i="1"/>
  <c r="Q255" i="1"/>
  <c r="Q254" i="1"/>
  <c r="S257" i="1"/>
  <c r="S262" i="1"/>
  <c r="Q271" i="1"/>
  <c r="O150" i="1"/>
  <c r="L1241" i="1"/>
  <c r="L53" i="1"/>
  <c r="O22" i="1"/>
  <c r="L66" i="1"/>
  <c r="L135" i="1"/>
  <c r="O1154" i="1"/>
  <c r="O1227" i="1"/>
  <c r="O1241" i="1"/>
  <c r="O1247" i="1"/>
  <c r="O1251" i="1"/>
  <c r="O1273" i="1"/>
  <c r="O280" i="1"/>
  <c r="O270" i="1"/>
  <c r="O253" i="1"/>
  <c r="O250" i="1"/>
  <c r="O242" i="1"/>
  <c r="O239" i="1"/>
  <c r="O232" i="1"/>
  <c r="O216" i="1"/>
  <c r="O212" i="1"/>
  <c r="O135" i="1"/>
  <c r="S139" i="1"/>
  <c r="S140" i="1"/>
  <c r="S144" i="1"/>
  <c r="S145" i="1"/>
  <c r="S146" i="1"/>
  <c r="Q137" i="1"/>
  <c r="Q138" i="1"/>
  <c r="Q141" i="1"/>
  <c r="Q142" i="1"/>
  <c r="Q143" i="1"/>
  <c r="Q136" i="1"/>
  <c r="Q227" i="1" l="1"/>
  <c r="S227" i="1"/>
  <c r="G921" i="15"/>
  <c r="H1182" i="1"/>
  <c r="Q1182" i="1" s="1"/>
  <c r="U1182" i="1" s="1"/>
  <c r="H1211" i="1"/>
  <c r="G942" i="15"/>
  <c r="H1216" i="1"/>
  <c r="G946" i="15"/>
  <c r="H1213" i="1"/>
  <c r="H1219" i="1"/>
  <c r="G949" i="15"/>
  <c r="H1215" i="1"/>
  <c r="G945" i="15"/>
  <c r="H1218" i="1"/>
  <c r="G948" i="15"/>
  <c r="H1212" i="1"/>
  <c r="G943" i="15"/>
  <c r="H1217" i="1"/>
  <c r="G947" i="15"/>
  <c r="H1214" i="1"/>
  <c r="G944" i="15"/>
  <c r="U1137" i="1"/>
  <c r="I1137" i="1"/>
  <c r="H1209" i="1"/>
  <c r="G940" i="15"/>
  <c r="H1162" i="1"/>
  <c r="Q1162" i="1" s="1"/>
  <c r="U1162" i="1" s="1"/>
  <c r="G895" i="15"/>
  <c r="H895" i="15" s="1"/>
  <c r="Q895" i="15" s="1"/>
  <c r="U895" i="15" s="1"/>
  <c r="H1210" i="1"/>
  <c r="G941" i="15"/>
  <c r="H1161" i="1"/>
  <c r="Q1161" i="1" s="1"/>
  <c r="U1161" i="1" s="1"/>
  <c r="G894" i="15"/>
  <c r="H894" i="15" s="1"/>
  <c r="Q894" i="15" s="1"/>
  <c r="U894" i="15" s="1"/>
  <c r="H1206" i="1"/>
  <c r="Q1206" i="1" s="1"/>
  <c r="U1206" i="1" s="1"/>
  <c r="H1208" i="1"/>
  <c r="H1163" i="1"/>
  <c r="Q1163" i="1" s="1"/>
  <c r="U1163" i="1" s="1"/>
  <c r="G896" i="15"/>
  <c r="H896" i="15" s="1"/>
  <c r="Q896" i="15" s="1"/>
  <c r="U896" i="15" s="1"/>
  <c r="H1223" i="1"/>
  <c r="G954" i="15"/>
  <c r="H954" i="15" s="1"/>
  <c r="Q954" i="15" s="1"/>
  <c r="U954" i="15" s="1"/>
  <c r="H1222" i="1"/>
  <c r="G953" i="15"/>
  <c r="H953" i="15" s="1"/>
  <c r="Q1220" i="1"/>
  <c r="U1220" i="1" s="1"/>
  <c r="Q951" i="15"/>
  <c r="U951" i="15" s="1"/>
  <c r="H1221" i="1"/>
  <c r="G952" i="15"/>
  <c r="H952" i="15" s="1"/>
  <c r="O1288" i="1"/>
  <c r="L1288" i="1"/>
  <c r="P19" i="15"/>
  <c r="T19" i="15" s="1"/>
  <c r="P18" i="15"/>
  <c r="T18" i="15" s="1"/>
  <c r="P48" i="1"/>
  <c r="T48" i="1" s="1"/>
  <c r="H19" i="15"/>
  <c r="H18" i="15"/>
  <c r="F46" i="21"/>
  <c r="G46" i="21" s="1"/>
  <c r="F45" i="21"/>
  <c r="G45" i="21" s="1"/>
  <c r="F44" i="21"/>
  <c r="G44" i="21" s="1"/>
  <c r="H49" i="1"/>
  <c r="U227" i="1" l="1"/>
  <c r="H921" i="15"/>
  <c r="Q921" i="15" s="1"/>
  <c r="U921" i="15" s="1"/>
  <c r="Q1218" i="1"/>
  <c r="U1218" i="1" s="1"/>
  <c r="H948" i="15"/>
  <c r="Q948" i="15" s="1"/>
  <c r="U948" i="15" s="1"/>
  <c r="Q1215" i="1"/>
  <c r="U1215" i="1" s="1"/>
  <c r="H945" i="15"/>
  <c r="Q945" i="15" s="1"/>
  <c r="U945" i="15" s="1"/>
  <c r="Q1214" i="1"/>
  <c r="U1214" i="1" s="1"/>
  <c r="H944" i="15"/>
  <c r="Q944" i="15" s="1"/>
  <c r="U944" i="15" s="1"/>
  <c r="Q1213" i="1"/>
  <c r="U1213" i="1" s="1"/>
  <c r="Q1217" i="1"/>
  <c r="U1217" i="1" s="1"/>
  <c r="H947" i="15"/>
  <c r="Q947" i="15" s="1"/>
  <c r="U947" i="15" s="1"/>
  <c r="Q1216" i="1"/>
  <c r="U1216" i="1" s="1"/>
  <c r="H946" i="15"/>
  <c r="Q946" i="15" s="1"/>
  <c r="U946" i="15" s="1"/>
  <c r="Q1219" i="1"/>
  <c r="U1219" i="1" s="1"/>
  <c r="H949" i="15"/>
  <c r="Q949" i="15" s="1"/>
  <c r="U949" i="15" s="1"/>
  <c r="Q1212" i="1"/>
  <c r="U1212" i="1" s="1"/>
  <c r="H943" i="15"/>
  <c r="Q943" i="15" s="1"/>
  <c r="U943" i="15" s="1"/>
  <c r="Q1211" i="1"/>
  <c r="U1211" i="1" s="1"/>
  <c r="H942" i="15"/>
  <c r="Q942" i="15" s="1"/>
  <c r="U942" i="15" s="1"/>
  <c r="Q1209" i="1"/>
  <c r="U1209" i="1" s="1"/>
  <c r="H940" i="15"/>
  <c r="Q940" i="15" s="1"/>
  <c r="U940" i="15" s="1"/>
  <c r="Q1210" i="1"/>
  <c r="U1210" i="1" s="1"/>
  <c r="H941" i="15"/>
  <c r="Q941" i="15" s="1"/>
  <c r="U941" i="15" s="1"/>
  <c r="Q1208" i="1"/>
  <c r="U1208" i="1" s="1"/>
  <c r="Q1223" i="1"/>
  <c r="U1223" i="1" s="1"/>
  <c r="Q1221" i="1"/>
  <c r="U1221" i="1" s="1"/>
  <c r="Q952" i="15"/>
  <c r="U952" i="15" s="1"/>
  <c r="Q1222" i="1"/>
  <c r="U1222" i="1" s="1"/>
  <c r="Q953" i="15"/>
  <c r="U953" i="15" s="1"/>
  <c r="Q18" i="15"/>
  <c r="U18" i="15" s="1"/>
  <c r="O1279" i="1"/>
  <c r="O1020" i="15" s="1"/>
  <c r="O1026" i="15" s="1"/>
  <c r="Q49" i="1"/>
  <c r="U49" i="1" s="1"/>
  <c r="Q19" i="15"/>
  <c r="U19" i="15" s="1"/>
  <c r="T49" i="1"/>
  <c r="G47" i="21"/>
  <c r="R107" i="15"/>
  <c r="P119" i="15"/>
  <c r="T119" i="15" s="1"/>
  <c r="P187" i="1"/>
  <c r="F39" i="21"/>
  <c r="G39" i="21" s="1"/>
  <c r="F38" i="21"/>
  <c r="G38" i="21" s="1"/>
  <c r="F37" i="21"/>
  <c r="G37" i="21" s="1"/>
  <c r="F32" i="21"/>
  <c r="G32" i="21" s="1"/>
  <c r="F31" i="21"/>
  <c r="G31" i="21" s="1"/>
  <c r="F30" i="21"/>
  <c r="G30" i="21" s="1"/>
  <c r="F23" i="21"/>
  <c r="G23" i="21" s="1"/>
  <c r="F25" i="21"/>
  <c r="G25" i="21" s="1"/>
  <c r="F24" i="21"/>
  <c r="G24" i="21" s="1"/>
  <c r="F22" i="21"/>
  <c r="G22" i="21" s="1"/>
  <c r="F21" i="21"/>
  <c r="G21" i="21" s="1"/>
  <c r="R271" i="1"/>
  <c r="S271" i="1" s="1"/>
  <c r="U271" i="1" s="1"/>
  <c r="P68" i="15"/>
  <c r="Q68" i="15" s="1"/>
  <c r="U68" i="15" s="1"/>
  <c r="R137" i="1"/>
  <c r="S137" i="1" s="1"/>
  <c r="U137" i="1" s="1"/>
  <c r="R189" i="15"/>
  <c r="S189" i="15" s="1"/>
  <c r="T980" i="15"/>
  <c r="P140" i="1"/>
  <c r="Q140" i="1" s="1"/>
  <c r="U140" i="1" s="1"/>
  <c r="U189" i="15" l="1"/>
  <c r="S188" i="15"/>
  <c r="V48" i="1"/>
  <c r="G48" i="1" s="1"/>
  <c r="H48" i="1" s="1"/>
  <c r="Q48" i="1" s="1"/>
  <c r="U48" i="1" s="1"/>
  <c r="G26" i="21"/>
  <c r="U17" i="15"/>
  <c r="Q17" i="15"/>
  <c r="G40" i="21"/>
  <c r="G33" i="21"/>
  <c r="Q275" i="1"/>
  <c r="P192" i="15"/>
  <c r="Q192" i="15" s="1"/>
  <c r="U192" i="15" s="1"/>
  <c r="S72" i="15"/>
  <c r="U72" i="15" s="1"/>
  <c r="S71" i="15"/>
  <c r="U71" i="15" s="1"/>
  <c r="V185" i="1" l="1"/>
  <c r="W117" i="15"/>
  <c r="V187" i="1"/>
  <c r="W119" i="15"/>
  <c r="V186" i="1"/>
  <c r="W118" i="15"/>
  <c r="S141" i="1"/>
  <c r="U141" i="1" s="1"/>
  <c r="V213" i="1"/>
  <c r="V218" i="1"/>
  <c r="P146" i="1"/>
  <c r="Q146" i="1" s="1"/>
  <c r="U146" i="1" s="1"/>
  <c r="S143" i="1"/>
  <c r="U143" i="1" s="1"/>
  <c r="S142" i="1"/>
  <c r="U142" i="1" s="1"/>
  <c r="P145" i="1"/>
  <c r="Q145" i="1" s="1"/>
  <c r="U145" i="1" s="1"/>
  <c r="P144" i="1"/>
  <c r="Q144" i="1" s="1"/>
  <c r="U144" i="1" s="1"/>
  <c r="G185" i="1" l="1"/>
  <c r="H185" i="1" s="1"/>
  <c r="Q185" i="1" s="1"/>
  <c r="U185" i="1" s="1"/>
  <c r="G187" i="1"/>
  <c r="H187" i="1" s="1"/>
  <c r="Q187" i="1" s="1"/>
  <c r="U187" i="1" s="1"/>
  <c r="G186" i="1"/>
  <c r="H186" i="1" s="1"/>
  <c r="Q186" i="1" s="1"/>
  <c r="U186" i="1" s="1"/>
  <c r="G117" i="15"/>
  <c r="H117" i="15" s="1"/>
  <c r="Q117" i="15" s="1"/>
  <c r="U117" i="15" s="1"/>
  <c r="G119" i="15"/>
  <c r="H119" i="15" s="1"/>
  <c r="Q119" i="15" s="1"/>
  <c r="U119" i="15" s="1"/>
  <c r="G118" i="15"/>
  <c r="H118" i="15" s="1"/>
  <c r="Q118" i="15" s="1"/>
  <c r="U118" i="15" s="1"/>
  <c r="T25" i="1"/>
  <c r="T27" i="1"/>
  <c r="T28" i="1"/>
  <c r="T29" i="1"/>
  <c r="T30" i="1"/>
  <c r="T31" i="1"/>
  <c r="T33" i="1"/>
  <c r="T37" i="1"/>
  <c r="T38" i="1"/>
  <c r="T40" i="1"/>
  <c r="T41" i="1"/>
  <c r="T42" i="1"/>
  <c r="T43" i="1"/>
  <c r="T44" i="1"/>
  <c r="T45" i="1"/>
  <c r="T47" i="1"/>
  <c r="T55" i="1"/>
  <c r="T57" i="1"/>
  <c r="T59" i="1"/>
  <c r="T64" i="1"/>
  <c r="T68" i="1"/>
  <c r="T69" i="1"/>
  <c r="T70" i="1"/>
  <c r="T71" i="1"/>
  <c r="T72" i="1"/>
  <c r="T73" i="1"/>
  <c r="T74" i="1"/>
  <c r="T75" i="1"/>
  <c r="T77" i="1"/>
  <c r="T78" i="1"/>
  <c r="T79" i="1"/>
  <c r="T80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8" i="1"/>
  <c r="T99" i="1"/>
  <c r="T100" i="1"/>
  <c r="T137" i="1"/>
  <c r="T140" i="1"/>
  <c r="T141" i="1"/>
  <c r="T142" i="1"/>
  <c r="T143" i="1"/>
  <c r="T144" i="1"/>
  <c r="T145" i="1"/>
  <c r="T146" i="1"/>
  <c r="T147" i="1"/>
  <c r="T148" i="1"/>
  <c r="T153" i="1"/>
  <c r="T154" i="1"/>
  <c r="T155" i="1"/>
  <c r="T156" i="1"/>
  <c r="T157" i="1"/>
  <c r="T158" i="1"/>
  <c r="T159" i="1"/>
  <c r="T160" i="1"/>
  <c r="T161" i="1"/>
  <c r="T162" i="1"/>
  <c r="T164" i="1"/>
  <c r="T165" i="1"/>
  <c r="T166" i="1"/>
  <c r="T167" i="1"/>
  <c r="T168" i="1"/>
  <c r="T169" i="1"/>
  <c r="T170" i="1"/>
  <c r="T171" i="1"/>
  <c r="T172" i="1"/>
  <c r="T173" i="1"/>
  <c r="T175" i="1"/>
  <c r="T176" i="1"/>
  <c r="T177" i="1"/>
  <c r="T178" i="1"/>
  <c r="T179" i="1"/>
  <c r="T180" i="1"/>
  <c r="T181" i="1"/>
  <c r="T182" i="1"/>
  <c r="T183" i="1"/>
  <c r="T184" i="1"/>
  <c r="T189" i="1"/>
  <c r="T193" i="1"/>
  <c r="T195" i="1"/>
  <c r="T196" i="1"/>
  <c r="T197" i="1"/>
  <c r="T198" i="1"/>
  <c r="T199" i="1"/>
  <c r="T200" i="1"/>
  <c r="T201" i="1"/>
  <c r="T202" i="1"/>
  <c r="T203" i="1"/>
  <c r="T207" i="1"/>
  <c r="T208" i="1"/>
  <c r="T210" i="1"/>
  <c r="T213" i="1"/>
  <c r="T214" i="1"/>
  <c r="T218" i="1"/>
  <c r="T219" i="1"/>
  <c r="T220" i="1"/>
  <c r="T221" i="1"/>
  <c r="T222" i="1"/>
  <c r="T223" i="1"/>
  <c r="T224" i="1"/>
  <c r="T225" i="1"/>
  <c r="T230" i="1"/>
  <c r="T233" i="1"/>
  <c r="T234" i="1"/>
  <c r="T235" i="1"/>
  <c r="T236" i="1"/>
  <c r="T237" i="1"/>
  <c r="T240" i="1"/>
  <c r="T243" i="1"/>
  <c r="T244" i="1"/>
  <c r="T245" i="1"/>
  <c r="T246" i="1"/>
  <c r="T247" i="1"/>
  <c r="T248" i="1"/>
  <c r="T251" i="1"/>
  <c r="T258" i="1"/>
  <c r="T259" i="1"/>
  <c r="T260" i="1"/>
  <c r="T261" i="1"/>
  <c r="T263" i="1"/>
  <c r="T264" i="1"/>
  <c r="T265" i="1"/>
  <c r="T266" i="1"/>
  <c r="T267" i="1"/>
  <c r="T271" i="1"/>
  <c r="T272" i="1"/>
  <c r="T274" i="1"/>
  <c r="T275" i="1"/>
  <c r="T276" i="1"/>
  <c r="T277" i="1"/>
  <c r="T278" i="1"/>
  <c r="T281" i="1"/>
  <c r="T282" i="1"/>
  <c r="T283" i="1"/>
  <c r="T285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3" i="1"/>
  <c r="T345" i="1"/>
  <c r="T346" i="1"/>
  <c r="T347" i="1"/>
  <c r="T348" i="1"/>
  <c r="T349" i="1"/>
  <c r="T350" i="1"/>
  <c r="T352" i="1"/>
  <c r="T353" i="1"/>
  <c r="T354" i="1"/>
  <c r="T355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80" i="1"/>
  <c r="T381" i="1"/>
  <c r="T382" i="1"/>
  <c r="T383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20" i="1"/>
  <c r="T421" i="1"/>
  <c r="T422" i="1"/>
  <c r="T438" i="1"/>
  <c r="T439" i="1"/>
  <c r="T440" i="1"/>
  <c r="T441" i="1"/>
  <c r="T442" i="1"/>
  <c r="T443" i="1"/>
  <c r="T444" i="1"/>
  <c r="T446" i="1"/>
  <c r="T447" i="1"/>
  <c r="T448" i="1"/>
  <c r="T449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94" i="1"/>
  <c r="T499" i="1"/>
  <c r="T500" i="1"/>
  <c r="T504" i="1"/>
  <c r="T505" i="1"/>
  <c r="T506" i="1"/>
  <c r="T507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40" i="1"/>
  <c r="T541" i="1"/>
  <c r="T542" i="1"/>
  <c r="T543" i="1"/>
  <c r="T544" i="1"/>
  <c r="T545" i="1"/>
  <c r="T546" i="1"/>
  <c r="T548" i="1"/>
  <c r="T549" i="1"/>
  <c r="T550" i="1"/>
  <c r="T551" i="1"/>
  <c r="T552" i="1"/>
  <c r="T553" i="1"/>
  <c r="T554" i="1"/>
  <c r="T555" i="1"/>
  <c r="T556" i="1"/>
  <c r="T557" i="1"/>
  <c r="T559" i="1"/>
  <c r="T560" i="1"/>
  <c r="T561" i="1"/>
  <c r="T562" i="1"/>
  <c r="T563" i="1"/>
  <c r="T564" i="1"/>
  <c r="T568" i="1"/>
  <c r="T569" i="1"/>
  <c r="T570" i="1"/>
  <c r="T571" i="1"/>
  <c r="T572" i="1"/>
  <c r="T573" i="1"/>
  <c r="T574" i="1"/>
  <c r="T575" i="1"/>
  <c r="T576" i="1"/>
  <c r="T578" i="1"/>
  <c r="T579" i="1"/>
  <c r="T580" i="1"/>
  <c r="T581" i="1"/>
  <c r="T582" i="1"/>
  <c r="T583" i="1"/>
  <c r="T584" i="1"/>
  <c r="T585" i="1"/>
  <c r="T587" i="1"/>
  <c r="T588" i="1"/>
  <c r="T589" i="1"/>
  <c r="T590" i="1"/>
  <c r="T591" i="1"/>
  <c r="T592" i="1"/>
  <c r="T593" i="1"/>
  <c r="T594" i="1"/>
  <c r="T595" i="1"/>
  <c r="T596" i="1"/>
  <c r="T600" i="1"/>
  <c r="T601" i="1"/>
  <c r="T602" i="1"/>
  <c r="T603" i="1"/>
  <c r="T605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20" i="1"/>
  <c r="T622" i="1"/>
  <c r="T623" i="1"/>
  <c r="T625" i="1"/>
  <c r="T626" i="1"/>
  <c r="T627" i="1"/>
  <c r="T629" i="1"/>
  <c r="T630" i="1"/>
  <c r="T632" i="1"/>
  <c r="T633" i="1"/>
  <c r="T634" i="1"/>
  <c r="T635" i="1"/>
  <c r="T636" i="1"/>
  <c r="T637" i="1"/>
  <c r="T638" i="1"/>
  <c r="T640" i="1"/>
  <c r="T641" i="1"/>
  <c r="T642" i="1"/>
  <c r="T643" i="1"/>
  <c r="T644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5" i="1"/>
  <c r="T666" i="1"/>
  <c r="T667" i="1"/>
  <c r="T668" i="1"/>
  <c r="T669" i="1"/>
  <c r="T670" i="1"/>
  <c r="T671" i="1"/>
  <c r="T673" i="1"/>
  <c r="T675" i="1"/>
  <c r="T678" i="1"/>
  <c r="T679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3" i="1"/>
  <c r="T704" i="1"/>
  <c r="T705" i="1"/>
  <c r="T706" i="1"/>
  <c r="T707" i="1"/>
  <c r="T709" i="1"/>
  <c r="T710" i="1"/>
  <c r="T711" i="1"/>
  <c r="T712" i="1"/>
  <c r="T714" i="1"/>
  <c r="T715" i="1"/>
  <c r="T717" i="1"/>
  <c r="T718" i="1"/>
  <c r="T719" i="1"/>
  <c r="T723" i="1"/>
  <c r="T725" i="1"/>
  <c r="T726" i="1"/>
  <c r="T727" i="1"/>
  <c r="T728" i="1"/>
  <c r="T729" i="1"/>
  <c r="T730" i="1"/>
  <c r="T731" i="1"/>
  <c r="T733" i="1"/>
  <c r="T735" i="1"/>
  <c r="T736" i="1"/>
  <c r="T737" i="1"/>
  <c r="T738" i="1"/>
  <c r="T739" i="1"/>
  <c r="T740" i="1"/>
  <c r="T742" i="1"/>
  <c r="T743" i="1"/>
  <c r="T747" i="1"/>
  <c r="T748" i="1"/>
  <c r="T749" i="1"/>
  <c r="T750" i="1"/>
  <c r="T751" i="1"/>
  <c r="T752" i="1"/>
  <c r="T753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4" i="1"/>
  <c r="T775" i="1"/>
  <c r="T776" i="1"/>
  <c r="T777" i="1"/>
  <c r="T779" i="1"/>
  <c r="T780" i="1"/>
  <c r="T781" i="1"/>
  <c r="T782" i="1"/>
  <c r="T783" i="1"/>
  <c r="T784" i="1"/>
  <c r="T785" i="1"/>
  <c r="T786" i="1"/>
  <c r="T787" i="1"/>
  <c r="T788" i="1"/>
  <c r="T789" i="1"/>
  <c r="T791" i="1"/>
  <c r="T793" i="1"/>
  <c r="T794" i="1"/>
  <c r="T795" i="1"/>
  <c r="T796" i="1"/>
  <c r="T797" i="1"/>
  <c r="T798" i="1"/>
  <c r="T799" i="1"/>
  <c r="T800" i="1"/>
  <c r="T801" i="1"/>
  <c r="T802" i="1"/>
  <c r="T804" i="1"/>
  <c r="T808" i="1"/>
  <c r="T809" i="1"/>
  <c r="T810" i="1"/>
  <c r="T811" i="1"/>
  <c r="T812" i="1"/>
  <c r="T813" i="1"/>
  <c r="T814" i="1"/>
  <c r="T816" i="1"/>
  <c r="T817" i="1"/>
  <c r="T818" i="1"/>
  <c r="T819" i="1"/>
  <c r="T820" i="1"/>
  <c r="T821" i="1"/>
  <c r="T822" i="1"/>
  <c r="T824" i="1"/>
  <c r="T825" i="1"/>
  <c r="T826" i="1"/>
  <c r="T827" i="1"/>
  <c r="T828" i="1"/>
  <c r="T829" i="1"/>
  <c r="T831" i="1"/>
  <c r="T832" i="1"/>
  <c r="T833" i="1"/>
  <c r="T834" i="1"/>
  <c r="T835" i="1"/>
  <c r="T836" i="1"/>
  <c r="T837" i="1"/>
  <c r="T838" i="1"/>
  <c r="T839" i="1"/>
  <c r="T840" i="1"/>
  <c r="T841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6" i="1"/>
  <c r="T857" i="1"/>
  <c r="T858" i="1"/>
  <c r="T859" i="1"/>
  <c r="T860" i="1"/>
  <c r="T861" i="1"/>
  <c r="T862" i="1"/>
  <c r="T863" i="1"/>
  <c r="T864" i="1"/>
  <c r="T865" i="1"/>
  <c r="T866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9" i="1"/>
  <c r="T1020" i="1"/>
  <c r="T1021" i="1"/>
  <c r="T1022" i="1"/>
  <c r="T1023" i="1"/>
  <c r="T1024" i="1"/>
  <c r="T1025" i="1"/>
  <c r="T1026" i="1"/>
  <c r="T1028" i="1"/>
  <c r="T1029" i="1"/>
  <c r="T1031" i="1"/>
  <c r="T1032" i="1"/>
  <c r="T1033" i="1"/>
  <c r="T1034" i="1"/>
  <c r="T1035" i="1"/>
  <c r="T1037" i="1"/>
  <c r="T1038" i="1"/>
  <c r="T1039" i="1"/>
  <c r="T1040" i="1"/>
  <c r="T1041" i="1"/>
  <c r="T1042" i="1"/>
  <c r="T1043" i="1"/>
  <c r="T1044" i="1"/>
  <c r="T1045" i="1"/>
  <c r="T1046" i="1"/>
  <c r="T1050" i="1"/>
  <c r="T1051" i="1"/>
  <c r="T1052" i="1"/>
  <c r="T1053" i="1"/>
  <c r="T1054" i="1"/>
  <c r="T1055" i="1"/>
  <c r="T1057" i="1"/>
  <c r="T1058" i="1"/>
  <c r="T1060" i="1"/>
  <c r="T1061" i="1"/>
  <c r="T1062" i="1"/>
  <c r="T1063" i="1"/>
  <c r="T1064" i="1"/>
  <c r="T1070" i="1"/>
  <c r="T1072" i="1"/>
  <c r="T1074" i="1"/>
  <c r="T1075" i="1"/>
  <c r="T1078" i="1"/>
  <c r="T1079" i="1"/>
  <c r="T1080" i="1"/>
  <c r="T1081" i="1"/>
  <c r="T1082" i="1"/>
  <c r="T1083" i="1"/>
  <c r="T1084" i="1"/>
  <c r="T1085" i="1"/>
  <c r="T1087" i="1"/>
  <c r="T1088" i="1"/>
  <c r="T1089" i="1"/>
  <c r="T1090" i="1"/>
  <c r="T1092" i="1"/>
  <c r="T1093" i="1"/>
  <c r="T1094" i="1"/>
  <c r="T1095" i="1"/>
  <c r="T1097" i="1"/>
  <c r="T1098" i="1"/>
  <c r="T1099" i="1"/>
  <c r="T1100" i="1"/>
  <c r="T1103" i="1"/>
  <c r="T1104" i="1"/>
  <c r="T1105" i="1"/>
  <c r="T1106" i="1"/>
  <c r="T1107" i="1"/>
  <c r="T1109" i="1"/>
  <c r="T1110" i="1"/>
  <c r="T1112" i="1"/>
  <c r="T1113" i="1"/>
  <c r="T1114" i="1"/>
  <c r="T1116" i="1"/>
  <c r="T1117" i="1"/>
  <c r="T1118" i="1"/>
  <c r="T1119" i="1"/>
  <c r="T1120" i="1"/>
  <c r="T1157" i="1"/>
  <c r="T1158" i="1"/>
  <c r="T1159" i="1"/>
  <c r="T1160" i="1"/>
  <c r="T1165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92" i="1"/>
  <c r="T1193" i="1"/>
  <c r="T1194" i="1"/>
  <c r="T1196" i="1"/>
  <c r="T1197" i="1"/>
  <c r="T1198" i="1"/>
  <c r="T1199" i="1"/>
  <c r="T1200" i="1"/>
  <c r="T1201" i="1"/>
  <c r="T1202" i="1"/>
  <c r="T1203" i="1"/>
  <c r="T1225" i="1"/>
  <c r="T1228" i="1"/>
  <c r="T1229" i="1"/>
  <c r="T1231" i="1"/>
  <c r="T1232" i="1"/>
  <c r="T1233" i="1"/>
  <c r="T1237" i="1"/>
  <c r="T1238" i="1"/>
  <c r="T1243" i="1"/>
  <c r="T1248" i="1"/>
  <c r="T1249" i="1"/>
  <c r="T1253" i="1"/>
  <c r="T1255" i="1"/>
  <c r="T1256" i="1"/>
  <c r="T1257" i="1"/>
  <c r="T1259" i="1"/>
  <c r="T1260" i="1"/>
  <c r="T1261" i="1"/>
  <c r="T1262" i="1"/>
  <c r="T1263" i="1"/>
  <c r="T1264" i="1"/>
  <c r="T1265" i="1"/>
  <c r="T1266" i="1"/>
  <c r="T1267" i="1"/>
  <c r="T1268" i="1"/>
  <c r="T1274" i="1"/>
  <c r="T1275" i="1"/>
  <c r="T24" i="1"/>
  <c r="T23" i="1"/>
  <c r="F14" i="21"/>
  <c r="G14" i="21" s="1"/>
  <c r="F15" i="21"/>
  <c r="G15" i="21" s="1"/>
  <c r="F16" i="21"/>
  <c r="G16" i="21" s="1"/>
  <c r="F13" i="21"/>
  <c r="G13" i="21" s="1"/>
  <c r="H1245" i="1"/>
  <c r="W1250" i="1"/>
  <c r="W1247" i="1"/>
  <c r="W1249" i="1"/>
  <c r="G17" i="21" l="1"/>
  <c r="W980" i="15" s="1"/>
  <c r="W1248" i="1"/>
  <c r="P1245" i="1" s="1"/>
  <c r="R978" i="15"/>
  <c r="S978" i="15" s="1"/>
  <c r="S979" i="15"/>
  <c r="G980" i="15" l="1"/>
  <c r="H980" i="15" s="1"/>
  <c r="Q980" i="15" s="1"/>
  <c r="U980" i="15" s="1"/>
  <c r="T1245" i="1"/>
  <c r="Q1245" i="1"/>
  <c r="U1245" i="1" s="1"/>
  <c r="P196" i="15" l="1"/>
  <c r="Q196" i="15" s="1"/>
  <c r="S76" i="15"/>
  <c r="U76" i="15" s="1"/>
  <c r="S75" i="15"/>
  <c r="U75" i="15" s="1"/>
  <c r="W148" i="15" l="1"/>
  <c r="P77" i="15" l="1"/>
  <c r="Q77" i="15" s="1"/>
  <c r="U77" i="15" s="1"/>
  <c r="S74" i="15"/>
  <c r="U74" i="15" s="1"/>
  <c r="S73" i="15"/>
  <c r="U73" i="15" s="1"/>
  <c r="T32" i="1" l="1"/>
  <c r="R192" i="1"/>
  <c r="R191" i="1"/>
  <c r="R190" i="1"/>
  <c r="T192" i="1" l="1"/>
  <c r="S192" i="1"/>
  <c r="T191" i="1"/>
  <c r="S191" i="1"/>
  <c r="T190" i="1"/>
  <c r="S190" i="1"/>
  <c r="P1002" i="15"/>
  <c r="U196" i="15" l="1"/>
  <c r="S178" i="15"/>
  <c r="T196" i="15" l="1"/>
  <c r="T255" i="1" l="1"/>
  <c r="S255" i="1"/>
  <c r="U255" i="1" s="1"/>
  <c r="W1246" i="1"/>
  <c r="W1245" i="1"/>
  <c r="W1244" i="1"/>
  <c r="S177" i="15"/>
  <c r="R138" i="1"/>
  <c r="P1239" i="1"/>
  <c r="T1239" i="1" s="1"/>
  <c r="V1239" i="1"/>
  <c r="T1270" i="1"/>
  <c r="P152" i="15"/>
  <c r="P226" i="1"/>
  <c r="T226" i="1" s="1"/>
  <c r="U278" i="1"/>
  <c r="H47" i="1"/>
  <c r="T268" i="1"/>
  <c r="P63" i="1"/>
  <c r="U177" i="15" l="1"/>
  <c r="S176" i="15"/>
  <c r="T63" i="1"/>
  <c r="U268" i="1"/>
  <c r="T254" i="1"/>
  <c r="P262" i="1" s="1"/>
  <c r="S254" i="1"/>
  <c r="U254" i="1" s="1"/>
  <c r="G1239" i="1"/>
  <c r="T138" i="1"/>
  <c r="S138" i="1"/>
  <c r="U138" i="1" s="1"/>
  <c r="T139" i="1"/>
  <c r="Q139" i="1"/>
  <c r="U139" i="1" s="1"/>
  <c r="Q262" i="1" l="1"/>
  <c r="U262" i="1" s="1"/>
  <c r="T262" i="1"/>
  <c r="H1239" i="1"/>
  <c r="Q1239" i="1" s="1"/>
  <c r="U1239" i="1" s="1"/>
  <c r="G123" i="1"/>
  <c r="H123" i="1" s="1"/>
  <c r="V39" i="1"/>
  <c r="I123" i="1" l="1"/>
  <c r="Q123" i="1"/>
  <c r="U123" i="1" s="1"/>
  <c r="V277" i="1"/>
  <c r="G277" i="1" l="1"/>
  <c r="H277" i="1" s="1"/>
  <c r="Q277" i="1" s="1"/>
  <c r="U277" i="1" s="1"/>
  <c r="V136" i="1"/>
  <c r="T136" i="1" l="1"/>
  <c r="S136" i="1"/>
  <c r="U136" i="1" s="1"/>
  <c r="T1271" i="1"/>
  <c r="V1271" i="1"/>
  <c r="V1270" i="1"/>
  <c r="G1271" i="1" l="1"/>
  <c r="H1271" i="1" s="1"/>
  <c r="Q1271" i="1" s="1"/>
  <c r="U1271" i="1" s="1"/>
  <c r="G1270" i="1"/>
  <c r="H1270" i="1" s="1"/>
  <c r="Q1270" i="1" s="1"/>
  <c r="U1270" i="1" s="1"/>
  <c r="P61" i="1" l="1"/>
  <c r="P60" i="1" l="1"/>
  <c r="T61" i="1"/>
  <c r="S1160" i="1"/>
  <c r="S1159" i="1"/>
  <c r="S1158" i="1"/>
  <c r="S1157" i="1"/>
  <c r="S1120" i="1"/>
  <c r="S1119" i="1"/>
  <c r="S1118" i="1"/>
  <c r="S1117" i="1"/>
  <c r="S1116" i="1"/>
  <c r="S1114" i="1"/>
  <c r="S1113" i="1"/>
  <c r="S1112" i="1"/>
  <c r="S1110" i="1"/>
  <c r="S1109" i="1"/>
  <c r="S1107" i="1"/>
  <c r="S1106" i="1"/>
  <c r="S1105" i="1"/>
  <c r="S1104" i="1"/>
  <c r="S1103" i="1"/>
  <c r="S1101" i="1"/>
  <c r="S1100" i="1"/>
  <c r="S1099" i="1"/>
  <c r="S1098" i="1"/>
  <c r="S1097" i="1"/>
  <c r="S1095" i="1"/>
  <c r="S1094" i="1"/>
  <c r="S1093" i="1"/>
  <c r="S1092" i="1"/>
  <c r="S1090" i="1"/>
  <c r="S1089" i="1"/>
  <c r="S1088" i="1"/>
  <c r="S1087" i="1"/>
  <c r="S1085" i="1"/>
  <c r="S1084" i="1"/>
  <c r="S1083" i="1"/>
  <c r="S1082" i="1"/>
  <c r="S1081" i="1"/>
  <c r="S1080" i="1"/>
  <c r="S1079" i="1"/>
  <c r="S1078" i="1"/>
  <c r="S1075" i="1"/>
  <c r="S1074" i="1"/>
  <c r="S1072" i="1"/>
  <c r="S1070" i="1"/>
  <c r="S1065" i="1"/>
  <c r="S1064" i="1"/>
  <c r="S1063" i="1"/>
  <c r="S1062" i="1"/>
  <c r="S1061" i="1"/>
  <c r="S1060" i="1"/>
  <c r="S1058" i="1"/>
  <c r="S1057" i="1"/>
  <c r="S1055" i="1"/>
  <c r="S1054" i="1"/>
  <c r="S1053" i="1"/>
  <c r="S1052" i="1"/>
  <c r="S1051" i="1"/>
  <c r="S1050" i="1"/>
  <c r="S1046" i="1"/>
  <c r="S1045" i="1"/>
  <c r="S1044" i="1"/>
  <c r="S1043" i="1"/>
  <c r="S1042" i="1"/>
  <c r="S1041" i="1"/>
  <c r="S1040" i="1"/>
  <c r="S1039" i="1"/>
  <c r="S1038" i="1"/>
  <c r="S1037" i="1"/>
  <c r="S1035" i="1"/>
  <c r="S1034" i="1"/>
  <c r="S1033" i="1"/>
  <c r="S1032" i="1"/>
  <c r="S1031" i="1"/>
  <c r="S1029" i="1"/>
  <c r="S1028" i="1"/>
  <c r="S1026" i="1"/>
  <c r="S1025" i="1"/>
  <c r="S1024" i="1"/>
  <c r="S1023" i="1"/>
  <c r="S1022" i="1"/>
  <c r="S1021" i="1"/>
  <c r="S1020" i="1"/>
  <c r="S1019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5" i="1"/>
  <c r="S984" i="1"/>
  <c r="S983" i="1"/>
  <c r="S982" i="1"/>
  <c r="S981" i="1"/>
  <c r="S980" i="1"/>
  <c r="S979" i="1"/>
  <c r="S977" i="1"/>
  <c r="S976" i="1"/>
  <c r="S975" i="1"/>
  <c r="S974" i="1"/>
  <c r="S973" i="1"/>
  <c r="S972" i="1"/>
  <c r="S971" i="1"/>
  <c r="S970" i="1"/>
  <c r="S968" i="1"/>
  <c r="S967" i="1"/>
  <c r="S966" i="1"/>
  <c r="S965" i="1"/>
  <c r="S963" i="1"/>
  <c r="S962" i="1"/>
  <c r="S961" i="1"/>
  <c r="S960" i="1"/>
  <c r="S958" i="1"/>
  <c r="S957" i="1"/>
  <c r="S956" i="1"/>
  <c r="S955" i="1"/>
  <c r="S953" i="1"/>
  <c r="S952" i="1"/>
  <c r="S951" i="1"/>
  <c r="S950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3" i="1"/>
  <c r="S932" i="1"/>
  <c r="S931" i="1"/>
  <c r="S930" i="1"/>
  <c r="S929" i="1"/>
  <c r="S928" i="1"/>
  <c r="S927" i="1"/>
  <c r="S926" i="1"/>
  <c r="S925" i="1"/>
  <c r="S924" i="1"/>
  <c r="S923" i="1"/>
  <c r="S921" i="1"/>
  <c r="S920" i="1"/>
  <c r="S919" i="1"/>
  <c r="S918" i="1"/>
  <c r="S917" i="1"/>
  <c r="S916" i="1"/>
  <c r="S915" i="1"/>
  <c r="S914" i="1"/>
  <c r="S913" i="1"/>
  <c r="S912" i="1"/>
  <c r="S911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6" i="1"/>
  <c r="S865" i="1"/>
  <c r="S864" i="1"/>
  <c r="S863" i="1"/>
  <c r="S862" i="1"/>
  <c r="S861" i="1"/>
  <c r="S860" i="1"/>
  <c r="S859" i="1"/>
  <c r="S858" i="1"/>
  <c r="S857" i="1"/>
  <c r="S856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1" i="1"/>
  <c r="S840" i="1"/>
  <c r="S839" i="1"/>
  <c r="S838" i="1"/>
  <c r="S837" i="1"/>
  <c r="S836" i="1"/>
  <c r="S835" i="1"/>
  <c r="S834" i="1"/>
  <c r="S833" i="1"/>
  <c r="S832" i="1"/>
  <c r="S831" i="1"/>
  <c r="S829" i="1"/>
  <c r="S828" i="1"/>
  <c r="S827" i="1"/>
  <c r="S826" i="1"/>
  <c r="S825" i="1"/>
  <c r="S824" i="1"/>
  <c r="S822" i="1"/>
  <c r="S821" i="1"/>
  <c r="S820" i="1"/>
  <c r="S819" i="1"/>
  <c r="S818" i="1"/>
  <c r="S817" i="1"/>
  <c r="S816" i="1"/>
  <c r="S814" i="1"/>
  <c r="S813" i="1"/>
  <c r="S812" i="1"/>
  <c r="S811" i="1"/>
  <c r="S810" i="1"/>
  <c r="S809" i="1"/>
  <c r="S808" i="1"/>
  <c r="S804" i="1"/>
  <c r="S802" i="1"/>
  <c r="S801" i="1"/>
  <c r="S800" i="1"/>
  <c r="S799" i="1"/>
  <c r="S798" i="1"/>
  <c r="S797" i="1"/>
  <c r="S796" i="1"/>
  <c r="S795" i="1"/>
  <c r="S794" i="1"/>
  <c r="S793" i="1"/>
  <c r="S791" i="1"/>
  <c r="S789" i="1"/>
  <c r="S788" i="1"/>
  <c r="S787" i="1"/>
  <c r="S786" i="1"/>
  <c r="S785" i="1"/>
  <c r="S784" i="1"/>
  <c r="S783" i="1"/>
  <c r="S782" i="1"/>
  <c r="S781" i="1"/>
  <c r="S780" i="1"/>
  <c r="S779" i="1"/>
  <c r="S777" i="1"/>
  <c r="S776" i="1"/>
  <c r="S775" i="1"/>
  <c r="S774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3" i="1"/>
  <c r="S752" i="1"/>
  <c r="S751" i="1"/>
  <c r="S750" i="1"/>
  <c r="S749" i="1"/>
  <c r="S748" i="1"/>
  <c r="S747" i="1"/>
  <c r="S743" i="1"/>
  <c r="S742" i="1"/>
  <c r="S740" i="1"/>
  <c r="S739" i="1"/>
  <c r="S738" i="1"/>
  <c r="S737" i="1"/>
  <c r="S736" i="1"/>
  <c r="S735" i="1"/>
  <c r="S731" i="1"/>
  <c r="S730" i="1"/>
  <c r="S729" i="1"/>
  <c r="S728" i="1"/>
  <c r="S727" i="1"/>
  <c r="S726" i="1"/>
  <c r="S725" i="1"/>
  <c r="S723" i="1"/>
  <c r="S719" i="1"/>
  <c r="S718" i="1"/>
  <c r="S717" i="1"/>
  <c r="S715" i="1"/>
  <c r="S714" i="1"/>
  <c r="S712" i="1"/>
  <c r="S711" i="1"/>
  <c r="S710" i="1"/>
  <c r="S709" i="1"/>
  <c r="S707" i="1"/>
  <c r="S706" i="1"/>
  <c r="S705" i="1"/>
  <c r="S704" i="1"/>
  <c r="S703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79" i="1"/>
  <c r="S678" i="1"/>
  <c r="S675" i="1"/>
  <c r="S673" i="1"/>
  <c r="S671" i="1"/>
  <c r="S670" i="1"/>
  <c r="S669" i="1"/>
  <c r="S668" i="1"/>
  <c r="S667" i="1"/>
  <c r="S666" i="1"/>
  <c r="S665" i="1"/>
  <c r="S663" i="1"/>
  <c r="S662" i="1"/>
  <c r="S661" i="1"/>
  <c r="S660" i="1"/>
  <c r="S659" i="1"/>
  <c r="S658" i="1"/>
  <c r="S657" i="1"/>
  <c r="S656" i="1"/>
  <c r="S655" i="1"/>
  <c r="S654" i="1"/>
  <c r="S652" i="1"/>
  <c r="S651" i="1"/>
  <c r="S650" i="1"/>
  <c r="S649" i="1"/>
  <c r="S648" i="1"/>
  <c r="S644" i="1"/>
  <c r="S643" i="1"/>
  <c r="S642" i="1"/>
  <c r="S641" i="1"/>
  <c r="S640" i="1"/>
  <c r="S638" i="1"/>
  <c r="S637" i="1"/>
  <c r="S636" i="1"/>
  <c r="S635" i="1"/>
  <c r="S634" i="1"/>
  <c r="S633" i="1"/>
  <c r="S632" i="1"/>
  <c r="S630" i="1"/>
  <c r="S629" i="1"/>
  <c r="S627" i="1"/>
  <c r="S626" i="1"/>
  <c r="S625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4" i="1"/>
  <c r="S563" i="1"/>
  <c r="S562" i="1"/>
  <c r="S561" i="1"/>
  <c r="S560" i="1"/>
  <c r="S559" i="1"/>
  <c r="S557" i="1"/>
  <c r="S556" i="1"/>
  <c r="S555" i="1"/>
  <c r="S554" i="1"/>
  <c r="S553" i="1"/>
  <c r="S552" i="1"/>
  <c r="S551" i="1"/>
  <c r="S550" i="1"/>
  <c r="S549" i="1"/>
  <c r="S546" i="1"/>
  <c r="S545" i="1"/>
  <c r="S544" i="1"/>
  <c r="S543" i="1"/>
  <c r="S542" i="1"/>
  <c r="S541" i="1"/>
  <c r="S540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49" i="1"/>
  <c r="S448" i="1"/>
  <c r="S447" i="1"/>
  <c r="S446" i="1"/>
  <c r="S444" i="1"/>
  <c r="S443" i="1"/>
  <c r="S442" i="1"/>
  <c r="S441" i="1"/>
  <c r="S440" i="1"/>
  <c r="S439" i="1"/>
  <c r="S438" i="1"/>
  <c r="S422" i="1"/>
  <c r="S421" i="1"/>
  <c r="S420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3" i="1"/>
  <c r="S382" i="1"/>
  <c r="S381" i="1"/>
  <c r="S380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4" i="1"/>
  <c r="S353" i="1"/>
  <c r="S352" i="1"/>
  <c r="S350" i="1"/>
  <c r="S349" i="1"/>
  <c r="S348" i="1"/>
  <c r="S347" i="1"/>
  <c r="S346" i="1"/>
  <c r="S345" i="1"/>
  <c r="S343" i="1"/>
  <c r="S341" i="1"/>
  <c r="S340" i="1"/>
  <c r="S339" i="1"/>
  <c r="S338" i="1"/>
  <c r="S337" i="1"/>
  <c r="S336" i="1"/>
  <c r="S335" i="1"/>
  <c r="S334" i="1"/>
  <c r="S333" i="1"/>
  <c r="S332" i="1"/>
  <c r="S331" i="1"/>
  <c r="S329" i="1"/>
  <c r="S328" i="1"/>
  <c r="S327" i="1"/>
  <c r="S326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75" i="1"/>
  <c r="U275" i="1" s="1"/>
  <c r="S250" i="1"/>
  <c r="S239" i="1"/>
  <c r="S223" i="1"/>
  <c r="U223" i="1" s="1"/>
  <c r="S197" i="1"/>
  <c r="S196" i="1"/>
  <c r="S63" i="1"/>
  <c r="S33" i="1"/>
  <c r="S23" i="1"/>
  <c r="H226" i="1"/>
  <c r="H33" i="1"/>
  <c r="Q33" i="1" s="1"/>
  <c r="P79" i="15"/>
  <c r="Q79" i="15" s="1"/>
  <c r="U79" i="15" s="1"/>
  <c r="S67" i="15"/>
  <c r="U67" i="15" s="1"/>
  <c r="T969" i="15"/>
  <c r="Q226" i="1" l="1"/>
  <c r="S226" i="1"/>
  <c r="S216" i="1" s="1"/>
  <c r="S1067" i="1"/>
  <c r="U33" i="1"/>
  <c r="T257" i="1"/>
  <c r="Q257" i="1"/>
  <c r="U257" i="1" s="1"/>
  <c r="T60" i="1"/>
  <c r="S60" i="1"/>
  <c r="S53" i="1" s="1"/>
  <c r="S1247" i="1"/>
  <c r="S677" i="1"/>
  <c r="S212" i="1"/>
  <c r="S280" i="1"/>
  <c r="S451" i="1"/>
  <c r="S1154" i="1"/>
  <c r="S1251" i="1"/>
  <c r="S806" i="1"/>
  <c r="S681" i="1"/>
  <c r="S1048" i="1"/>
  <c r="S1017" i="1"/>
  <c r="S1273" i="1"/>
  <c r="S489" i="1"/>
  <c r="S242" i="1"/>
  <c r="S566" i="1"/>
  <c r="S745" i="1"/>
  <c r="S1227" i="1"/>
  <c r="S232" i="1"/>
  <c r="S646" i="1"/>
  <c r="S288" i="1"/>
  <c r="S721" i="1"/>
  <c r="S1241" i="1"/>
  <c r="U226" i="1" l="1"/>
  <c r="S488" i="1"/>
  <c r="S287" i="1" s="1"/>
  <c r="H969" i="15"/>
  <c r="Q969" i="15" s="1"/>
  <c r="U969" i="15" s="1"/>
  <c r="T195" i="15" l="1"/>
  <c r="T152" i="15"/>
  <c r="T970" i="15"/>
  <c r="T1004" i="15"/>
  <c r="T1003" i="15"/>
  <c r="T1002" i="15"/>
  <c r="T1000" i="15"/>
  <c r="T1001" i="15"/>
  <c r="T1005" i="15"/>
  <c r="T1006" i="15"/>
  <c r="T1007" i="15"/>
  <c r="T1008" i="15"/>
  <c r="T1009" i="15"/>
  <c r="T1010" i="15"/>
  <c r="T1011" i="15"/>
  <c r="U22" i="15"/>
  <c r="T20" i="15"/>
  <c r="T21" i="15"/>
  <c r="T22" i="15"/>
  <c r="T23" i="15"/>
  <c r="T24" i="15"/>
  <c r="T25" i="15"/>
  <c r="T26" i="15"/>
  <c r="T27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T111" i="15"/>
  <c r="T112" i="15"/>
  <c r="T113" i="15"/>
  <c r="T114" i="15"/>
  <c r="T115" i="15"/>
  <c r="T116" i="15"/>
  <c r="T121" i="15"/>
  <c r="T122" i="15"/>
  <c r="T123" i="15"/>
  <c r="T124" i="15"/>
  <c r="T125" i="15"/>
  <c r="T126" i="15"/>
  <c r="T127" i="15"/>
  <c r="T128" i="15"/>
  <c r="T130" i="15"/>
  <c r="T131" i="15"/>
  <c r="T132" i="15"/>
  <c r="T133" i="15"/>
  <c r="T134" i="15"/>
  <c r="T135" i="15"/>
  <c r="T137" i="15"/>
  <c r="T138" i="15"/>
  <c r="T139" i="15"/>
  <c r="T140" i="15"/>
  <c r="T141" i="15"/>
  <c r="T142" i="15"/>
  <c r="T143" i="15"/>
  <c r="T144" i="15"/>
  <c r="T145" i="15"/>
  <c r="T146" i="15"/>
  <c r="T147" i="15"/>
  <c r="T148" i="15"/>
  <c r="T149" i="15"/>
  <c r="T150" i="15"/>
  <c r="T151" i="15"/>
  <c r="T154" i="15"/>
  <c r="T155" i="15"/>
  <c r="T156" i="15"/>
  <c r="T157" i="15"/>
  <c r="T158" i="15"/>
  <c r="T159" i="15"/>
  <c r="T160" i="15"/>
  <c r="T161" i="15"/>
  <c r="T162" i="15"/>
  <c r="T163" i="15"/>
  <c r="T164" i="15"/>
  <c r="T165" i="15"/>
  <c r="T166" i="15"/>
  <c r="T167" i="15"/>
  <c r="T168" i="15"/>
  <c r="T169" i="15"/>
  <c r="T170" i="15"/>
  <c r="T171" i="15"/>
  <c r="T172" i="15"/>
  <c r="T173" i="15"/>
  <c r="T174" i="15"/>
  <c r="T175" i="15"/>
  <c r="T176" i="15"/>
  <c r="T177" i="15"/>
  <c r="P178" i="15" s="1"/>
  <c r="Q178" i="15" s="1"/>
  <c r="T179" i="15"/>
  <c r="T180" i="15"/>
  <c r="T181" i="15"/>
  <c r="T182" i="15"/>
  <c r="T183" i="15"/>
  <c r="T184" i="15"/>
  <c r="T187" i="15"/>
  <c r="T188" i="15"/>
  <c r="T189" i="15"/>
  <c r="T190" i="15"/>
  <c r="T191" i="15"/>
  <c r="T192" i="15"/>
  <c r="T193" i="15"/>
  <c r="T194" i="15"/>
  <c r="T197" i="15"/>
  <c r="T198" i="15"/>
  <c r="T199" i="15"/>
  <c r="T200" i="15"/>
  <c r="T201" i="15"/>
  <c r="T202" i="15"/>
  <c r="T203" i="15"/>
  <c r="T204" i="15"/>
  <c r="T205" i="15"/>
  <c r="T206" i="15"/>
  <c r="T207" i="15"/>
  <c r="T208" i="15"/>
  <c r="T209" i="15"/>
  <c r="T210" i="15"/>
  <c r="T211" i="15"/>
  <c r="T212" i="15"/>
  <c r="T213" i="15"/>
  <c r="T214" i="15"/>
  <c r="T215" i="15"/>
  <c r="T216" i="15"/>
  <c r="T217" i="15"/>
  <c r="T218" i="15"/>
  <c r="T219" i="15"/>
  <c r="T220" i="15"/>
  <c r="T221" i="15"/>
  <c r="T222" i="15"/>
  <c r="T223" i="15"/>
  <c r="T224" i="15"/>
  <c r="T225" i="15"/>
  <c r="T226" i="15"/>
  <c r="T227" i="15"/>
  <c r="T228" i="15"/>
  <c r="T229" i="15"/>
  <c r="T230" i="15"/>
  <c r="T231" i="15"/>
  <c r="T232" i="15"/>
  <c r="T233" i="15"/>
  <c r="T234" i="15"/>
  <c r="T235" i="15"/>
  <c r="T236" i="15"/>
  <c r="T237" i="15"/>
  <c r="T238" i="15"/>
  <c r="T239" i="15"/>
  <c r="T240" i="15"/>
  <c r="T241" i="15"/>
  <c r="T242" i="15"/>
  <c r="T243" i="15"/>
  <c r="T244" i="15"/>
  <c r="T245" i="15"/>
  <c r="T246" i="15"/>
  <c r="T247" i="15"/>
  <c r="T248" i="15"/>
  <c r="T249" i="15"/>
  <c r="T250" i="15"/>
  <c r="T251" i="15"/>
  <c r="T252" i="15"/>
  <c r="T253" i="15"/>
  <c r="T254" i="15"/>
  <c r="T255" i="15"/>
  <c r="T256" i="15"/>
  <c r="T257" i="15"/>
  <c r="T258" i="15"/>
  <c r="T259" i="15"/>
  <c r="T260" i="15"/>
  <c r="T261" i="15"/>
  <c r="T262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T283" i="15"/>
  <c r="T284" i="15"/>
  <c r="T285" i="15"/>
  <c r="T286" i="15"/>
  <c r="T287" i="15"/>
  <c r="T288" i="15"/>
  <c r="T289" i="15"/>
  <c r="T290" i="15"/>
  <c r="T291" i="15"/>
  <c r="T292" i="15"/>
  <c r="T293" i="15"/>
  <c r="T294" i="15"/>
  <c r="T295" i="15"/>
  <c r="T296" i="15"/>
  <c r="T297" i="15"/>
  <c r="T298" i="15"/>
  <c r="T299" i="15"/>
  <c r="T300" i="15"/>
  <c r="T301" i="15"/>
  <c r="T302" i="15"/>
  <c r="T303" i="15"/>
  <c r="T304" i="15"/>
  <c r="T305" i="15"/>
  <c r="T306" i="15"/>
  <c r="T307" i="15"/>
  <c r="T308" i="15"/>
  <c r="T309" i="15"/>
  <c r="T310" i="15"/>
  <c r="T311" i="15"/>
  <c r="T312" i="15"/>
  <c r="T313" i="15"/>
  <c r="T314" i="15"/>
  <c r="T315" i="15"/>
  <c r="T316" i="15"/>
  <c r="T317" i="15"/>
  <c r="T318" i="15"/>
  <c r="T319" i="15"/>
  <c r="T320" i="15"/>
  <c r="T321" i="15"/>
  <c r="T322" i="15"/>
  <c r="T323" i="15"/>
  <c r="T324" i="15"/>
  <c r="T325" i="15"/>
  <c r="T326" i="15"/>
  <c r="T327" i="15"/>
  <c r="T328" i="15"/>
  <c r="T329" i="15"/>
  <c r="T330" i="15"/>
  <c r="T331" i="15"/>
  <c r="T332" i="15"/>
  <c r="T333" i="15"/>
  <c r="T334" i="15"/>
  <c r="T335" i="15"/>
  <c r="T336" i="15"/>
  <c r="T337" i="15"/>
  <c r="T338" i="15"/>
  <c r="T339" i="15"/>
  <c r="T340" i="15"/>
  <c r="T341" i="15"/>
  <c r="T342" i="15"/>
  <c r="T353" i="15"/>
  <c r="T354" i="15"/>
  <c r="T355" i="15"/>
  <c r="T356" i="15"/>
  <c r="T357" i="15"/>
  <c r="T358" i="15"/>
  <c r="T359" i="15"/>
  <c r="T360" i="15"/>
  <c r="T361" i="15"/>
  <c r="T362" i="15"/>
  <c r="T363" i="15"/>
  <c r="T364" i="15"/>
  <c r="T365" i="15"/>
  <c r="T366" i="15"/>
  <c r="T367" i="15"/>
  <c r="T368" i="15"/>
  <c r="T369" i="15"/>
  <c r="T370" i="15"/>
  <c r="T371" i="15"/>
  <c r="T372" i="15"/>
  <c r="T373" i="15"/>
  <c r="T374" i="15"/>
  <c r="T375" i="15"/>
  <c r="T376" i="15"/>
  <c r="T377" i="15"/>
  <c r="T378" i="15"/>
  <c r="T379" i="15"/>
  <c r="T380" i="15"/>
  <c r="T381" i="15"/>
  <c r="T382" i="15"/>
  <c r="T383" i="15"/>
  <c r="T384" i="15"/>
  <c r="T385" i="15"/>
  <c r="T386" i="15"/>
  <c r="T387" i="15"/>
  <c r="T388" i="15"/>
  <c r="T389" i="15"/>
  <c r="T390" i="15"/>
  <c r="T391" i="15"/>
  <c r="T392" i="15"/>
  <c r="T393" i="15"/>
  <c r="T394" i="15"/>
  <c r="T395" i="15"/>
  <c r="T396" i="15"/>
  <c r="T397" i="15"/>
  <c r="T398" i="15"/>
  <c r="T399" i="15"/>
  <c r="T400" i="15"/>
  <c r="T401" i="15"/>
  <c r="T402" i="15"/>
  <c r="T403" i="15"/>
  <c r="T404" i="15"/>
  <c r="T405" i="15"/>
  <c r="T406" i="15"/>
  <c r="T407" i="15"/>
  <c r="T408" i="15"/>
  <c r="T409" i="15"/>
  <c r="T410" i="15"/>
  <c r="T411" i="15"/>
  <c r="T412" i="15"/>
  <c r="T413" i="15"/>
  <c r="T414" i="15"/>
  <c r="T415" i="15"/>
  <c r="T416" i="15"/>
  <c r="T417" i="15"/>
  <c r="T418" i="15"/>
  <c r="T419" i="15"/>
  <c r="T420" i="15"/>
  <c r="T421" i="15"/>
  <c r="T422" i="15"/>
  <c r="T423" i="15"/>
  <c r="T424" i="15"/>
  <c r="T425" i="15"/>
  <c r="T426" i="15"/>
  <c r="T427" i="15"/>
  <c r="T428" i="15"/>
  <c r="T429" i="15"/>
  <c r="T430" i="15"/>
  <c r="T431" i="15"/>
  <c r="T432" i="15"/>
  <c r="T433" i="15"/>
  <c r="T434" i="15"/>
  <c r="T435" i="15"/>
  <c r="T436" i="15"/>
  <c r="T437" i="15"/>
  <c r="T438" i="15"/>
  <c r="T439" i="15"/>
  <c r="T440" i="15"/>
  <c r="T441" i="15"/>
  <c r="T442" i="15"/>
  <c r="T443" i="15"/>
  <c r="T444" i="15"/>
  <c r="T445" i="15"/>
  <c r="T446" i="15"/>
  <c r="T447" i="15"/>
  <c r="T448" i="15"/>
  <c r="T449" i="15"/>
  <c r="T450" i="15"/>
  <c r="T451" i="15"/>
  <c r="T452" i="15"/>
  <c r="T453" i="15"/>
  <c r="T454" i="15"/>
  <c r="T455" i="15"/>
  <c r="T456" i="15"/>
  <c r="T457" i="15"/>
  <c r="T458" i="15"/>
  <c r="T459" i="15"/>
  <c r="T460" i="15"/>
  <c r="T461" i="15"/>
  <c r="T462" i="15"/>
  <c r="T463" i="15"/>
  <c r="T464" i="15"/>
  <c r="T465" i="15"/>
  <c r="T466" i="15"/>
  <c r="T467" i="15"/>
  <c r="T468" i="15"/>
  <c r="T469" i="15"/>
  <c r="T470" i="15"/>
  <c r="T471" i="15"/>
  <c r="T472" i="15"/>
  <c r="T473" i="15"/>
  <c r="T474" i="15"/>
  <c r="T475" i="15"/>
  <c r="T476" i="15"/>
  <c r="T477" i="15"/>
  <c r="T481" i="15"/>
  <c r="T482" i="15"/>
  <c r="T483" i="15"/>
  <c r="T485" i="15"/>
  <c r="T486" i="15"/>
  <c r="T487" i="15"/>
  <c r="T488" i="15"/>
  <c r="T489" i="15"/>
  <c r="T490" i="15"/>
  <c r="T491" i="15"/>
  <c r="T492" i="15"/>
  <c r="T493" i="15"/>
  <c r="T494" i="15"/>
  <c r="T495" i="15"/>
  <c r="T496" i="15"/>
  <c r="T497" i="15"/>
  <c r="T498" i="15"/>
  <c r="T499" i="15"/>
  <c r="T500" i="15"/>
  <c r="T501" i="15"/>
  <c r="T502" i="15"/>
  <c r="T503" i="15"/>
  <c r="T504" i="15"/>
  <c r="T505" i="15"/>
  <c r="T506" i="15"/>
  <c r="T507" i="15"/>
  <c r="T508" i="15"/>
  <c r="T509" i="15"/>
  <c r="T510" i="15"/>
  <c r="T511" i="15"/>
  <c r="T512" i="15"/>
  <c r="T513" i="15"/>
  <c r="T514" i="15"/>
  <c r="T515" i="15"/>
  <c r="T516" i="15"/>
  <c r="T517" i="15"/>
  <c r="T518" i="15"/>
  <c r="T519" i="15"/>
  <c r="T520" i="15"/>
  <c r="T521" i="15"/>
  <c r="T522" i="15"/>
  <c r="T523" i="15"/>
  <c r="T524" i="15"/>
  <c r="T525" i="15"/>
  <c r="T526" i="15"/>
  <c r="T527" i="15"/>
  <c r="T528" i="15"/>
  <c r="T529" i="15"/>
  <c r="T530" i="15"/>
  <c r="T531" i="15"/>
  <c r="T532" i="15"/>
  <c r="T533" i="15"/>
  <c r="T534" i="15"/>
  <c r="T535" i="15"/>
  <c r="T536" i="15"/>
  <c r="T537" i="15"/>
  <c r="T538" i="15"/>
  <c r="T539" i="15"/>
  <c r="T540" i="15"/>
  <c r="T541" i="15"/>
  <c r="T542" i="15"/>
  <c r="T543" i="15"/>
  <c r="T544" i="15"/>
  <c r="T545" i="15"/>
  <c r="T546" i="15"/>
  <c r="T547" i="15"/>
  <c r="T548" i="15"/>
  <c r="T549" i="15"/>
  <c r="T550" i="15"/>
  <c r="T551" i="15"/>
  <c r="T552" i="15"/>
  <c r="T553" i="15"/>
  <c r="T554" i="15"/>
  <c r="T555" i="15"/>
  <c r="T556" i="15"/>
  <c r="T557" i="15"/>
  <c r="T558" i="15"/>
  <c r="T559" i="15"/>
  <c r="T560" i="15"/>
  <c r="T561" i="15"/>
  <c r="T562" i="15"/>
  <c r="T563" i="15"/>
  <c r="T564" i="15"/>
  <c r="T565" i="15"/>
  <c r="T566" i="15"/>
  <c r="T567" i="15"/>
  <c r="T568" i="15"/>
  <c r="T569" i="15"/>
  <c r="T570" i="15"/>
  <c r="T571" i="15"/>
  <c r="T572" i="15"/>
  <c r="T573" i="15"/>
  <c r="T574" i="15"/>
  <c r="T575" i="15"/>
  <c r="T576" i="15"/>
  <c r="T577" i="15"/>
  <c r="T578" i="15"/>
  <c r="T579" i="15"/>
  <c r="T580" i="15"/>
  <c r="T581" i="15"/>
  <c r="T582" i="15"/>
  <c r="T583" i="15"/>
  <c r="T584" i="15"/>
  <c r="T585" i="15"/>
  <c r="T586" i="15"/>
  <c r="T587" i="15"/>
  <c r="T588" i="15"/>
  <c r="T589" i="15"/>
  <c r="T590" i="15"/>
  <c r="T591" i="15"/>
  <c r="T592" i="15"/>
  <c r="T593" i="15"/>
  <c r="T594" i="15"/>
  <c r="T595" i="15"/>
  <c r="T596" i="15"/>
  <c r="T597" i="15"/>
  <c r="T598" i="15"/>
  <c r="T599" i="15"/>
  <c r="T600" i="15"/>
  <c r="T601" i="15"/>
  <c r="T602" i="15"/>
  <c r="T603" i="15"/>
  <c r="T604" i="15"/>
  <c r="T605" i="15"/>
  <c r="T606" i="15"/>
  <c r="T607" i="15"/>
  <c r="T608" i="15"/>
  <c r="T609" i="15"/>
  <c r="T610" i="15"/>
  <c r="T611" i="15"/>
  <c r="T612" i="15"/>
  <c r="T613" i="15"/>
  <c r="T614" i="15"/>
  <c r="T615" i="15"/>
  <c r="T616" i="15"/>
  <c r="T617" i="15"/>
  <c r="T618" i="15"/>
  <c r="T619" i="15"/>
  <c r="T620" i="15"/>
  <c r="T621" i="15"/>
  <c r="T622" i="15"/>
  <c r="T623" i="15"/>
  <c r="T624" i="15"/>
  <c r="T625" i="15"/>
  <c r="T626" i="15"/>
  <c r="T627" i="15"/>
  <c r="T628" i="15"/>
  <c r="T629" i="15"/>
  <c r="T630" i="15"/>
  <c r="T631" i="15"/>
  <c r="T632" i="15"/>
  <c r="T633" i="15"/>
  <c r="T634" i="15"/>
  <c r="T635" i="15"/>
  <c r="T636" i="15"/>
  <c r="T637" i="15"/>
  <c r="T638" i="15"/>
  <c r="T639" i="15"/>
  <c r="T640" i="15"/>
  <c r="T641" i="15"/>
  <c r="T642" i="15"/>
  <c r="T643" i="15"/>
  <c r="T644" i="15"/>
  <c r="T645" i="15"/>
  <c r="T646" i="15"/>
  <c r="T647" i="15"/>
  <c r="T648" i="15"/>
  <c r="T649" i="15"/>
  <c r="T650" i="15"/>
  <c r="T651" i="15"/>
  <c r="T652" i="15"/>
  <c r="T653" i="15"/>
  <c r="T654" i="15"/>
  <c r="T655" i="15"/>
  <c r="T656" i="15"/>
  <c r="T657" i="15"/>
  <c r="T658" i="15"/>
  <c r="T659" i="15"/>
  <c r="T660" i="15"/>
  <c r="T661" i="15"/>
  <c r="T662" i="15"/>
  <c r="T663" i="15"/>
  <c r="T664" i="15"/>
  <c r="T665" i="15"/>
  <c r="T666" i="15"/>
  <c r="T667" i="15"/>
  <c r="T668" i="15"/>
  <c r="T669" i="15"/>
  <c r="T670" i="15"/>
  <c r="T671" i="15"/>
  <c r="T672" i="15"/>
  <c r="T673" i="15"/>
  <c r="T674" i="15"/>
  <c r="T675" i="15"/>
  <c r="T676" i="15"/>
  <c r="T677" i="15"/>
  <c r="T678" i="15"/>
  <c r="T679" i="15"/>
  <c r="T680" i="15"/>
  <c r="T681" i="15"/>
  <c r="T682" i="15"/>
  <c r="T683" i="15"/>
  <c r="T684" i="15"/>
  <c r="T685" i="15"/>
  <c r="T686" i="15"/>
  <c r="T687" i="15"/>
  <c r="T688" i="15"/>
  <c r="T689" i="15"/>
  <c r="T690" i="15"/>
  <c r="T691" i="15"/>
  <c r="T692" i="15"/>
  <c r="T693" i="15"/>
  <c r="T694" i="15"/>
  <c r="T695" i="15"/>
  <c r="T696" i="15"/>
  <c r="T697" i="15"/>
  <c r="T698" i="15"/>
  <c r="T699" i="15"/>
  <c r="T700" i="15"/>
  <c r="T701" i="15"/>
  <c r="T702" i="15"/>
  <c r="T703" i="15"/>
  <c r="T704" i="15"/>
  <c r="T705" i="15"/>
  <c r="T706" i="15"/>
  <c r="T707" i="15"/>
  <c r="T708" i="15"/>
  <c r="T709" i="15"/>
  <c r="T710" i="15"/>
  <c r="T711" i="15"/>
  <c r="T712" i="15"/>
  <c r="T713" i="15"/>
  <c r="T714" i="15"/>
  <c r="T715" i="15"/>
  <c r="T716" i="15"/>
  <c r="T717" i="15"/>
  <c r="T718" i="15"/>
  <c r="T719" i="15"/>
  <c r="T720" i="15"/>
  <c r="T721" i="15"/>
  <c r="T722" i="15"/>
  <c r="T723" i="15"/>
  <c r="T724" i="15"/>
  <c r="T725" i="15"/>
  <c r="T726" i="15"/>
  <c r="T727" i="15"/>
  <c r="T728" i="15"/>
  <c r="T729" i="15"/>
  <c r="T730" i="15"/>
  <c r="T731" i="15"/>
  <c r="T732" i="15"/>
  <c r="T733" i="15"/>
  <c r="T734" i="15"/>
  <c r="T735" i="15"/>
  <c r="T736" i="15"/>
  <c r="T737" i="15"/>
  <c r="T738" i="15"/>
  <c r="T739" i="15"/>
  <c r="T740" i="15"/>
  <c r="T741" i="15"/>
  <c r="T742" i="15"/>
  <c r="T743" i="15"/>
  <c r="T744" i="15"/>
  <c r="T745" i="15"/>
  <c r="T746" i="15"/>
  <c r="T747" i="15"/>
  <c r="T748" i="15"/>
  <c r="T749" i="15"/>
  <c r="T750" i="15"/>
  <c r="T751" i="15"/>
  <c r="T752" i="15"/>
  <c r="T753" i="15"/>
  <c r="T754" i="15"/>
  <c r="T755" i="15"/>
  <c r="T756" i="15"/>
  <c r="T757" i="15"/>
  <c r="T758" i="15"/>
  <c r="T759" i="15"/>
  <c r="T760" i="15"/>
  <c r="T761" i="15"/>
  <c r="T762" i="15"/>
  <c r="T763" i="15"/>
  <c r="T764" i="15"/>
  <c r="T765" i="15"/>
  <c r="T766" i="15"/>
  <c r="T767" i="15"/>
  <c r="T768" i="15"/>
  <c r="T769" i="15"/>
  <c r="T770" i="15"/>
  <c r="T771" i="15"/>
  <c r="T772" i="15"/>
  <c r="T773" i="15"/>
  <c r="T774" i="15"/>
  <c r="T775" i="15"/>
  <c r="T776" i="15"/>
  <c r="T777" i="15"/>
  <c r="T778" i="15"/>
  <c r="T779" i="15"/>
  <c r="T780" i="15"/>
  <c r="T781" i="15"/>
  <c r="T782" i="15"/>
  <c r="T783" i="15"/>
  <c r="T784" i="15"/>
  <c r="T785" i="15"/>
  <c r="T786" i="15"/>
  <c r="T787" i="15"/>
  <c r="T788" i="15"/>
  <c r="T789" i="15"/>
  <c r="T790" i="15"/>
  <c r="T791" i="15"/>
  <c r="T792" i="15"/>
  <c r="T793" i="15"/>
  <c r="T794" i="15"/>
  <c r="T795" i="15"/>
  <c r="T796" i="15"/>
  <c r="T797" i="15"/>
  <c r="T798" i="15"/>
  <c r="T799" i="15"/>
  <c r="T800" i="15"/>
  <c r="T801" i="15"/>
  <c r="T802" i="15"/>
  <c r="T803" i="15"/>
  <c r="T804" i="15"/>
  <c r="T805" i="15"/>
  <c r="T806" i="15"/>
  <c r="T807" i="15"/>
  <c r="T808" i="15"/>
  <c r="T809" i="15"/>
  <c r="T810" i="15"/>
  <c r="T811" i="15"/>
  <c r="T812" i="15"/>
  <c r="T813" i="15"/>
  <c r="T814" i="15"/>
  <c r="T815" i="15"/>
  <c r="T816" i="15"/>
  <c r="T817" i="15"/>
  <c r="T818" i="15"/>
  <c r="T819" i="15"/>
  <c r="T820" i="15"/>
  <c r="T821" i="15"/>
  <c r="T822" i="15"/>
  <c r="T823" i="15"/>
  <c r="T824" i="15"/>
  <c r="T825" i="15"/>
  <c r="T826" i="15"/>
  <c r="T827" i="15"/>
  <c r="T828" i="15"/>
  <c r="T829" i="15"/>
  <c r="T830" i="15"/>
  <c r="T831" i="15"/>
  <c r="T832" i="15"/>
  <c r="T833" i="15"/>
  <c r="T834" i="15"/>
  <c r="T835" i="15"/>
  <c r="T836" i="15"/>
  <c r="T837" i="15"/>
  <c r="T838" i="15"/>
  <c r="T839" i="15"/>
  <c r="T840" i="15"/>
  <c r="T841" i="15"/>
  <c r="T842" i="15"/>
  <c r="T843" i="15"/>
  <c r="T844" i="15"/>
  <c r="T845" i="15"/>
  <c r="T846" i="15"/>
  <c r="T847" i="15"/>
  <c r="T848" i="15"/>
  <c r="T849" i="15"/>
  <c r="T850" i="15"/>
  <c r="T851" i="15"/>
  <c r="T852" i="15"/>
  <c r="T853" i="15"/>
  <c r="T854" i="15"/>
  <c r="T855" i="15"/>
  <c r="T856" i="15"/>
  <c r="T857" i="15"/>
  <c r="T858" i="15"/>
  <c r="T859" i="15"/>
  <c r="T860" i="15"/>
  <c r="T861" i="15"/>
  <c r="T862" i="15"/>
  <c r="T863" i="15"/>
  <c r="T864" i="15"/>
  <c r="T865" i="15"/>
  <c r="T866" i="15"/>
  <c r="T867" i="15"/>
  <c r="T868" i="15"/>
  <c r="T869" i="15"/>
  <c r="T870" i="15"/>
  <c r="T871" i="15"/>
  <c r="T872" i="15"/>
  <c r="T873" i="15"/>
  <c r="T874" i="15"/>
  <c r="T875" i="15"/>
  <c r="T876" i="15"/>
  <c r="T877" i="15"/>
  <c r="T878" i="15"/>
  <c r="T879" i="15"/>
  <c r="T882" i="15"/>
  <c r="T883" i="15"/>
  <c r="T884" i="15"/>
  <c r="T885" i="15"/>
  <c r="T887" i="15"/>
  <c r="T888" i="15"/>
  <c r="T889" i="15"/>
  <c r="T890" i="15"/>
  <c r="T891" i="15"/>
  <c r="T892" i="15"/>
  <c r="T893" i="15"/>
  <c r="T897" i="15"/>
  <c r="T898" i="15"/>
  <c r="T899" i="15"/>
  <c r="T900" i="15"/>
  <c r="T901" i="15"/>
  <c r="T902" i="15"/>
  <c r="T903" i="15"/>
  <c r="T904" i="15"/>
  <c r="T905" i="15"/>
  <c r="T906" i="15"/>
  <c r="T907" i="15"/>
  <c r="T908" i="15"/>
  <c r="T909" i="15"/>
  <c r="T910" i="15"/>
  <c r="T911" i="15"/>
  <c r="T913" i="15"/>
  <c r="T922" i="15"/>
  <c r="T923" i="15"/>
  <c r="T924" i="15"/>
  <c r="T925" i="15"/>
  <c r="T926" i="15"/>
  <c r="T927" i="15"/>
  <c r="T928" i="15"/>
  <c r="T929" i="15"/>
  <c r="T930" i="15"/>
  <c r="T931" i="15"/>
  <c r="T932" i="15"/>
  <c r="T933" i="15"/>
  <c r="T934" i="15"/>
  <c r="T935" i="15"/>
  <c r="T955" i="15"/>
  <c r="T956" i="15"/>
  <c r="T957" i="15"/>
  <c r="T958" i="15"/>
  <c r="T959" i="15"/>
  <c r="T960" i="15"/>
  <c r="T962" i="15"/>
  <c r="T963" i="15"/>
  <c r="T964" i="15"/>
  <c r="T965" i="15"/>
  <c r="T966" i="15"/>
  <c r="T967" i="15"/>
  <c r="T968" i="15"/>
  <c r="T971" i="15"/>
  <c r="T972" i="15"/>
  <c r="T973" i="15"/>
  <c r="T974" i="15"/>
  <c r="T975" i="15"/>
  <c r="T976" i="15"/>
  <c r="T977" i="15"/>
  <c r="T978" i="15"/>
  <c r="T979" i="15"/>
  <c r="T981" i="15"/>
  <c r="T982" i="15"/>
  <c r="T983" i="15"/>
  <c r="T984" i="15"/>
  <c r="T985" i="15"/>
  <c r="T986" i="15"/>
  <c r="T987" i="15"/>
  <c r="T988" i="15"/>
  <c r="T989" i="15"/>
  <c r="T990" i="15"/>
  <c r="T991" i="15"/>
  <c r="T992" i="15"/>
  <c r="T993" i="15"/>
  <c r="T994" i="15"/>
  <c r="T995" i="15"/>
  <c r="T996" i="15"/>
  <c r="T997" i="15"/>
  <c r="T998" i="15"/>
  <c r="T999" i="15"/>
  <c r="H970" i="15"/>
  <c r="Q970" i="15" s="1"/>
  <c r="U970" i="15" s="1"/>
  <c r="H1004" i="15"/>
  <c r="Q1004" i="15" s="1"/>
  <c r="U1004" i="15" s="1"/>
  <c r="H1003" i="15"/>
  <c r="Q1003" i="15" s="1"/>
  <c r="U1003" i="15" s="1"/>
  <c r="Q1002" i="15"/>
  <c r="U1002" i="15" s="1"/>
  <c r="H195" i="15"/>
  <c r="T178" i="15" l="1"/>
  <c r="U178" i="15"/>
  <c r="F7" i="21"/>
  <c r="G7" i="21" s="1"/>
  <c r="F6" i="21"/>
  <c r="G6" i="21" s="1"/>
  <c r="P29" i="15"/>
  <c r="P28" i="15" s="1"/>
  <c r="P961" i="15"/>
  <c r="Q195" i="15"/>
  <c r="U195" i="15" s="1"/>
  <c r="P185" i="15"/>
  <c r="Q185" i="15" s="1"/>
  <c r="U185" i="15" s="1"/>
  <c r="H152" i="15"/>
  <c r="Q152" i="15" s="1"/>
  <c r="U152" i="15" s="1"/>
  <c r="R69" i="15"/>
  <c r="S973" i="15"/>
  <c r="U968" i="15"/>
  <c r="U967" i="15"/>
  <c r="U966" i="15"/>
  <c r="U965" i="15"/>
  <c r="U964" i="15"/>
  <c r="U963" i="15"/>
  <c r="U962" i="15"/>
  <c r="U960" i="15"/>
  <c r="U959" i="15"/>
  <c r="S568" i="15"/>
  <c r="S174" i="15"/>
  <c r="S173" i="15"/>
  <c r="S161" i="15"/>
  <c r="S158" i="15"/>
  <c r="S144" i="15"/>
  <c r="S143" i="15"/>
  <c r="S142" i="15"/>
  <c r="S139" i="15"/>
  <c r="S136" i="15"/>
  <c r="S135" i="15"/>
  <c r="S134" i="15"/>
  <c r="S133" i="15"/>
  <c r="S132" i="15"/>
  <c r="S131" i="15"/>
  <c r="S130" i="15"/>
  <c r="S129" i="15"/>
  <c r="S128" i="15"/>
  <c r="S126" i="15"/>
  <c r="S125" i="15"/>
  <c r="S124" i="15"/>
  <c r="S123" i="15"/>
  <c r="S122" i="15"/>
  <c r="S116" i="15"/>
  <c r="S115" i="15"/>
  <c r="S114" i="15"/>
  <c r="S113" i="15"/>
  <c r="S112" i="15"/>
  <c r="S111" i="15"/>
  <c r="S110" i="15"/>
  <c r="S109" i="15"/>
  <c r="S108" i="15"/>
  <c r="S105" i="15"/>
  <c r="S104" i="15"/>
  <c r="S103" i="15"/>
  <c r="S102" i="15"/>
  <c r="S101" i="15"/>
  <c r="S100" i="15"/>
  <c r="S99" i="15"/>
  <c r="S98" i="15"/>
  <c r="S97" i="15"/>
  <c r="S96" i="15"/>
  <c r="S94" i="15"/>
  <c r="S93" i="15"/>
  <c r="S92" i="15"/>
  <c r="S91" i="15"/>
  <c r="S90" i="15"/>
  <c r="S89" i="15"/>
  <c r="S88" i="15"/>
  <c r="S87" i="15"/>
  <c r="S86" i="15"/>
  <c r="S85" i="15"/>
  <c r="S64" i="15"/>
  <c r="S63" i="15"/>
  <c r="S62" i="15"/>
  <c r="S61" i="15"/>
  <c r="S60" i="15"/>
  <c r="S59" i="15"/>
  <c r="S58" i="15"/>
  <c r="S57" i="15"/>
  <c r="S56" i="15"/>
  <c r="S55" i="15"/>
  <c r="S53" i="15"/>
  <c r="S52" i="15"/>
  <c r="S51" i="15"/>
  <c r="S50" i="15"/>
  <c r="S49" i="15"/>
  <c r="S48" i="15"/>
  <c r="S47" i="15"/>
  <c r="S46" i="15"/>
  <c r="S45" i="15"/>
  <c r="S44" i="15"/>
  <c r="S42" i="15"/>
  <c r="S41" i="15"/>
  <c r="S40" i="15"/>
  <c r="S39" i="15"/>
  <c r="S38" i="15"/>
  <c r="S37" i="15"/>
  <c r="S36" i="15"/>
  <c r="S32" i="15"/>
  <c r="S31" i="15"/>
  <c r="S27" i="15"/>
  <c r="S25" i="15"/>
  <c r="S23" i="15"/>
  <c r="Q176" i="15" l="1"/>
  <c r="T69" i="15"/>
  <c r="S69" i="15"/>
  <c r="U69" i="15" s="1"/>
  <c r="T961" i="15"/>
  <c r="Q961" i="15"/>
  <c r="T28" i="15"/>
  <c r="S958" i="15"/>
  <c r="S172" i="15"/>
  <c r="S1006" i="15"/>
  <c r="S141" i="15"/>
  <c r="S614" i="15"/>
  <c r="S198" i="15"/>
  <c r="S682" i="15"/>
  <c r="S982" i="15"/>
  <c r="S206" i="15"/>
  <c r="T185" i="15"/>
  <c r="S368" i="15"/>
  <c r="S572" i="15"/>
  <c r="S868" i="15"/>
  <c r="S839" i="15"/>
  <c r="S887" i="15"/>
  <c r="S972" i="15"/>
  <c r="S514" i="15"/>
  <c r="S34" i="15"/>
  <c r="S164" i="15"/>
  <c r="S447" i="15"/>
  <c r="S533" i="15"/>
  <c r="S627" i="15"/>
  <c r="S406" i="15"/>
  <c r="S146" i="15"/>
  <c r="S28" i="15"/>
  <c r="S21" i="15" s="1"/>
  <c r="T29" i="15"/>
  <c r="G8" i="21"/>
  <c r="W29" i="15" s="1"/>
  <c r="G29" i="15" s="1"/>
  <c r="U961" i="15" l="1"/>
  <c r="S405" i="15"/>
  <c r="S205" i="15" s="1"/>
  <c r="V61" i="1"/>
  <c r="H29" i="15"/>
  <c r="Q29" i="15" s="1"/>
  <c r="U29" i="15" s="1"/>
  <c r="F10" i="4"/>
  <c r="G61" i="1" l="1"/>
  <c r="D30" i="18"/>
  <c r="H61" i="1" l="1"/>
  <c r="Q61" i="1" s="1"/>
  <c r="U61" i="1" s="1"/>
  <c r="G106" i="1"/>
  <c r="H106" i="1" s="1"/>
  <c r="Q106" i="1" s="1"/>
  <c r="AC24" i="15"/>
  <c r="AC26" i="15"/>
  <c r="AC30" i="15"/>
  <c r="AC33" i="15"/>
  <c r="AC34" i="15"/>
  <c r="AC35" i="15"/>
  <c r="AC43" i="15"/>
  <c r="AC54" i="15"/>
  <c r="AC65" i="15"/>
  <c r="AC66" i="15"/>
  <c r="AC81" i="15"/>
  <c r="AC82" i="15"/>
  <c r="AC83" i="15"/>
  <c r="AC84" i="15"/>
  <c r="AC95" i="15"/>
  <c r="AC106" i="15"/>
  <c r="AC121" i="15"/>
  <c r="AC127" i="15"/>
  <c r="AC137" i="15"/>
  <c r="AC138" i="15"/>
  <c r="AC140" i="15"/>
  <c r="AC141" i="15"/>
  <c r="AC145" i="15"/>
  <c r="AC146" i="15"/>
  <c r="AC147" i="15"/>
  <c r="AC154" i="15"/>
  <c r="AC157" i="15"/>
  <c r="AC158" i="15"/>
  <c r="AC160" i="15"/>
  <c r="AC161" i="15"/>
  <c r="AC163" i="15"/>
  <c r="AC164" i="15"/>
  <c r="AC171" i="15"/>
  <c r="AC172" i="15"/>
  <c r="AC175" i="15"/>
  <c r="AC176" i="15"/>
  <c r="AC187" i="15"/>
  <c r="AC188" i="15"/>
  <c r="AC197" i="15"/>
  <c r="AC198" i="15"/>
  <c r="AC204" i="15"/>
  <c r="AC205" i="15"/>
  <c r="AC206" i="15"/>
  <c r="AC207" i="15"/>
  <c r="AC208" i="15"/>
  <c r="AC243" i="15"/>
  <c r="AC262" i="15"/>
  <c r="AC264" i="15"/>
  <c r="AC271" i="15"/>
  <c r="AC277" i="15"/>
  <c r="AC278" i="15"/>
  <c r="AC299" i="15"/>
  <c r="AC304" i="15"/>
  <c r="AC305" i="15"/>
  <c r="AC339" i="15"/>
  <c r="AC353" i="15"/>
  <c r="AC354" i="15"/>
  <c r="AC362" i="15"/>
  <c r="AC367" i="15"/>
  <c r="AC368" i="15"/>
  <c r="AC369" i="15"/>
  <c r="AC370" i="15"/>
  <c r="AC385" i="15"/>
  <c r="AC404" i="15"/>
  <c r="AC405" i="15"/>
  <c r="AC406" i="15"/>
  <c r="AC407" i="15"/>
  <c r="AC430" i="15"/>
  <c r="AC434" i="15"/>
  <c r="AC442" i="15"/>
  <c r="AC446" i="15"/>
  <c r="AC447" i="15"/>
  <c r="AC448" i="15"/>
  <c r="AC469" i="15"/>
  <c r="AC500" i="15"/>
  <c r="AC504" i="15"/>
  <c r="AC507" i="15"/>
  <c r="AC509" i="15"/>
  <c r="AC513" i="15"/>
  <c r="AC514" i="15"/>
  <c r="AC515" i="15"/>
  <c r="AC517" i="15"/>
  <c r="AC526" i="15"/>
  <c r="AC529" i="15"/>
  <c r="AC532" i="15"/>
  <c r="AC533" i="15"/>
  <c r="AC534" i="15"/>
  <c r="AC540" i="15"/>
  <c r="AC547" i="15"/>
  <c r="AC562" i="15"/>
  <c r="AC564" i="15"/>
  <c r="AC567" i="15"/>
  <c r="AC568" i="15"/>
  <c r="AC571" i="15"/>
  <c r="AC572" i="15"/>
  <c r="AC573" i="15"/>
  <c r="AC594" i="15"/>
  <c r="AC601" i="15"/>
  <c r="AC606" i="15"/>
  <c r="AC609" i="15"/>
  <c r="AC613" i="15"/>
  <c r="AC614" i="15"/>
  <c r="AC615" i="15"/>
  <c r="AC617" i="15"/>
  <c r="AC619" i="15"/>
  <c r="AC621" i="15"/>
  <c r="AC626" i="15"/>
  <c r="AC627" i="15"/>
  <c r="AC628" i="15"/>
  <c r="AC635" i="15"/>
  <c r="AC653" i="15"/>
  <c r="AC657" i="15"/>
  <c r="AC667" i="15"/>
  <c r="AC669" i="15"/>
  <c r="AC679" i="15"/>
  <c r="AC681" i="15"/>
  <c r="AC682" i="15"/>
  <c r="AC683" i="15"/>
  <c r="AC695" i="15"/>
  <c r="AC707" i="15"/>
  <c r="AC719" i="15"/>
  <c r="AC732" i="15"/>
  <c r="AC747" i="15"/>
  <c r="AC760" i="15"/>
  <c r="AC772" i="15"/>
  <c r="AC787" i="15"/>
  <c r="AC802" i="15"/>
  <c r="AC817" i="15"/>
  <c r="AC822" i="15"/>
  <c r="AC828" i="15"/>
  <c r="AC833" i="15"/>
  <c r="AC838" i="15"/>
  <c r="AC839" i="15"/>
  <c r="AC840" i="15"/>
  <c r="AC848" i="15"/>
  <c r="AC851" i="15"/>
  <c r="AC856" i="15"/>
  <c r="AC867" i="15"/>
  <c r="AC868" i="15"/>
  <c r="AC869" i="15"/>
  <c r="AC876" i="15"/>
  <c r="AC879" i="15"/>
  <c r="AC886" i="15"/>
  <c r="AC887" i="15"/>
  <c r="AC888" i="15"/>
  <c r="AC889" i="15"/>
  <c r="AC897" i="15"/>
  <c r="AC900" i="15"/>
  <c r="AC922" i="15"/>
  <c r="AC927" i="15"/>
  <c r="AC955" i="15"/>
  <c r="AC957" i="15"/>
  <c r="AC958" i="15"/>
  <c r="AC971" i="15"/>
  <c r="AC972" i="15"/>
  <c r="AC976" i="15"/>
  <c r="AC977" i="15"/>
  <c r="AC981" i="15"/>
  <c r="AC982" i="15"/>
  <c r="AC983" i="15"/>
  <c r="AC985" i="15"/>
  <c r="AC989" i="15"/>
  <c r="AC1005" i="15"/>
  <c r="AC1006" i="15"/>
  <c r="I106" i="1" l="1"/>
  <c r="U106" i="1"/>
  <c r="G24" i="1"/>
  <c r="Z24" i="1" s="1"/>
  <c r="G25" i="1"/>
  <c r="Z25" i="1" s="1"/>
  <c r="G26" i="1"/>
  <c r="G27" i="1"/>
  <c r="Z27" i="1" s="1"/>
  <c r="G28" i="1"/>
  <c r="Z28" i="1" s="1"/>
  <c r="G29" i="1"/>
  <c r="Z29" i="1" s="1"/>
  <c r="G30" i="1"/>
  <c r="Z30" i="1" s="1"/>
  <c r="G31" i="1"/>
  <c r="Z31" i="1" s="1"/>
  <c r="G32" i="1"/>
  <c r="Z32" i="1" s="1"/>
  <c r="Z34" i="1"/>
  <c r="Z35" i="1"/>
  <c r="Z36" i="1"/>
  <c r="G37" i="1"/>
  <c r="Z37" i="1" s="1"/>
  <c r="G38" i="1"/>
  <c r="Z38" i="1" s="1"/>
  <c r="G39" i="1"/>
  <c r="G40" i="1"/>
  <c r="Z40" i="1" s="1"/>
  <c r="G41" i="1"/>
  <c r="Z41" i="1" s="1"/>
  <c r="G42" i="1"/>
  <c r="Z42" i="1" s="1"/>
  <c r="G43" i="1"/>
  <c r="Z43" i="1" s="1"/>
  <c r="G44" i="1"/>
  <c r="Z44" i="1" s="1"/>
  <c r="G45" i="1"/>
  <c r="Z45" i="1" s="1"/>
  <c r="G46" i="1"/>
  <c r="Z50" i="1"/>
  <c r="G51" i="1"/>
  <c r="Z52" i="1"/>
  <c r="Z53" i="1"/>
  <c r="Z54" i="1"/>
  <c r="G55" i="1"/>
  <c r="Z55" i="1" s="1"/>
  <c r="Z56" i="1"/>
  <c r="G57" i="1"/>
  <c r="G1125" i="1" s="1"/>
  <c r="H1125" i="1" s="1"/>
  <c r="Z58" i="1"/>
  <c r="G59" i="1"/>
  <c r="Z59" i="1" s="1"/>
  <c r="G60" i="1"/>
  <c r="Z60" i="1" s="1"/>
  <c r="Z62" i="1"/>
  <c r="G63" i="1"/>
  <c r="G1123" i="1" s="1"/>
  <c r="H1123" i="1" s="1"/>
  <c r="Q1123" i="1" s="1"/>
  <c r="G64" i="1"/>
  <c r="Z64" i="1" s="1"/>
  <c r="Z65" i="1"/>
  <c r="Z66" i="1"/>
  <c r="Z67" i="1"/>
  <c r="G68" i="1"/>
  <c r="Z68" i="1" s="1"/>
  <c r="G69" i="1"/>
  <c r="Z69" i="1" s="1"/>
  <c r="G70" i="1"/>
  <c r="G128" i="1" s="1"/>
  <c r="H128" i="1" s="1"/>
  <c r="Q128" i="1" s="1"/>
  <c r="G71" i="1"/>
  <c r="G72" i="1"/>
  <c r="Z72" i="1" s="1"/>
  <c r="G73" i="1"/>
  <c r="Z73" i="1" s="1"/>
  <c r="G74" i="1"/>
  <c r="G75" i="1"/>
  <c r="Z76" i="1"/>
  <c r="G77" i="1"/>
  <c r="Z77" i="1" s="1"/>
  <c r="G78" i="1"/>
  <c r="Z78" i="1" s="1"/>
  <c r="G79" i="1"/>
  <c r="Z79" i="1" s="1"/>
  <c r="G80" i="1"/>
  <c r="Z80" i="1" s="1"/>
  <c r="G81" i="1"/>
  <c r="G82" i="1"/>
  <c r="Z82" i="1" s="1"/>
  <c r="G83" i="1"/>
  <c r="Z83" i="1" s="1"/>
  <c r="G84" i="1"/>
  <c r="Z84" i="1" s="1"/>
  <c r="G85" i="1"/>
  <c r="Z85" i="1" s="1"/>
  <c r="G86" i="1"/>
  <c r="Z86" i="1" s="1"/>
  <c r="G87" i="1"/>
  <c r="Z87" i="1" s="1"/>
  <c r="G88" i="1"/>
  <c r="Z88" i="1" s="1"/>
  <c r="Z89" i="1"/>
  <c r="G90" i="1"/>
  <c r="Z90" i="1" s="1"/>
  <c r="G91" i="1"/>
  <c r="Z91" i="1" s="1"/>
  <c r="G92" i="1"/>
  <c r="Z92" i="1" s="1"/>
  <c r="G93" i="1"/>
  <c r="Z93" i="1" s="1"/>
  <c r="G94" i="1"/>
  <c r="Z94" i="1" s="1"/>
  <c r="G95" i="1"/>
  <c r="Z95" i="1" s="1"/>
  <c r="G96" i="1"/>
  <c r="Z96" i="1" s="1"/>
  <c r="G97" i="1"/>
  <c r="Z97" i="1" s="1"/>
  <c r="G98" i="1"/>
  <c r="Z98" i="1" s="1"/>
  <c r="G99" i="1"/>
  <c r="Z99" i="1" s="1"/>
  <c r="G100" i="1"/>
  <c r="Z100" i="1" s="1"/>
  <c r="Z134" i="1"/>
  <c r="Z135" i="1"/>
  <c r="G136" i="1"/>
  <c r="G1140" i="1" s="1"/>
  <c r="H1140" i="1" s="1"/>
  <c r="I1140" i="1" s="1"/>
  <c r="G137" i="1"/>
  <c r="Z137" i="1" s="1"/>
  <c r="G138" i="1"/>
  <c r="Z138" i="1" s="1"/>
  <c r="G139" i="1"/>
  <c r="Z139" i="1" s="1"/>
  <c r="G140" i="1"/>
  <c r="Z140" i="1" s="1"/>
  <c r="G141" i="1"/>
  <c r="Z141" i="1" s="1"/>
  <c r="G142" i="1"/>
  <c r="Z142" i="1" s="1"/>
  <c r="G143" i="1"/>
  <c r="G144" i="1"/>
  <c r="G1141" i="1" s="1"/>
  <c r="H1141" i="1" s="1"/>
  <c r="I1141" i="1" s="1"/>
  <c r="G145" i="1"/>
  <c r="G146" i="1"/>
  <c r="Z146" i="1" s="1"/>
  <c r="G147" i="1"/>
  <c r="G1142" i="1" s="1"/>
  <c r="H1142" i="1" s="1"/>
  <c r="I1142" i="1" s="1"/>
  <c r="G148" i="1"/>
  <c r="Z148" i="1" s="1"/>
  <c r="Z149" i="1"/>
  <c r="Z150" i="1"/>
  <c r="Z151" i="1"/>
  <c r="Z152" i="1"/>
  <c r="G153" i="1"/>
  <c r="G129" i="1" s="1"/>
  <c r="H129" i="1" s="1"/>
  <c r="G154" i="1"/>
  <c r="G155" i="1"/>
  <c r="Z155" i="1" s="1"/>
  <c r="G156" i="1"/>
  <c r="Z156" i="1" s="1"/>
  <c r="G157" i="1"/>
  <c r="G158" i="1"/>
  <c r="Z158" i="1" s="1"/>
  <c r="G159" i="1"/>
  <c r="Z159" i="1" s="1"/>
  <c r="G160" i="1"/>
  <c r="Z160" i="1" s="1"/>
  <c r="G161" i="1"/>
  <c r="Z161" i="1" s="1"/>
  <c r="G162" i="1"/>
  <c r="Z163" i="1"/>
  <c r="G164" i="1"/>
  <c r="G130" i="1" s="1"/>
  <c r="H130" i="1" s="1"/>
  <c r="G165" i="1"/>
  <c r="G166" i="1"/>
  <c r="G167" i="1"/>
  <c r="Z167" i="1" s="1"/>
  <c r="G168" i="1"/>
  <c r="G169" i="1"/>
  <c r="G170" i="1"/>
  <c r="Z170" i="1" s="1"/>
  <c r="G171" i="1"/>
  <c r="Z171" i="1" s="1"/>
  <c r="G172" i="1"/>
  <c r="Z172" i="1" s="1"/>
  <c r="G173" i="1"/>
  <c r="G1136" i="1" s="1"/>
  <c r="Z174" i="1"/>
  <c r="G175" i="1"/>
  <c r="Z175" i="1" s="1"/>
  <c r="G176" i="1"/>
  <c r="Z176" i="1" s="1"/>
  <c r="G177" i="1"/>
  <c r="Z177" i="1" s="1"/>
  <c r="G178" i="1"/>
  <c r="Z178" i="1" s="1"/>
  <c r="G179" i="1"/>
  <c r="Z179" i="1" s="1"/>
  <c r="G180" i="1"/>
  <c r="Z180" i="1" s="1"/>
  <c r="G181" i="1"/>
  <c r="Z181" i="1" s="1"/>
  <c r="G182" i="1"/>
  <c r="Z182" i="1" s="1"/>
  <c r="G183" i="1"/>
  <c r="G184" i="1"/>
  <c r="Z184" i="1" s="1"/>
  <c r="Z188" i="1"/>
  <c r="G189" i="1"/>
  <c r="Z189" i="1" s="1"/>
  <c r="G190" i="1"/>
  <c r="Z190" i="1" s="1"/>
  <c r="G191" i="1"/>
  <c r="Z191" i="1" s="1"/>
  <c r="G192" i="1"/>
  <c r="Z192" i="1" s="1"/>
  <c r="G193" i="1"/>
  <c r="Z193" i="1" s="1"/>
  <c r="Z194" i="1"/>
  <c r="G195" i="1"/>
  <c r="Z195" i="1" s="1"/>
  <c r="G196" i="1"/>
  <c r="Z196" i="1" s="1"/>
  <c r="G197" i="1"/>
  <c r="Z197" i="1" s="1"/>
  <c r="G198" i="1"/>
  <c r="Z198" i="1" s="1"/>
  <c r="G199" i="1"/>
  <c r="Z199" i="1" s="1"/>
  <c r="G200" i="1"/>
  <c r="Z200" i="1" s="1"/>
  <c r="G201" i="1"/>
  <c r="Z201" i="1" s="1"/>
  <c r="G202" i="1"/>
  <c r="Z202" i="1" s="1"/>
  <c r="G203" i="1"/>
  <c r="Z203" i="1" s="1"/>
  <c r="G204" i="1"/>
  <c r="Z204" i="1" s="1"/>
  <c r="Z205" i="1"/>
  <c r="Z206" i="1"/>
  <c r="G207" i="1"/>
  <c r="Z207" i="1" s="1"/>
  <c r="G208" i="1"/>
  <c r="Z208" i="1" s="1"/>
  <c r="Z209" i="1"/>
  <c r="G210" i="1"/>
  <c r="Z211" i="1"/>
  <c r="Z212" i="1"/>
  <c r="G213" i="1"/>
  <c r="Z213" i="1" s="1"/>
  <c r="G214" i="1"/>
  <c r="Z214" i="1" s="1"/>
  <c r="Z215" i="1"/>
  <c r="Z216" i="1"/>
  <c r="Z217" i="1"/>
  <c r="G218" i="1"/>
  <c r="G219" i="1"/>
  <c r="Z219" i="1" s="1"/>
  <c r="G220" i="1"/>
  <c r="Z220" i="1" s="1"/>
  <c r="G221" i="1"/>
  <c r="Z221" i="1" s="1"/>
  <c r="G222" i="1"/>
  <c r="G223" i="1"/>
  <c r="Z223" i="1" s="1"/>
  <c r="G224" i="1"/>
  <c r="Z224" i="1" s="1"/>
  <c r="G225" i="1"/>
  <c r="Z229" i="1"/>
  <c r="G230" i="1"/>
  <c r="Z230" i="1" s="1"/>
  <c r="Z231" i="1"/>
  <c r="Z232" i="1"/>
  <c r="G233" i="1"/>
  <c r="Z233" i="1" s="1"/>
  <c r="G234" i="1"/>
  <c r="Z234" i="1" s="1"/>
  <c r="G235" i="1"/>
  <c r="Z235" i="1" s="1"/>
  <c r="G236" i="1"/>
  <c r="Z236" i="1" s="1"/>
  <c r="G237" i="1"/>
  <c r="Z237" i="1" s="1"/>
  <c r="Z238" i="1"/>
  <c r="Z239" i="1"/>
  <c r="G240" i="1"/>
  <c r="Z240" i="1" s="1"/>
  <c r="Z241" i="1"/>
  <c r="Z242" i="1"/>
  <c r="G243" i="1"/>
  <c r="G244" i="1"/>
  <c r="G245" i="1"/>
  <c r="Z245" i="1" s="1"/>
  <c r="G246" i="1"/>
  <c r="G1147" i="1" s="1"/>
  <c r="H1147" i="1" s="1"/>
  <c r="I1147" i="1" s="1"/>
  <c r="G247" i="1"/>
  <c r="Z247" i="1" s="1"/>
  <c r="G248" i="1"/>
  <c r="Z249" i="1"/>
  <c r="Z250" i="1"/>
  <c r="G251" i="1"/>
  <c r="Z251" i="1" s="1"/>
  <c r="Z252" i="1"/>
  <c r="Z253" i="1"/>
  <c r="G254" i="1"/>
  <c r="G1143" i="1" s="1"/>
  <c r="H1143" i="1" s="1"/>
  <c r="I1143" i="1" s="1"/>
  <c r="G255" i="1"/>
  <c r="G256" i="1"/>
  <c r="G257" i="1"/>
  <c r="Z257" i="1" s="1"/>
  <c r="G258" i="1"/>
  <c r="Z258" i="1" s="1"/>
  <c r="G259" i="1"/>
  <c r="Z259" i="1" s="1"/>
  <c r="G260" i="1"/>
  <c r="Z260" i="1" s="1"/>
  <c r="G261" i="1"/>
  <c r="Z261" i="1" s="1"/>
  <c r="G262" i="1"/>
  <c r="G1144" i="1" s="1"/>
  <c r="H1144" i="1" s="1"/>
  <c r="I1144" i="1" s="1"/>
  <c r="G263" i="1"/>
  <c r="Z263" i="1" s="1"/>
  <c r="G264" i="1"/>
  <c r="Z264" i="1" s="1"/>
  <c r="G265" i="1"/>
  <c r="Z265" i="1" s="1"/>
  <c r="G266" i="1"/>
  <c r="G267" i="1"/>
  <c r="Z267" i="1" s="1"/>
  <c r="Z269" i="1"/>
  <c r="Z270" i="1"/>
  <c r="G271" i="1"/>
  <c r="G1145" i="1" s="1"/>
  <c r="H1145" i="1" s="1"/>
  <c r="I1145" i="1" s="1"/>
  <c r="G272" i="1"/>
  <c r="Z272" i="1" s="1"/>
  <c r="G273" i="1"/>
  <c r="G274" i="1"/>
  <c r="Z274" i="1" s="1"/>
  <c r="G275" i="1"/>
  <c r="Z275" i="1" s="1"/>
  <c r="G276" i="1"/>
  <c r="Z276" i="1" s="1"/>
  <c r="Z279" i="1"/>
  <c r="Z280" i="1"/>
  <c r="G281" i="1"/>
  <c r="Z281" i="1" s="1"/>
  <c r="G282" i="1"/>
  <c r="Z282" i="1" s="1"/>
  <c r="G283" i="1"/>
  <c r="Z283" i="1" s="1"/>
  <c r="G284" i="1"/>
  <c r="G285" i="1"/>
  <c r="Z285" i="1" s="1"/>
  <c r="Z286" i="1"/>
  <c r="Z287" i="1"/>
  <c r="Z288" i="1"/>
  <c r="Z289" i="1"/>
  <c r="Z290" i="1"/>
  <c r="G291" i="1"/>
  <c r="Z291" i="1" s="1"/>
  <c r="G292" i="1"/>
  <c r="Z292" i="1" s="1"/>
  <c r="G293" i="1"/>
  <c r="Z293" i="1" s="1"/>
  <c r="G294" i="1"/>
  <c r="Z294" i="1" s="1"/>
  <c r="G295" i="1"/>
  <c r="Z295" i="1" s="1"/>
  <c r="G296" i="1"/>
  <c r="Z296" i="1" s="1"/>
  <c r="G297" i="1"/>
  <c r="Z297" i="1" s="1"/>
  <c r="G298" i="1"/>
  <c r="Z298" i="1" s="1"/>
  <c r="G299" i="1"/>
  <c r="Z299" i="1" s="1"/>
  <c r="G300" i="1"/>
  <c r="Z300" i="1" s="1"/>
  <c r="G301" i="1"/>
  <c r="Z301" i="1" s="1"/>
  <c r="G302" i="1"/>
  <c r="Z302" i="1" s="1"/>
  <c r="G303" i="1"/>
  <c r="Z303" i="1" s="1"/>
  <c r="G304" i="1"/>
  <c r="Z304" i="1" s="1"/>
  <c r="G305" i="1"/>
  <c r="Z305" i="1" s="1"/>
  <c r="G306" i="1"/>
  <c r="Z306" i="1" s="1"/>
  <c r="G307" i="1"/>
  <c r="Z307" i="1" s="1"/>
  <c r="G308" i="1"/>
  <c r="Z308" i="1" s="1"/>
  <c r="G309" i="1"/>
  <c r="Z309" i="1" s="1"/>
  <c r="G310" i="1"/>
  <c r="Z310" i="1" s="1"/>
  <c r="G311" i="1"/>
  <c r="Z311" i="1" s="1"/>
  <c r="G312" i="1"/>
  <c r="Z312" i="1" s="1"/>
  <c r="G313" i="1"/>
  <c r="Z313" i="1" s="1"/>
  <c r="G314" i="1"/>
  <c r="Z314" i="1" s="1"/>
  <c r="G315" i="1"/>
  <c r="Z315" i="1" s="1"/>
  <c r="G316" i="1"/>
  <c r="Z316" i="1" s="1"/>
  <c r="G317" i="1"/>
  <c r="Z317" i="1" s="1"/>
  <c r="G318" i="1"/>
  <c r="Z318" i="1" s="1"/>
  <c r="G319" i="1"/>
  <c r="Z319" i="1" s="1"/>
  <c r="G320" i="1"/>
  <c r="Z320" i="1" s="1"/>
  <c r="G321" i="1"/>
  <c r="Z321" i="1" s="1"/>
  <c r="G322" i="1"/>
  <c r="Z322" i="1" s="1"/>
  <c r="G323" i="1"/>
  <c r="Z323" i="1" s="1"/>
  <c r="G324" i="1"/>
  <c r="Z324" i="1" s="1"/>
  <c r="Z325" i="1"/>
  <c r="G326" i="1"/>
  <c r="G327" i="1"/>
  <c r="Z327" i="1" s="1"/>
  <c r="G328" i="1"/>
  <c r="Z328" i="1" s="1"/>
  <c r="G329" i="1"/>
  <c r="Z329" i="1" s="1"/>
  <c r="G330" i="1"/>
  <c r="Z330" i="1" s="1"/>
  <c r="G331" i="1"/>
  <c r="Z331" i="1" s="1"/>
  <c r="G332" i="1"/>
  <c r="Z332" i="1" s="1"/>
  <c r="G333" i="1"/>
  <c r="Z333" i="1" s="1"/>
  <c r="G334" i="1"/>
  <c r="Z334" i="1" s="1"/>
  <c r="G335" i="1"/>
  <c r="Z335" i="1" s="1"/>
  <c r="G336" i="1"/>
  <c r="Z336" i="1" s="1"/>
  <c r="G337" i="1"/>
  <c r="Z337" i="1" s="1"/>
  <c r="G338" i="1"/>
  <c r="Z338" i="1" s="1"/>
  <c r="G339" i="1"/>
  <c r="G340" i="1"/>
  <c r="Z340" i="1" s="1"/>
  <c r="G341" i="1"/>
  <c r="Z341" i="1" s="1"/>
  <c r="Z342" i="1"/>
  <c r="G343" i="1"/>
  <c r="Z343" i="1" s="1"/>
  <c r="Z344" i="1"/>
  <c r="G345" i="1"/>
  <c r="Z345" i="1" s="1"/>
  <c r="G346" i="1"/>
  <c r="Z346" i="1" s="1"/>
  <c r="G347" i="1"/>
  <c r="Z347" i="1" s="1"/>
  <c r="G348" i="1"/>
  <c r="Z348" i="1" s="1"/>
  <c r="G349" i="1"/>
  <c r="Z349" i="1" s="1"/>
  <c r="G350" i="1"/>
  <c r="Z350" i="1" s="1"/>
  <c r="Z351" i="1"/>
  <c r="G352" i="1"/>
  <c r="Z352" i="1" s="1"/>
  <c r="G353" i="1"/>
  <c r="Z353" i="1" s="1"/>
  <c r="G354" i="1"/>
  <c r="G355" i="1"/>
  <c r="Z355" i="1" s="1"/>
  <c r="Z357" i="1"/>
  <c r="Z358" i="1"/>
  <c r="G359" i="1"/>
  <c r="Z359" i="1" s="1"/>
  <c r="G360" i="1"/>
  <c r="Z360" i="1" s="1"/>
  <c r="G361" i="1"/>
  <c r="Z361" i="1" s="1"/>
  <c r="G362" i="1"/>
  <c r="Z362" i="1" s="1"/>
  <c r="G363" i="1"/>
  <c r="Z363" i="1" s="1"/>
  <c r="G364" i="1"/>
  <c r="Z364" i="1" s="1"/>
  <c r="G365" i="1"/>
  <c r="Z365" i="1" s="1"/>
  <c r="G366" i="1"/>
  <c r="Z366" i="1" s="1"/>
  <c r="G367" i="1"/>
  <c r="Z367" i="1" s="1"/>
  <c r="G368" i="1"/>
  <c r="Z368" i="1" s="1"/>
  <c r="G369" i="1"/>
  <c r="Z369" i="1" s="1"/>
  <c r="G370" i="1"/>
  <c r="Z370" i="1" s="1"/>
  <c r="G371" i="1"/>
  <c r="Z371" i="1" s="1"/>
  <c r="G372" i="1"/>
  <c r="Z372" i="1" s="1"/>
  <c r="G373" i="1"/>
  <c r="Z373" i="1" s="1"/>
  <c r="G374" i="1"/>
  <c r="Z374" i="1" s="1"/>
  <c r="G375" i="1"/>
  <c r="Z375" i="1" s="1"/>
  <c r="G376" i="1"/>
  <c r="Z376" i="1" s="1"/>
  <c r="G377" i="1"/>
  <c r="Z377" i="1" s="1"/>
  <c r="G378" i="1"/>
  <c r="Z378" i="1" s="1"/>
  <c r="Z379" i="1"/>
  <c r="G380" i="1"/>
  <c r="Z380" i="1" s="1"/>
  <c r="G381" i="1"/>
  <c r="Z381" i="1" s="1"/>
  <c r="G382" i="1"/>
  <c r="Z382" i="1" s="1"/>
  <c r="G383" i="1"/>
  <c r="Z383" i="1" s="1"/>
  <c r="Z384" i="1"/>
  <c r="Z385" i="1"/>
  <c r="G386" i="1"/>
  <c r="Z386" i="1" s="1"/>
  <c r="G387" i="1"/>
  <c r="Z387" i="1" s="1"/>
  <c r="G388" i="1"/>
  <c r="Z388" i="1" s="1"/>
  <c r="G389" i="1"/>
  <c r="Z389" i="1" s="1"/>
  <c r="G390" i="1"/>
  <c r="Z390" i="1" s="1"/>
  <c r="G391" i="1"/>
  <c r="Z391" i="1" s="1"/>
  <c r="G392" i="1"/>
  <c r="Z392" i="1" s="1"/>
  <c r="G393" i="1"/>
  <c r="Z393" i="1" s="1"/>
  <c r="G394" i="1"/>
  <c r="Z394" i="1" s="1"/>
  <c r="G395" i="1"/>
  <c r="Z395" i="1" s="1"/>
  <c r="G396" i="1"/>
  <c r="Z396" i="1" s="1"/>
  <c r="G397" i="1"/>
  <c r="Z397" i="1" s="1"/>
  <c r="G398" i="1"/>
  <c r="Z398" i="1" s="1"/>
  <c r="G399" i="1"/>
  <c r="Z399" i="1" s="1"/>
  <c r="G400" i="1"/>
  <c r="Z400" i="1" s="1"/>
  <c r="G401" i="1"/>
  <c r="Z401" i="1" s="1"/>
  <c r="G402" i="1"/>
  <c r="Z402" i="1" s="1"/>
  <c r="G403" i="1"/>
  <c r="Z403" i="1" s="1"/>
  <c r="G404" i="1"/>
  <c r="Z404" i="1" s="1"/>
  <c r="G405" i="1"/>
  <c r="Z405" i="1" s="1"/>
  <c r="G406" i="1"/>
  <c r="Z406" i="1" s="1"/>
  <c r="G407" i="1"/>
  <c r="Z407" i="1" s="1"/>
  <c r="G408" i="1"/>
  <c r="Z408" i="1" s="1"/>
  <c r="G409" i="1"/>
  <c r="Z409" i="1" s="1"/>
  <c r="G410" i="1"/>
  <c r="Z410" i="1" s="1"/>
  <c r="G411" i="1"/>
  <c r="Z411" i="1" s="1"/>
  <c r="G412" i="1"/>
  <c r="Z412" i="1" s="1"/>
  <c r="G413" i="1"/>
  <c r="Z413" i="1" s="1"/>
  <c r="G414" i="1"/>
  <c r="Z414" i="1" s="1"/>
  <c r="G415" i="1"/>
  <c r="Z415" i="1" s="1"/>
  <c r="G416" i="1"/>
  <c r="Z416" i="1" s="1"/>
  <c r="G417" i="1"/>
  <c r="Z417" i="1" s="1"/>
  <c r="G418" i="1"/>
  <c r="Z418" i="1" s="1"/>
  <c r="Z419" i="1"/>
  <c r="G420" i="1"/>
  <c r="Z420" i="1" s="1"/>
  <c r="G421" i="1"/>
  <c r="Z421" i="1" s="1"/>
  <c r="G422" i="1"/>
  <c r="Z422" i="1" s="1"/>
  <c r="Z436" i="1"/>
  <c r="Z437" i="1"/>
  <c r="G438" i="1"/>
  <c r="Z438" i="1" s="1"/>
  <c r="G439" i="1"/>
  <c r="Z439" i="1" s="1"/>
  <c r="G440" i="1"/>
  <c r="Z440" i="1" s="1"/>
  <c r="G441" i="1"/>
  <c r="Z441" i="1" s="1"/>
  <c r="G442" i="1"/>
  <c r="Z442" i="1" s="1"/>
  <c r="G443" i="1"/>
  <c r="Z443" i="1" s="1"/>
  <c r="G444" i="1"/>
  <c r="Z445" i="1"/>
  <c r="G446" i="1"/>
  <c r="Z446" i="1" s="1"/>
  <c r="G447" i="1"/>
  <c r="Z447" i="1" s="1"/>
  <c r="G448" i="1"/>
  <c r="Z448" i="1" s="1"/>
  <c r="G449" i="1"/>
  <c r="Z449" i="1" s="1"/>
  <c r="Z450" i="1"/>
  <c r="Z451" i="1"/>
  <c r="Z452" i="1"/>
  <c r="Z453" i="1"/>
  <c r="G454" i="1"/>
  <c r="Z454" i="1" s="1"/>
  <c r="G455" i="1"/>
  <c r="Z455" i="1" s="1"/>
  <c r="G456" i="1"/>
  <c r="Z456" i="1" s="1"/>
  <c r="G457" i="1"/>
  <c r="Z457" i="1" s="1"/>
  <c r="G458" i="1"/>
  <c r="Z458" i="1" s="1"/>
  <c r="G459" i="1"/>
  <c r="Z459" i="1" s="1"/>
  <c r="G460" i="1"/>
  <c r="Z460" i="1" s="1"/>
  <c r="G461" i="1"/>
  <c r="Z461" i="1" s="1"/>
  <c r="G462" i="1"/>
  <c r="Z462" i="1" s="1"/>
  <c r="G463" i="1"/>
  <c r="Z463" i="1" s="1"/>
  <c r="G464" i="1"/>
  <c r="Z464" i="1" s="1"/>
  <c r="G465" i="1"/>
  <c r="Z465" i="1" s="1"/>
  <c r="G466" i="1"/>
  <c r="Z466" i="1" s="1"/>
  <c r="G467" i="1"/>
  <c r="Z467" i="1" s="1"/>
  <c r="Z468" i="1"/>
  <c r="G469" i="1"/>
  <c r="Z469" i="1" s="1"/>
  <c r="G470" i="1"/>
  <c r="Z470" i="1" s="1"/>
  <c r="G471" i="1"/>
  <c r="Z471" i="1" s="1"/>
  <c r="G472" i="1"/>
  <c r="Z472" i="1" s="1"/>
  <c r="G473" i="1"/>
  <c r="Z473" i="1" s="1"/>
  <c r="G474" i="1"/>
  <c r="Z474" i="1" s="1"/>
  <c r="G475" i="1"/>
  <c r="Z475" i="1" s="1"/>
  <c r="G476" i="1"/>
  <c r="Z476" i="1" s="1"/>
  <c r="G477" i="1"/>
  <c r="Z477" i="1" s="1"/>
  <c r="G478" i="1"/>
  <c r="Z478" i="1" s="1"/>
  <c r="G479" i="1"/>
  <c r="Z479" i="1" s="1"/>
  <c r="G480" i="1"/>
  <c r="Z480" i="1" s="1"/>
  <c r="G481" i="1"/>
  <c r="Z481" i="1" s="1"/>
  <c r="G482" i="1"/>
  <c r="Z482" i="1" s="1"/>
  <c r="G483" i="1"/>
  <c r="Z483" i="1" s="1"/>
  <c r="G484" i="1"/>
  <c r="Z484" i="1" s="1"/>
  <c r="G485" i="1"/>
  <c r="Z485" i="1" s="1"/>
  <c r="G486" i="1"/>
  <c r="Z486" i="1" s="1"/>
  <c r="Z487" i="1"/>
  <c r="Z488" i="1"/>
  <c r="Z489" i="1"/>
  <c r="Z490" i="1"/>
  <c r="G491" i="1"/>
  <c r="G492" i="1"/>
  <c r="G493" i="1"/>
  <c r="G494" i="1"/>
  <c r="Z494" i="1" s="1"/>
  <c r="G495" i="1"/>
  <c r="G496" i="1"/>
  <c r="G497" i="1"/>
  <c r="G498" i="1"/>
  <c r="G499" i="1"/>
  <c r="Z499" i="1" s="1"/>
  <c r="G500" i="1"/>
  <c r="Z500" i="1" s="1"/>
  <c r="G501" i="1"/>
  <c r="G502" i="1"/>
  <c r="G503" i="1"/>
  <c r="G504" i="1"/>
  <c r="Z504" i="1" s="1"/>
  <c r="G505" i="1"/>
  <c r="Z505" i="1" s="1"/>
  <c r="G506" i="1"/>
  <c r="Z506" i="1" s="1"/>
  <c r="G507" i="1"/>
  <c r="Z507" i="1" s="1"/>
  <c r="G508" i="1"/>
  <c r="G509" i="1"/>
  <c r="G510" i="1"/>
  <c r="G511" i="1"/>
  <c r="Z511" i="1" s="1"/>
  <c r="G512" i="1"/>
  <c r="Z512" i="1" s="1"/>
  <c r="G513" i="1"/>
  <c r="Z513" i="1" s="1"/>
  <c r="G514" i="1"/>
  <c r="Z514" i="1" s="1"/>
  <c r="G515" i="1"/>
  <c r="Z515" i="1" s="1"/>
  <c r="G516" i="1"/>
  <c r="Z516" i="1" s="1"/>
  <c r="G517" i="1"/>
  <c r="Z517" i="1" s="1"/>
  <c r="G518" i="1"/>
  <c r="Z518" i="1" s="1"/>
  <c r="G519" i="1"/>
  <c r="Z519" i="1" s="1"/>
  <c r="G520" i="1"/>
  <c r="Z520" i="1" s="1"/>
  <c r="G521" i="1"/>
  <c r="Z521" i="1" s="1"/>
  <c r="G522" i="1"/>
  <c r="Z522" i="1" s="1"/>
  <c r="G523" i="1"/>
  <c r="Z523" i="1" s="1"/>
  <c r="G524" i="1"/>
  <c r="Z524" i="1" s="1"/>
  <c r="G525" i="1"/>
  <c r="Z525" i="1" s="1"/>
  <c r="G526" i="1"/>
  <c r="Z526" i="1" s="1"/>
  <c r="G527" i="1"/>
  <c r="Z527" i="1" s="1"/>
  <c r="G528" i="1"/>
  <c r="Z528" i="1" s="1"/>
  <c r="G529" i="1"/>
  <c r="Z529" i="1" s="1"/>
  <c r="G530" i="1"/>
  <c r="Z530" i="1" s="1"/>
  <c r="G531" i="1"/>
  <c r="Z531" i="1" s="1"/>
  <c r="G532" i="1"/>
  <c r="Z532" i="1" s="1"/>
  <c r="G533" i="1"/>
  <c r="Z533" i="1" s="1"/>
  <c r="G534" i="1"/>
  <c r="Z534" i="1" s="1"/>
  <c r="G535" i="1"/>
  <c r="Z535" i="1" s="1"/>
  <c r="G536" i="1"/>
  <c r="Z536" i="1" s="1"/>
  <c r="G537" i="1"/>
  <c r="Z537" i="1" s="1"/>
  <c r="G538" i="1"/>
  <c r="Z538" i="1" s="1"/>
  <c r="Z539" i="1"/>
  <c r="G540" i="1"/>
  <c r="Z540" i="1" s="1"/>
  <c r="G541" i="1"/>
  <c r="Z541" i="1" s="1"/>
  <c r="G542" i="1"/>
  <c r="Z542" i="1" s="1"/>
  <c r="G543" i="1"/>
  <c r="Z543" i="1" s="1"/>
  <c r="G544" i="1"/>
  <c r="Z544" i="1" s="1"/>
  <c r="G545" i="1"/>
  <c r="Z545" i="1" s="1"/>
  <c r="G546" i="1"/>
  <c r="Z546" i="1" s="1"/>
  <c r="Z547" i="1"/>
  <c r="G548" i="1"/>
  <c r="Z548" i="1" s="1"/>
  <c r="G549" i="1"/>
  <c r="Z549" i="1" s="1"/>
  <c r="G550" i="1"/>
  <c r="Z550" i="1" s="1"/>
  <c r="G551" i="1"/>
  <c r="Z551" i="1" s="1"/>
  <c r="G552" i="1"/>
  <c r="Z552" i="1" s="1"/>
  <c r="G553" i="1"/>
  <c r="Z553" i="1" s="1"/>
  <c r="G554" i="1"/>
  <c r="Z554" i="1" s="1"/>
  <c r="G555" i="1"/>
  <c r="Z555" i="1" s="1"/>
  <c r="G556" i="1"/>
  <c r="Z556" i="1" s="1"/>
  <c r="G557" i="1"/>
  <c r="Z557" i="1" s="1"/>
  <c r="Z558" i="1"/>
  <c r="G559" i="1"/>
  <c r="Z559" i="1" s="1"/>
  <c r="G560" i="1"/>
  <c r="Z560" i="1" s="1"/>
  <c r="G561" i="1"/>
  <c r="Z561" i="1" s="1"/>
  <c r="G562" i="1"/>
  <c r="Z562" i="1" s="1"/>
  <c r="G563" i="1"/>
  <c r="Z563" i="1" s="1"/>
  <c r="G564" i="1"/>
  <c r="Z564" i="1" s="1"/>
  <c r="Z565" i="1"/>
  <c r="Z566" i="1"/>
  <c r="Z567" i="1"/>
  <c r="G568" i="1"/>
  <c r="Z568" i="1" s="1"/>
  <c r="G569" i="1"/>
  <c r="Z569" i="1" s="1"/>
  <c r="G570" i="1"/>
  <c r="Z570" i="1" s="1"/>
  <c r="G571" i="1"/>
  <c r="Z571" i="1" s="1"/>
  <c r="G572" i="1"/>
  <c r="Z572" i="1" s="1"/>
  <c r="G573" i="1"/>
  <c r="Z573" i="1" s="1"/>
  <c r="G574" i="1"/>
  <c r="Z574" i="1" s="1"/>
  <c r="G575" i="1"/>
  <c r="Z575" i="1" s="1"/>
  <c r="G576" i="1"/>
  <c r="Z576" i="1" s="1"/>
  <c r="G577" i="1"/>
  <c r="G578" i="1"/>
  <c r="Z578" i="1" s="1"/>
  <c r="G579" i="1"/>
  <c r="Z579" i="1" s="1"/>
  <c r="G580" i="1"/>
  <c r="Z580" i="1" s="1"/>
  <c r="G581" i="1"/>
  <c r="Z581" i="1" s="1"/>
  <c r="G582" i="1"/>
  <c r="Z582" i="1" s="1"/>
  <c r="G583" i="1"/>
  <c r="Z583" i="1" s="1"/>
  <c r="G584" i="1"/>
  <c r="Z584" i="1" s="1"/>
  <c r="G585" i="1"/>
  <c r="Z585" i="1" s="1"/>
  <c r="Z586" i="1"/>
  <c r="G587" i="1"/>
  <c r="Z587" i="1" s="1"/>
  <c r="G588" i="1"/>
  <c r="Z588" i="1" s="1"/>
  <c r="G589" i="1"/>
  <c r="Z589" i="1" s="1"/>
  <c r="G590" i="1"/>
  <c r="Z590" i="1" s="1"/>
  <c r="G591" i="1"/>
  <c r="Z591" i="1" s="1"/>
  <c r="G592" i="1"/>
  <c r="Z592" i="1" s="1"/>
  <c r="G593" i="1"/>
  <c r="Z593" i="1" s="1"/>
  <c r="G594" i="1"/>
  <c r="Z594" i="1" s="1"/>
  <c r="G595" i="1"/>
  <c r="Z595" i="1" s="1"/>
  <c r="G596" i="1"/>
  <c r="Z596" i="1" s="1"/>
  <c r="G597" i="1"/>
  <c r="G598" i="1"/>
  <c r="G599" i="1"/>
  <c r="G600" i="1"/>
  <c r="Z600" i="1" s="1"/>
  <c r="G601" i="1"/>
  <c r="Z601" i="1" s="1"/>
  <c r="G602" i="1"/>
  <c r="Z602" i="1" s="1"/>
  <c r="G603" i="1"/>
  <c r="Z603" i="1" s="1"/>
  <c r="G604" i="1"/>
  <c r="G605" i="1"/>
  <c r="Z605" i="1" s="1"/>
  <c r="G606" i="1"/>
  <c r="G607" i="1"/>
  <c r="Z607" i="1" s="1"/>
  <c r="G608" i="1"/>
  <c r="Z608" i="1" s="1"/>
  <c r="G609" i="1"/>
  <c r="Z609" i="1" s="1"/>
  <c r="G610" i="1"/>
  <c r="Z610" i="1" s="1"/>
  <c r="G611" i="1"/>
  <c r="Z611" i="1" s="1"/>
  <c r="G612" i="1"/>
  <c r="Z612" i="1" s="1"/>
  <c r="G613" i="1"/>
  <c r="Z613" i="1" s="1"/>
  <c r="G614" i="1"/>
  <c r="Z614" i="1" s="1"/>
  <c r="G615" i="1"/>
  <c r="Z615" i="1" s="1"/>
  <c r="G616" i="1"/>
  <c r="Z616" i="1" s="1"/>
  <c r="G617" i="1"/>
  <c r="Z617" i="1" s="1"/>
  <c r="G618" i="1"/>
  <c r="Z618" i="1" s="1"/>
  <c r="G619" i="1"/>
  <c r="G620" i="1"/>
  <c r="Z620" i="1" s="1"/>
  <c r="G621" i="1"/>
  <c r="G622" i="1"/>
  <c r="Z622" i="1" s="1"/>
  <c r="G623" i="1"/>
  <c r="Z623" i="1" s="1"/>
  <c r="Z624" i="1"/>
  <c r="G625" i="1"/>
  <c r="Z625" i="1" s="1"/>
  <c r="G626" i="1"/>
  <c r="Z626" i="1" s="1"/>
  <c r="G627" i="1"/>
  <c r="Z627" i="1" s="1"/>
  <c r="G628" i="1"/>
  <c r="Z628" i="1" s="1"/>
  <c r="G629" i="1"/>
  <c r="Z629" i="1" s="1"/>
  <c r="G630" i="1"/>
  <c r="Z630" i="1" s="1"/>
  <c r="Z631" i="1"/>
  <c r="G632" i="1"/>
  <c r="Z632" i="1" s="1"/>
  <c r="G633" i="1"/>
  <c r="Z633" i="1" s="1"/>
  <c r="G634" i="1"/>
  <c r="Z634" i="1" s="1"/>
  <c r="G635" i="1"/>
  <c r="Z635" i="1" s="1"/>
  <c r="G636" i="1"/>
  <c r="Z636" i="1" s="1"/>
  <c r="G637" i="1"/>
  <c r="Z637" i="1" s="1"/>
  <c r="G638" i="1"/>
  <c r="Z638" i="1" s="1"/>
  <c r="Z639" i="1"/>
  <c r="G640" i="1"/>
  <c r="Z640" i="1" s="1"/>
  <c r="G641" i="1"/>
  <c r="Z641" i="1" s="1"/>
  <c r="G642" i="1"/>
  <c r="Z642" i="1" s="1"/>
  <c r="G643" i="1"/>
  <c r="Z643" i="1" s="1"/>
  <c r="G644" i="1"/>
  <c r="Z644" i="1" s="1"/>
  <c r="Z645" i="1"/>
  <c r="Z646" i="1"/>
  <c r="Z647" i="1"/>
  <c r="G648" i="1"/>
  <c r="G649" i="1"/>
  <c r="Z649" i="1" s="1"/>
  <c r="G650" i="1"/>
  <c r="Z650" i="1" s="1"/>
  <c r="G651" i="1"/>
  <c r="Z651" i="1" s="1"/>
  <c r="G652" i="1"/>
  <c r="Z652" i="1" s="1"/>
  <c r="Z653" i="1"/>
  <c r="G654" i="1"/>
  <c r="Z654" i="1" s="1"/>
  <c r="G655" i="1"/>
  <c r="Z655" i="1" s="1"/>
  <c r="G656" i="1"/>
  <c r="Z656" i="1" s="1"/>
  <c r="G657" i="1"/>
  <c r="Z657" i="1" s="1"/>
  <c r="G658" i="1"/>
  <c r="Z658" i="1" s="1"/>
  <c r="G659" i="1"/>
  <c r="Z659" i="1" s="1"/>
  <c r="G660" i="1"/>
  <c r="Z660" i="1" s="1"/>
  <c r="G661" i="1"/>
  <c r="Z661" i="1" s="1"/>
  <c r="G662" i="1"/>
  <c r="Z662" i="1" s="1"/>
  <c r="G663" i="1"/>
  <c r="Z663" i="1" s="1"/>
  <c r="Z664" i="1"/>
  <c r="G665" i="1"/>
  <c r="Z665" i="1" s="1"/>
  <c r="G666" i="1"/>
  <c r="Z666" i="1" s="1"/>
  <c r="G667" i="1"/>
  <c r="Z667" i="1" s="1"/>
  <c r="G668" i="1"/>
  <c r="Z668" i="1" s="1"/>
  <c r="G669" i="1"/>
  <c r="Z669" i="1" s="1"/>
  <c r="G670" i="1"/>
  <c r="Z670" i="1" s="1"/>
  <c r="G671" i="1"/>
  <c r="Z671" i="1" s="1"/>
  <c r="Z672" i="1"/>
  <c r="G673" i="1"/>
  <c r="Z673" i="1" s="1"/>
  <c r="Z674" i="1"/>
  <c r="G675" i="1"/>
  <c r="Z675" i="1" s="1"/>
  <c r="Z676" i="1"/>
  <c r="Z677" i="1"/>
  <c r="G678" i="1"/>
  <c r="Z678" i="1" s="1"/>
  <c r="G679" i="1"/>
  <c r="Z679" i="1" s="1"/>
  <c r="Z680" i="1"/>
  <c r="Z681" i="1"/>
  <c r="Z682" i="1"/>
  <c r="G683" i="1"/>
  <c r="Z683" i="1" s="1"/>
  <c r="G684" i="1"/>
  <c r="Z684" i="1" s="1"/>
  <c r="G685" i="1"/>
  <c r="Z685" i="1" s="1"/>
  <c r="G686" i="1"/>
  <c r="Z686" i="1" s="1"/>
  <c r="G687" i="1"/>
  <c r="Z687" i="1" s="1"/>
  <c r="G688" i="1"/>
  <c r="Z688" i="1" s="1"/>
  <c r="G689" i="1"/>
  <c r="Z689" i="1" s="1"/>
  <c r="G690" i="1"/>
  <c r="Z690" i="1" s="1"/>
  <c r="G691" i="1"/>
  <c r="Z691" i="1" s="1"/>
  <c r="G692" i="1"/>
  <c r="Z692" i="1" s="1"/>
  <c r="G693" i="1"/>
  <c r="Z693" i="1" s="1"/>
  <c r="G694" i="1"/>
  <c r="Z694" i="1" s="1"/>
  <c r="G695" i="1"/>
  <c r="Z695" i="1" s="1"/>
  <c r="G696" i="1"/>
  <c r="Z696" i="1" s="1"/>
  <c r="G697" i="1"/>
  <c r="Z697" i="1" s="1"/>
  <c r="G698" i="1"/>
  <c r="Z698" i="1" s="1"/>
  <c r="G699" i="1"/>
  <c r="Z699" i="1" s="1"/>
  <c r="G700" i="1"/>
  <c r="Z700" i="1" s="1"/>
  <c r="G701" i="1"/>
  <c r="Z701" i="1" s="1"/>
  <c r="Z702" i="1"/>
  <c r="G703" i="1"/>
  <c r="Z703" i="1" s="1"/>
  <c r="G704" i="1"/>
  <c r="Z704" i="1" s="1"/>
  <c r="G705" i="1"/>
  <c r="Z705" i="1" s="1"/>
  <c r="G706" i="1"/>
  <c r="Z706" i="1" s="1"/>
  <c r="G707" i="1"/>
  <c r="Z707" i="1" s="1"/>
  <c r="Z708" i="1"/>
  <c r="G709" i="1"/>
  <c r="Z709" i="1" s="1"/>
  <c r="G710" i="1"/>
  <c r="Z710" i="1" s="1"/>
  <c r="G711" i="1"/>
  <c r="Z711" i="1" s="1"/>
  <c r="G712" i="1"/>
  <c r="Z712" i="1" s="1"/>
  <c r="Z713" i="1"/>
  <c r="G714" i="1"/>
  <c r="Z714" i="1" s="1"/>
  <c r="G715" i="1"/>
  <c r="Z715" i="1" s="1"/>
  <c r="Z716" i="1"/>
  <c r="G717" i="1"/>
  <c r="Z717" i="1" s="1"/>
  <c r="G718" i="1"/>
  <c r="Z718" i="1" s="1"/>
  <c r="G719" i="1"/>
  <c r="Z719" i="1" s="1"/>
  <c r="Z720" i="1"/>
  <c r="Z721" i="1"/>
  <c r="Z722" i="1"/>
  <c r="G723" i="1"/>
  <c r="Z723" i="1" s="1"/>
  <c r="Z724" i="1"/>
  <c r="G725" i="1"/>
  <c r="Z725" i="1" s="1"/>
  <c r="G726" i="1"/>
  <c r="Z726" i="1" s="1"/>
  <c r="G727" i="1"/>
  <c r="Z727" i="1" s="1"/>
  <c r="G728" i="1"/>
  <c r="Z728" i="1" s="1"/>
  <c r="G729" i="1"/>
  <c r="Z729" i="1" s="1"/>
  <c r="G730" i="1"/>
  <c r="Z730" i="1" s="1"/>
  <c r="G731" i="1"/>
  <c r="Z731" i="1" s="1"/>
  <c r="Z732" i="1"/>
  <c r="G733" i="1"/>
  <c r="Z733" i="1" s="1"/>
  <c r="Z734" i="1"/>
  <c r="G735" i="1"/>
  <c r="Z735" i="1" s="1"/>
  <c r="G736" i="1"/>
  <c r="Z736" i="1" s="1"/>
  <c r="G737" i="1"/>
  <c r="Z737" i="1" s="1"/>
  <c r="G738" i="1"/>
  <c r="Z738" i="1" s="1"/>
  <c r="G739" i="1"/>
  <c r="Z739" i="1" s="1"/>
  <c r="G740" i="1"/>
  <c r="Z740" i="1" s="1"/>
  <c r="Z741" i="1"/>
  <c r="G742" i="1"/>
  <c r="Z742" i="1" s="1"/>
  <c r="G743" i="1"/>
  <c r="Z743" i="1" s="1"/>
  <c r="Z744" i="1"/>
  <c r="Z745" i="1"/>
  <c r="Z746" i="1"/>
  <c r="G747" i="1"/>
  <c r="Z747" i="1" s="1"/>
  <c r="G748" i="1"/>
  <c r="Z748" i="1" s="1"/>
  <c r="G749" i="1"/>
  <c r="Z749" i="1" s="1"/>
  <c r="G750" i="1"/>
  <c r="Z750" i="1" s="1"/>
  <c r="G751" i="1"/>
  <c r="Z751" i="1" s="1"/>
  <c r="G752" i="1"/>
  <c r="Z752" i="1" s="1"/>
  <c r="G753" i="1"/>
  <c r="Z753" i="1" s="1"/>
  <c r="Z754" i="1"/>
  <c r="G755" i="1"/>
  <c r="Z755" i="1" s="1"/>
  <c r="G756" i="1"/>
  <c r="Z756" i="1" s="1"/>
  <c r="G757" i="1"/>
  <c r="Z757" i="1" s="1"/>
  <c r="G758" i="1"/>
  <c r="Z758" i="1" s="1"/>
  <c r="G759" i="1"/>
  <c r="Z759" i="1" s="1"/>
  <c r="G760" i="1"/>
  <c r="Z760" i="1" s="1"/>
  <c r="G761" i="1"/>
  <c r="Z761" i="1" s="1"/>
  <c r="G762" i="1"/>
  <c r="Z762" i="1" s="1"/>
  <c r="G763" i="1"/>
  <c r="Z763" i="1" s="1"/>
  <c r="G764" i="1"/>
  <c r="Z764" i="1" s="1"/>
  <c r="G765" i="1"/>
  <c r="Z765" i="1" s="1"/>
  <c r="G766" i="1"/>
  <c r="Z766" i="1" s="1"/>
  <c r="G767" i="1"/>
  <c r="Z767" i="1" s="1"/>
  <c r="G768" i="1"/>
  <c r="Z768" i="1" s="1"/>
  <c r="G769" i="1"/>
  <c r="Z769" i="1" s="1"/>
  <c r="G770" i="1"/>
  <c r="Z770" i="1" s="1"/>
  <c r="G771" i="1"/>
  <c r="Z771" i="1" s="1"/>
  <c r="G772" i="1"/>
  <c r="Z772" i="1" s="1"/>
  <c r="Z773" i="1"/>
  <c r="G774" i="1"/>
  <c r="Z774" i="1" s="1"/>
  <c r="G775" i="1"/>
  <c r="Z775" i="1" s="1"/>
  <c r="G776" i="1"/>
  <c r="Z776" i="1" s="1"/>
  <c r="G777" i="1"/>
  <c r="Z777" i="1" s="1"/>
  <c r="Z778" i="1"/>
  <c r="G779" i="1"/>
  <c r="Z779" i="1" s="1"/>
  <c r="G780" i="1"/>
  <c r="Z780" i="1" s="1"/>
  <c r="G781" i="1"/>
  <c r="Z781" i="1" s="1"/>
  <c r="G782" i="1"/>
  <c r="Z782" i="1" s="1"/>
  <c r="G783" i="1"/>
  <c r="Z783" i="1" s="1"/>
  <c r="G784" i="1"/>
  <c r="Z784" i="1" s="1"/>
  <c r="G785" i="1"/>
  <c r="Z785" i="1" s="1"/>
  <c r="G786" i="1"/>
  <c r="Z786" i="1" s="1"/>
  <c r="G787" i="1"/>
  <c r="Z787" i="1" s="1"/>
  <c r="G788" i="1"/>
  <c r="Z788" i="1" s="1"/>
  <c r="G789" i="1"/>
  <c r="Z789" i="1" s="1"/>
  <c r="Z790" i="1"/>
  <c r="G791" i="1"/>
  <c r="Z791" i="1" s="1"/>
  <c r="Z792" i="1"/>
  <c r="G793" i="1"/>
  <c r="Z793" i="1" s="1"/>
  <c r="G794" i="1"/>
  <c r="Z794" i="1" s="1"/>
  <c r="G795" i="1"/>
  <c r="Z795" i="1" s="1"/>
  <c r="G796" i="1"/>
  <c r="Z796" i="1" s="1"/>
  <c r="G797" i="1"/>
  <c r="Z797" i="1" s="1"/>
  <c r="G798" i="1"/>
  <c r="Z798" i="1" s="1"/>
  <c r="G799" i="1"/>
  <c r="Z799" i="1" s="1"/>
  <c r="G800" i="1"/>
  <c r="Z800" i="1" s="1"/>
  <c r="G801" i="1"/>
  <c r="Z801" i="1" s="1"/>
  <c r="G802" i="1"/>
  <c r="Z802" i="1" s="1"/>
  <c r="Z803" i="1"/>
  <c r="G804" i="1"/>
  <c r="Z804" i="1" s="1"/>
  <c r="Z805" i="1"/>
  <c r="Z806" i="1"/>
  <c r="Z807" i="1"/>
  <c r="G808" i="1"/>
  <c r="Z808" i="1" s="1"/>
  <c r="G809" i="1"/>
  <c r="Z809" i="1" s="1"/>
  <c r="G810" i="1"/>
  <c r="Z810" i="1" s="1"/>
  <c r="G811" i="1"/>
  <c r="Z811" i="1" s="1"/>
  <c r="G812" i="1"/>
  <c r="Z812" i="1" s="1"/>
  <c r="G813" i="1"/>
  <c r="Z813" i="1" s="1"/>
  <c r="G814" i="1"/>
  <c r="Z814" i="1" s="1"/>
  <c r="Z815" i="1"/>
  <c r="G816" i="1"/>
  <c r="Z816" i="1" s="1"/>
  <c r="G817" i="1"/>
  <c r="Z817" i="1" s="1"/>
  <c r="G818" i="1"/>
  <c r="Z818" i="1" s="1"/>
  <c r="G819" i="1"/>
  <c r="Z819" i="1" s="1"/>
  <c r="G820" i="1"/>
  <c r="Z820" i="1" s="1"/>
  <c r="G821" i="1"/>
  <c r="Z821" i="1" s="1"/>
  <c r="G822" i="1"/>
  <c r="Z822" i="1" s="1"/>
  <c r="Z823" i="1"/>
  <c r="G824" i="1"/>
  <c r="Z824" i="1" s="1"/>
  <c r="G825" i="1"/>
  <c r="Z825" i="1" s="1"/>
  <c r="G826" i="1"/>
  <c r="Z826" i="1" s="1"/>
  <c r="G827" i="1"/>
  <c r="Z827" i="1" s="1"/>
  <c r="G828" i="1"/>
  <c r="Z828" i="1" s="1"/>
  <c r="G829" i="1"/>
  <c r="Z829" i="1" s="1"/>
  <c r="Z830" i="1"/>
  <c r="G831" i="1"/>
  <c r="Z831" i="1" s="1"/>
  <c r="G832" i="1"/>
  <c r="Z832" i="1" s="1"/>
  <c r="G833" i="1"/>
  <c r="Z833" i="1" s="1"/>
  <c r="G834" i="1"/>
  <c r="Z834" i="1" s="1"/>
  <c r="G835" i="1"/>
  <c r="Z835" i="1" s="1"/>
  <c r="G836" i="1"/>
  <c r="Z836" i="1" s="1"/>
  <c r="G837" i="1"/>
  <c r="Z837" i="1" s="1"/>
  <c r="G838" i="1"/>
  <c r="Z838" i="1" s="1"/>
  <c r="G839" i="1"/>
  <c r="Z839" i="1" s="1"/>
  <c r="G840" i="1"/>
  <c r="Z840" i="1" s="1"/>
  <c r="G841" i="1"/>
  <c r="Z841" i="1" s="1"/>
  <c r="Z842" i="1"/>
  <c r="G843" i="1"/>
  <c r="Z843" i="1" s="1"/>
  <c r="G844" i="1"/>
  <c r="Z844" i="1" s="1"/>
  <c r="G845" i="1"/>
  <c r="Z845" i="1" s="1"/>
  <c r="G846" i="1"/>
  <c r="Z846" i="1" s="1"/>
  <c r="G847" i="1"/>
  <c r="Z847" i="1" s="1"/>
  <c r="G848" i="1"/>
  <c r="Z848" i="1" s="1"/>
  <c r="G849" i="1"/>
  <c r="Z849" i="1" s="1"/>
  <c r="G850" i="1"/>
  <c r="Z850" i="1" s="1"/>
  <c r="G851" i="1"/>
  <c r="Z851" i="1" s="1"/>
  <c r="G852" i="1"/>
  <c r="Z852" i="1" s="1"/>
  <c r="G853" i="1"/>
  <c r="Z853" i="1" s="1"/>
  <c r="G854" i="1"/>
  <c r="Z854" i="1" s="1"/>
  <c r="Z855" i="1"/>
  <c r="G856" i="1"/>
  <c r="Z856" i="1" s="1"/>
  <c r="G857" i="1"/>
  <c r="Z857" i="1" s="1"/>
  <c r="G858" i="1"/>
  <c r="Z858" i="1" s="1"/>
  <c r="G859" i="1"/>
  <c r="Z859" i="1" s="1"/>
  <c r="G860" i="1"/>
  <c r="Z860" i="1" s="1"/>
  <c r="G861" i="1"/>
  <c r="Z861" i="1" s="1"/>
  <c r="G862" i="1"/>
  <c r="Z862" i="1" s="1"/>
  <c r="G863" i="1"/>
  <c r="Z863" i="1" s="1"/>
  <c r="G864" i="1"/>
  <c r="Z864" i="1" s="1"/>
  <c r="G865" i="1"/>
  <c r="Z865" i="1" s="1"/>
  <c r="G866" i="1"/>
  <c r="Z866" i="1" s="1"/>
  <c r="Z867" i="1"/>
  <c r="G868" i="1"/>
  <c r="Z868" i="1" s="1"/>
  <c r="G869" i="1"/>
  <c r="Z869" i="1" s="1"/>
  <c r="G870" i="1"/>
  <c r="Z870" i="1" s="1"/>
  <c r="G871" i="1"/>
  <c r="Z871" i="1" s="1"/>
  <c r="G872" i="1"/>
  <c r="Z872" i="1" s="1"/>
  <c r="G873" i="1"/>
  <c r="Z873" i="1" s="1"/>
  <c r="G874" i="1"/>
  <c r="Z874" i="1" s="1"/>
  <c r="G875" i="1"/>
  <c r="Z875" i="1" s="1"/>
  <c r="G876" i="1"/>
  <c r="Z876" i="1" s="1"/>
  <c r="G877" i="1"/>
  <c r="Z877" i="1" s="1"/>
  <c r="G878" i="1"/>
  <c r="Z878" i="1" s="1"/>
  <c r="G879" i="1"/>
  <c r="Z879" i="1" s="1"/>
  <c r="Z880" i="1"/>
  <c r="G881" i="1"/>
  <c r="Z881" i="1" s="1"/>
  <c r="G882" i="1"/>
  <c r="Z882" i="1" s="1"/>
  <c r="G883" i="1"/>
  <c r="Z883" i="1" s="1"/>
  <c r="G884" i="1"/>
  <c r="Z884" i="1" s="1"/>
  <c r="G885" i="1"/>
  <c r="Z885" i="1" s="1"/>
  <c r="G886" i="1"/>
  <c r="Z886" i="1" s="1"/>
  <c r="G887" i="1"/>
  <c r="Z887" i="1" s="1"/>
  <c r="G888" i="1"/>
  <c r="Z888" i="1" s="1"/>
  <c r="G889" i="1"/>
  <c r="Z889" i="1" s="1"/>
  <c r="G890" i="1"/>
  <c r="Z890" i="1" s="1"/>
  <c r="G891" i="1"/>
  <c r="Z891" i="1" s="1"/>
  <c r="G892" i="1"/>
  <c r="Z892" i="1" s="1"/>
  <c r="G893" i="1"/>
  <c r="Z893" i="1" s="1"/>
  <c r="G894" i="1"/>
  <c r="Z894" i="1" s="1"/>
  <c r="Z895" i="1"/>
  <c r="G896" i="1"/>
  <c r="Z896" i="1" s="1"/>
  <c r="G897" i="1"/>
  <c r="Z897" i="1" s="1"/>
  <c r="G898" i="1"/>
  <c r="Z898" i="1" s="1"/>
  <c r="G899" i="1"/>
  <c r="Z899" i="1" s="1"/>
  <c r="G900" i="1"/>
  <c r="Z900" i="1" s="1"/>
  <c r="G901" i="1"/>
  <c r="Z901" i="1" s="1"/>
  <c r="G902" i="1"/>
  <c r="Z902" i="1" s="1"/>
  <c r="G903" i="1"/>
  <c r="Z903" i="1" s="1"/>
  <c r="G904" i="1"/>
  <c r="Z904" i="1" s="1"/>
  <c r="G905" i="1"/>
  <c r="Z905" i="1" s="1"/>
  <c r="G906" i="1"/>
  <c r="Z906" i="1" s="1"/>
  <c r="G907" i="1"/>
  <c r="Z907" i="1" s="1"/>
  <c r="G908" i="1"/>
  <c r="Z908" i="1" s="1"/>
  <c r="G909" i="1"/>
  <c r="Z909" i="1" s="1"/>
  <c r="Z910" i="1"/>
  <c r="G911" i="1"/>
  <c r="Z911" i="1" s="1"/>
  <c r="G912" i="1"/>
  <c r="Z912" i="1" s="1"/>
  <c r="G913" i="1"/>
  <c r="Z913" i="1" s="1"/>
  <c r="G914" i="1"/>
  <c r="Z914" i="1" s="1"/>
  <c r="G915" i="1"/>
  <c r="Z915" i="1" s="1"/>
  <c r="G916" i="1"/>
  <c r="Z916" i="1" s="1"/>
  <c r="G917" i="1"/>
  <c r="Z917" i="1" s="1"/>
  <c r="G918" i="1"/>
  <c r="Z918" i="1" s="1"/>
  <c r="G919" i="1"/>
  <c r="Z919" i="1" s="1"/>
  <c r="G920" i="1"/>
  <c r="Z920" i="1" s="1"/>
  <c r="G921" i="1"/>
  <c r="Z921" i="1" s="1"/>
  <c r="Z922" i="1"/>
  <c r="G923" i="1"/>
  <c r="Z923" i="1" s="1"/>
  <c r="G924" i="1"/>
  <c r="Z924" i="1" s="1"/>
  <c r="G925" i="1"/>
  <c r="Z925" i="1" s="1"/>
  <c r="G926" i="1"/>
  <c r="Z926" i="1" s="1"/>
  <c r="G927" i="1"/>
  <c r="Z927" i="1" s="1"/>
  <c r="G928" i="1"/>
  <c r="Z928" i="1" s="1"/>
  <c r="G929" i="1"/>
  <c r="Z929" i="1" s="1"/>
  <c r="G930" i="1"/>
  <c r="Z930" i="1" s="1"/>
  <c r="G931" i="1"/>
  <c r="Z931" i="1" s="1"/>
  <c r="G932" i="1"/>
  <c r="Z932" i="1" s="1"/>
  <c r="G933" i="1"/>
  <c r="Z933" i="1" s="1"/>
  <c r="Z934" i="1"/>
  <c r="G935" i="1"/>
  <c r="Z935" i="1" s="1"/>
  <c r="G936" i="1"/>
  <c r="Z936" i="1" s="1"/>
  <c r="G937" i="1"/>
  <c r="Z937" i="1" s="1"/>
  <c r="G938" i="1"/>
  <c r="Z938" i="1" s="1"/>
  <c r="G939" i="1"/>
  <c r="Z939" i="1" s="1"/>
  <c r="G940" i="1"/>
  <c r="Z940" i="1" s="1"/>
  <c r="G941" i="1"/>
  <c r="Z941" i="1" s="1"/>
  <c r="G942" i="1"/>
  <c r="Z942" i="1" s="1"/>
  <c r="G943" i="1"/>
  <c r="Z943" i="1" s="1"/>
  <c r="G944" i="1"/>
  <c r="Z944" i="1" s="1"/>
  <c r="G945" i="1"/>
  <c r="Z945" i="1" s="1"/>
  <c r="G946" i="1"/>
  <c r="Z946" i="1" s="1"/>
  <c r="G947" i="1"/>
  <c r="Z947" i="1" s="1"/>
  <c r="G948" i="1"/>
  <c r="Z948" i="1" s="1"/>
  <c r="Z949" i="1"/>
  <c r="G950" i="1"/>
  <c r="Z950" i="1" s="1"/>
  <c r="G951" i="1"/>
  <c r="Z951" i="1" s="1"/>
  <c r="G952" i="1"/>
  <c r="Z952" i="1" s="1"/>
  <c r="G953" i="1"/>
  <c r="Z953" i="1" s="1"/>
  <c r="Z954" i="1"/>
  <c r="G955" i="1"/>
  <c r="Z955" i="1" s="1"/>
  <c r="G956" i="1"/>
  <c r="Z956" i="1" s="1"/>
  <c r="G957" i="1"/>
  <c r="Z957" i="1" s="1"/>
  <c r="G958" i="1"/>
  <c r="Z958" i="1" s="1"/>
  <c r="Z959" i="1"/>
  <c r="G960" i="1"/>
  <c r="Z960" i="1" s="1"/>
  <c r="G961" i="1"/>
  <c r="Z961" i="1" s="1"/>
  <c r="G962" i="1"/>
  <c r="Z962" i="1" s="1"/>
  <c r="G963" i="1"/>
  <c r="Z963" i="1" s="1"/>
  <c r="Z964" i="1"/>
  <c r="G965" i="1"/>
  <c r="Z965" i="1" s="1"/>
  <c r="G966" i="1"/>
  <c r="Z966" i="1" s="1"/>
  <c r="G967" i="1"/>
  <c r="Z967" i="1" s="1"/>
  <c r="G968" i="1"/>
  <c r="Z968" i="1" s="1"/>
  <c r="Z969" i="1"/>
  <c r="G970" i="1"/>
  <c r="Z970" i="1" s="1"/>
  <c r="G971" i="1"/>
  <c r="Z971" i="1" s="1"/>
  <c r="G972" i="1"/>
  <c r="Z972" i="1" s="1"/>
  <c r="G973" i="1"/>
  <c r="Z973" i="1" s="1"/>
  <c r="G974" i="1"/>
  <c r="Z974" i="1" s="1"/>
  <c r="G975" i="1"/>
  <c r="Z975" i="1" s="1"/>
  <c r="G976" i="1"/>
  <c r="Z976" i="1" s="1"/>
  <c r="G977" i="1"/>
  <c r="Z977" i="1" s="1"/>
  <c r="Z978" i="1"/>
  <c r="G979" i="1"/>
  <c r="Z979" i="1" s="1"/>
  <c r="G980" i="1"/>
  <c r="Z980" i="1" s="1"/>
  <c r="G981" i="1"/>
  <c r="Z981" i="1" s="1"/>
  <c r="G982" i="1"/>
  <c r="Z982" i="1" s="1"/>
  <c r="G983" i="1"/>
  <c r="Z983" i="1" s="1"/>
  <c r="G984" i="1"/>
  <c r="Z984" i="1" s="1"/>
  <c r="G985" i="1"/>
  <c r="Z985" i="1" s="1"/>
  <c r="Z986" i="1"/>
  <c r="G987" i="1"/>
  <c r="Z987" i="1" s="1"/>
  <c r="G988" i="1"/>
  <c r="Z988" i="1" s="1"/>
  <c r="G989" i="1"/>
  <c r="Z989" i="1" s="1"/>
  <c r="G990" i="1"/>
  <c r="Z990" i="1" s="1"/>
  <c r="G991" i="1"/>
  <c r="Z991" i="1" s="1"/>
  <c r="G992" i="1"/>
  <c r="Z992" i="1" s="1"/>
  <c r="G993" i="1"/>
  <c r="Z993" i="1" s="1"/>
  <c r="G994" i="1"/>
  <c r="Z994" i="1" s="1"/>
  <c r="G995" i="1"/>
  <c r="Z995" i="1" s="1"/>
  <c r="G996" i="1"/>
  <c r="Z996" i="1" s="1"/>
  <c r="G997" i="1"/>
  <c r="Z997" i="1" s="1"/>
  <c r="G998" i="1"/>
  <c r="Z998" i="1" s="1"/>
  <c r="G999" i="1"/>
  <c r="Z999" i="1" s="1"/>
  <c r="G1000" i="1"/>
  <c r="Z1000" i="1" s="1"/>
  <c r="Z1001" i="1"/>
  <c r="G1002" i="1"/>
  <c r="Z1002" i="1" s="1"/>
  <c r="G1003" i="1"/>
  <c r="Z1003" i="1" s="1"/>
  <c r="G1004" i="1"/>
  <c r="Z1004" i="1" s="1"/>
  <c r="G1005" i="1"/>
  <c r="Z1005" i="1" s="1"/>
  <c r="G1006" i="1"/>
  <c r="Z1006" i="1" s="1"/>
  <c r="G1007" i="1"/>
  <c r="Z1007" i="1" s="1"/>
  <c r="G1008" i="1"/>
  <c r="Z1008" i="1" s="1"/>
  <c r="G1009" i="1"/>
  <c r="Z1009" i="1" s="1"/>
  <c r="G1010" i="1"/>
  <c r="Z1010" i="1" s="1"/>
  <c r="G1011" i="1"/>
  <c r="Z1011" i="1" s="1"/>
  <c r="G1012" i="1"/>
  <c r="Z1012" i="1" s="1"/>
  <c r="G1013" i="1"/>
  <c r="Z1013" i="1" s="1"/>
  <c r="G1014" i="1"/>
  <c r="Z1014" i="1" s="1"/>
  <c r="G1015" i="1"/>
  <c r="Z1015" i="1" s="1"/>
  <c r="Z1016" i="1"/>
  <c r="Z1017" i="1"/>
  <c r="Z1018" i="1"/>
  <c r="G1019" i="1"/>
  <c r="Z1019" i="1" s="1"/>
  <c r="G1020" i="1"/>
  <c r="Z1020" i="1" s="1"/>
  <c r="G1021" i="1"/>
  <c r="Z1021" i="1" s="1"/>
  <c r="G1022" i="1"/>
  <c r="Z1022" i="1" s="1"/>
  <c r="G1023" i="1"/>
  <c r="Z1023" i="1" s="1"/>
  <c r="G1024" i="1"/>
  <c r="Z1024" i="1" s="1"/>
  <c r="G1025" i="1"/>
  <c r="Z1025" i="1" s="1"/>
  <c r="G1026" i="1"/>
  <c r="Z1026" i="1" s="1"/>
  <c r="Z1027" i="1"/>
  <c r="G1028" i="1"/>
  <c r="Z1028" i="1" s="1"/>
  <c r="G1029" i="1"/>
  <c r="Z1029" i="1" s="1"/>
  <c r="Z1030" i="1"/>
  <c r="G1031" i="1"/>
  <c r="Z1031" i="1" s="1"/>
  <c r="G1032" i="1"/>
  <c r="Z1032" i="1" s="1"/>
  <c r="G1033" i="1"/>
  <c r="Z1033" i="1" s="1"/>
  <c r="G1034" i="1"/>
  <c r="Z1034" i="1" s="1"/>
  <c r="G1035" i="1"/>
  <c r="Z1035" i="1" s="1"/>
  <c r="Z1036" i="1"/>
  <c r="G1037" i="1"/>
  <c r="Z1037" i="1" s="1"/>
  <c r="G1038" i="1"/>
  <c r="Z1038" i="1" s="1"/>
  <c r="G1039" i="1"/>
  <c r="Z1039" i="1" s="1"/>
  <c r="G1040" i="1"/>
  <c r="Z1040" i="1" s="1"/>
  <c r="G1041" i="1"/>
  <c r="Z1041" i="1" s="1"/>
  <c r="G1042" i="1"/>
  <c r="Z1042" i="1" s="1"/>
  <c r="G1043" i="1"/>
  <c r="Z1043" i="1" s="1"/>
  <c r="G1044" i="1"/>
  <c r="Z1044" i="1" s="1"/>
  <c r="G1045" i="1"/>
  <c r="Z1045" i="1" s="1"/>
  <c r="G1046" i="1"/>
  <c r="Z1046" i="1" s="1"/>
  <c r="Z1047" i="1"/>
  <c r="Z1048" i="1"/>
  <c r="Z1049" i="1"/>
  <c r="G1050" i="1"/>
  <c r="Z1050" i="1" s="1"/>
  <c r="G1051" i="1"/>
  <c r="Z1051" i="1" s="1"/>
  <c r="G1052" i="1"/>
  <c r="Z1052" i="1" s="1"/>
  <c r="G1053" i="1"/>
  <c r="Z1053" i="1" s="1"/>
  <c r="G1054" i="1"/>
  <c r="Z1054" i="1" s="1"/>
  <c r="G1055" i="1"/>
  <c r="Z1055" i="1" s="1"/>
  <c r="Z1056" i="1"/>
  <c r="G1057" i="1"/>
  <c r="Z1057" i="1" s="1"/>
  <c r="G1058" i="1"/>
  <c r="Z1058" i="1" s="1"/>
  <c r="Z1059" i="1"/>
  <c r="G1060" i="1"/>
  <c r="Z1060" i="1" s="1"/>
  <c r="G1061" i="1"/>
  <c r="Z1061" i="1" s="1"/>
  <c r="G1062" i="1"/>
  <c r="Z1062" i="1" s="1"/>
  <c r="G1063" i="1"/>
  <c r="Z1063" i="1" s="1"/>
  <c r="G1064" i="1"/>
  <c r="Z1064" i="1" s="1"/>
  <c r="G1065" i="1"/>
  <c r="Z1066" i="1"/>
  <c r="Z1067" i="1"/>
  <c r="Z1068" i="1"/>
  <c r="Z1069" i="1"/>
  <c r="G1070" i="1"/>
  <c r="Z1070" i="1" s="1"/>
  <c r="Z1071" i="1"/>
  <c r="G1072" i="1"/>
  <c r="Z1072" i="1" s="1"/>
  <c r="Z1073" i="1"/>
  <c r="G1074" i="1"/>
  <c r="Z1074" i="1" s="1"/>
  <c r="G1075" i="1"/>
  <c r="Z1075" i="1" s="1"/>
  <c r="Z1077" i="1"/>
  <c r="G1078" i="1"/>
  <c r="Z1078" i="1" s="1"/>
  <c r="G1079" i="1"/>
  <c r="Z1079" i="1" s="1"/>
  <c r="G1080" i="1"/>
  <c r="Z1080" i="1" s="1"/>
  <c r="G1081" i="1"/>
  <c r="Z1081" i="1" s="1"/>
  <c r="G1082" i="1"/>
  <c r="Z1082" i="1" s="1"/>
  <c r="G1083" i="1"/>
  <c r="Z1083" i="1" s="1"/>
  <c r="G1084" i="1"/>
  <c r="Z1084" i="1" s="1"/>
  <c r="G1085" i="1"/>
  <c r="Z1085" i="1" s="1"/>
  <c r="Z1086" i="1"/>
  <c r="G1087" i="1"/>
  <c r="Z1087" i="1" s="1"/>
  <c r="G1088" i="1"/>
  <c r="Z1088" i="1" s="1"/>
  <c r="G1089" i="1"/>
  <c r="Z1089" i="1" s="1"/>
  <c r="G1090" i="1"/>
  <c r="Z1090" i="1" s="1"/>
  <c r="Z1091" i="1"/>
  <c r="G1092" i="1"/>
  <c r="Z1092" i="1" s="1"/>
  <c r="G1093" i="1"/>
  <c r="Z1093" i="1" s="1"/>
  <c r="G1094" i="1"/>
  <c r="Z1094" i="1" s="1"/>
  <c r="G1095" i="1"/>
  <c r="Z1095" i="1" s="1"/>
  <c r="Z1096" i="1"/>
  <c r="G1097" i="1"/>
  <c r="Z1097" i="1" s="1"/>
  <c r="G1098" i="1"/>
  <c r="Z1098" i="1" s="1"/>
  <c r="G1099" i="1"/>
  <c r="Z1099" i="1" s="1"/>
  <c r="G1100" i="1"/>
  <c r="Z1100" i="1" s="1"/>
  <c r="G1101" i="1"/>
  <c r="Z1102" i="1"/>
  <c r="G1103" i="1"/>
  <c r="Z1103" i="1" s="1"/>
  <c r="G1104" i="1"/>
  <c r="Z1104" i="1" s="1"/>
  <c r="G1105" i="1"/>
  <c r="Z1105" i="1" s="1"/>
  <c r="G1106" i="1"/>
  <c r="Z1106" i="1" s="1"/>
  <c r="G1107" i="1"/>
  <c r="Z1107" i="1" s="1"/>
  <c r="Z1108" i="1"/>
  <c r="G1109" i="1"/>
  <c r="Z1109" i="1" s="1"/>
  <c r="G1110" i="1"/>
  <c r="Z1110" i="1" s="1"/>
  <c r="Z1111" i="1"/>
  <c r="G1112" i="1"/>
  <c r="Z1112" i="1" s="1"/>
  <c r="G1113" i="1"/>
  <c r="Z1113" i="1" s="1"/>
  <c r="G1114" i="1"/>
  <c r="Z1114" i="1" s="1"/>
  <c r="Z1115" i="1"/>
  <c r="G1116" i="1"/>
  <c r="Z1116" i="1" s="1"/>
  <c r="G1117" i="1"/>
  <c r="Z1117" i="1" s="1"/>
  <c r="G1118" i="1"/>
  <c r="Z1118" i="1" s="1"/>
  <c r="G1119" i="1"/>
  <c r="Z1119" i="1" s="1"/>
  <c r="G1120" i="1"/>
  <c r="Z1120" i="1" s="1"/>
  <c r="Z1153" i="1"/>
  <c r="Z1154" i="1"/>
  <c r="Z1155" i="1"/>
  <c r="Z1156" i="1"/>
  <c r="G1157" i="1"/>
  <c r="Z1157" i="1" s="1"/>
  <c r="G1158" i="1"/>
  <c r="Z1158" i="1" s="1"/>
  <c r="G1159" i="1"/>
  <c r="Z1159" i="1" s="1"/>
  <c r="G1160" i="1"/>
  <c r="Z1160" i="1" s="1"/>
  <c r="Z1164" i="1"/>
  <c r="G1165" i="1"/>
  <c r="Z1165" i="1" s="1"/>
  <c r="Z1166" i="1"/>
  <c r="G1167" i="1"/>
  <c r="Z1167" i="1" s="1"/>
  <c r="G1168" i="1"/>
  <c r="Z1168" i="1" s="1"/>
  <c r="G1169" i="1"/>
  <c r="Z1169" i="1" s="1"/>
  <c r="G1170" i="1"/>
  <c r="Z1170" i="1" s="1"/>
  <c r="G1171" i="1"/>
  <c r="Z1171" i="1" s="1"/>
  <c r="G1172" i="1"/>
  <c r="Z1172" i="1" s="1"/>
  <c r="G1173" i="1"/>
  <c r="Z1173" i="1" s="1"/>
  <c r="G1174" i="1"/>
  <c r="Z1174" i="1" s="1"/>
  <c r="G1175" i="1"/>
  <c r="Z1175" i="1" s="1"/>
  <c r="G1176" i="1"/>
  <c r="Z1176" i="1" s="1"/>
  <c r="G1177" i="1"/>
  <c r="Z1177" i="1" s="1"/>
  <c r="G1178" i="1"/>
  <c r="Z1178" i="1" s="1"/>
  <c r="G1179" i="1"/>
  <c r="Z1179" i="1" s="1"/>
  <c r="G1180" i="1"/>
  <c r="Z1180" i="1" s="1"/>
  <c r="G1181" i="1"/>
  <c r="Z1191" i="1"/>
  <c r="G1192" i="1"/>
  <c r="Z1192" i="1" s="1"/>
  <c r="G1193" i="1"/>
  <c r="Z1193" i="1" s="1"/>
  <c r="G1194" i="1"/>
  <c r="Z1194" i="1" s="1"/>
  <c r="G1195" i="1"/>
  <c r="Z1195" i="1" s="1"/>
  <c r="G1196" i="1"/>
  <c r="Z1196" i="1" s="1"/>
  <c r="G1197" i="1"/>
  <c r="Z1197" i="1" s="1"/>
  <c r="G1198" i="1"/>
  <c r="Z1198" i="1" s="1"/>
  <c r="G1199" i="1"/>
  <c r="Z1199" i="1" s="1"/>
  <c r="G1200" i="1"/>
  <c r="Z1200" i="1" s="1"/>
  <c r="G1201" i="1"/>
  <c r="Z1201" i="1" s="1"/>
  <c r="G1202" i="1"/>
  <c r="Z1202" i="1" s="1"/>
  <c r="G1203" i="1"/>
  <c r="Z1203" i="1" s="1"/>
  <c r="Z1224" i="1"/>
  <c r="G1225" i="1"/>
  <c r="Z1225" i="1" s="1"/>
  <c r="Z1226" i="1"/>
  <c r="Z1227" i="1"/>
  <c r="G1228" i="1"/>
  <c r="G1149" i="1" s="1"/>
  <c r="H1149" i="1" s="1"/>
  <c r="I1149" i="1" s="1"/>
  <c r="G1229" i="1"/>
  <c r="G1148" i="1" s="1"/>
  <c r="H1148" i="1" s="1"/>
  <c r="I1148" i="1" s="1"/>
  <c r="G1230" i="1"/>
  <c r="G1231" i="1"/>
  <c r="Z1231" i="1" s="1"/>
  <c r="G1232" i="1"/>
  <c r="Z1232" i="1" s="1"/>
  <c r="G1233" i="1"/>
  <c r="Z1233" i="1" s="1"/>
  <c r="G1234" i="1"/>
  <c r="G1235" i="1"/>
  <c r="G1236" i="1"/>
  <c r="G1237" i="1"/>
  <c r="G1238" i="1"/>
  <c r="Z1238" i="1" s="1"/>
  <c r="Z1240" i="1"/>
  <c r="Z1241" i="1"/>
  <c r="G1242" i="1"/>
  <c r="G1243" i="1"/>
  <c r="Z1243" i="1" s="1"/>
  <c r="G1244" i="1"/>
  <c r="G1139" i="1" s="1"/>
  <c r="H1139" i="1" s="1"/>
  <c r="I1139" i="1" s="1"/>
  <c r="Z1246" i="1"/>
  <c r="Z1247" i="1"/>
  <c r="G1248" i="1"/>
  <c r="Z1248" i="1" s="1"/>
  <c r="G1249" i="1"/>
  <c r="Z1249" i="1" s="1"/>
  <c r="Z1250" i="1"/>
  <c r="Z1251" i="1"/>
  <c r="Z1252" i="1"/>
  <c r="G1253" i="1"/>
  <c r="Z1253" i="1" s="1"/>
  <c r="Z1254" i="1"/>
  <c r="G1255" i="1"/>
  <c r="Z1255" i="1" s="1"/>
  <c r="G1256" i="1"/>
  <c r="Z1256" i="1" s="1"/>
  <c r="G1257" i="1"/>
  <c r="Z1257" i="1" s="1"/>
  <c r="Z1258" i="1"/>
  <c r="G1259" i="1"/>
  <c r="Z1259" i="1" s="1"/>
  <c r="G1260" i="1"/>
  <c r="Z1260" i="1" s="1"/>
  <c r="G1261" i="1"/>
  <c r="Z1261" i="1" s="1"/>
  <c r="G1262" i="1"/>
  <c r="Z1262" i="1" s="1"/>
  <c r="G1263" i="1"/>
  <c r="Z1263" i="1" s="1"/>
  <c r="G1264" i="1"/>
  <c r="Z1264" i="1" s="1"/>
  <c r="G1265" i="1"/>
  <c r="Z1265" i="1" s="1"/>
  <c r="G1266" i="1"/>
  <c r="Z1266" i="1" s="1"/>
  <c r="G1267" i="1"/>
  <c r="Z1267" i="1" s="1"/>
  <c r="G1268" i="1"/>
  <c r="Z1268" i="1" s="1"/>
  <c r="Z1272" i="1"/>
  <c r="Z1273" i="1"/>
  <c r="G1274" i="1"/>
  <c r="Z1274" i="1" s="1"/>
  <c r="G1275" i="1"/>
  <c r="Z1275" i="1" s="1"/>
  <c r="G23" i="1"/>
  <c r="Z23" i="1" s="1"/>
  <c r="AA24" i="15"/>
  <c r="AA26" i="15"/>
  <c r="AA30" i="15"/>
  <c r="AA33" i="15"/>
  <c r="AA34" i="15"/>
  <c r="AA35" i="15"/>
  <c r="AA43" i="15"/>
  <c r="AA54" i="15"/>
  <c r="AA65" i="15"/>
  <c r="AA66" i="15"/>
  <c r="AA81" i="15"/>
  <c r="AA82" i="15"/>
  <c r="AA83" i="15"/>
  <c r="AA84" i="15"/>
  <c r="AA127" i="15"/>
  <c r="AA137" i="15"/>
  <c r="AA138" i="15"/>
  <c r="AA140" i="15"/>
  <c r="AA141" i="15"/>
  <c r="AA154" i="15"/>
  <c r="AA157" i="15"/>
  <c r="AA158" i="15"/>
  <c r="AA160" i="15"/>
  <c r="AA161" i="15"/>
  <c r="AA171" i="15"/>
  <c r="AA172" i="15"/>
  <c r="AA175" i="15"/>
  <c r="AA176" i="15"/>
  <c r="AA187" i="15"/>
  <c r="AA188" i="15"/>
  <c r="AA197" i="15"/>
  <c r="AA198" i="15"/>
  <c r="AA204" i="15"/>
  <c r="AA205" i="15"/>
  <c r="AA206" i="15"/>
  <c r="AA207" i="15"/>
  <c r="AA208" i="15"/>
  <c r="AA243" i="15"/>
  <c r="AA262" i="15"/>
  <c r="AA264" i="15"/>
  <c r="AA277" i="15"/>
  <c r="AA278" i="15"/>
  <c r="AA299" i="15"/>
  <c r="AA304" i="15"/>
  <c r="AA305" i="15"/>
  <c r="AA339" i="15"/>
  <c r="AA353" i="15"/>
  <c r="AA354" i="15"/>
  <c r="AA362" i="15"/>
  <c r="AA367" i="15"/>
  <c r="AA368" i="15"/>
  <c r="AA369" i="15"/>
  <c r="AA370" i="15"/>
  <c r="AA385" i="15"/>
  <c r="AA404" i="15"/>
  <c r="AA405" i="15"/>
  <c r="AA406" i="15"/>
  <c r="AA407" i="15"/>
  <c r="AA430" i="15"/>
  <c r="AA434" i="15"/>
  <c r="AA442" i="15"/>
  <c r="AA446" i="15"/>
  <c r="AA447" i="15"/>
  <c r="AA448" i="15"/>
  <c r="AA469" i="15"/>
  <c r="AA500" i="15"/>
  <c r="AA504" i="15"/>
  <c r="AA507" i="15"/>
  <c r="AA509" i="15"/>
  <c r="AA513" i="15"/>
  <c r="AA514" i="15"/>
  <c r="AA515" i="15"/>
  <c r="AA517" i="15"/>
  <c r="AA526" i="15"/>
  <c r="AA529" i="15"/>
  <c r="AA532" i="15"/>
  <c r="AA533" i="15"/>
  <c r="AA534" i="15"/>
  <c r="AA540" i="15"/>
  <c r="AA547" i="15"/>
  <c r="AA562" i="15"/>
  <c r="AA564" i="15"/>
  <c r="AA567" i="15"/>
  <c r="AA568" i="15"/>
  <c r="AA571" i="15"/>
  <c r="AA572" i="15"/>
  <c r="AA573" i="15"/>
  <c r="AA594" i="15"/>
  <c r="AA601" i="15"/>
  <c r="AA606" i="15"/>
  <c r="AA609" i="15"/>
  <c r="AA613" i="15"/>
  <c r="AA614" i="15"/>
  <c r="AA615" i="15"/>
  <c r="AA617" i="15"/>
  <c r="AA619" i="15"/>
  <c r="AA621" i="15"/>
  <c r="AA626" i="15"/>
  <c r="AA627" i="15"/>
  <c r="AA628" i="15"/>
  <c r="AA635" i="15"/>
  <c r="AA653" i="15"/>
  <c r="AA657" i="15"/>
  <c r="AA667" i="15"/>
  <c r="AA669" i="15"/>
  <c r="AA679" i="15"/>
  <c r="AA681" i="15"/>
  <c r="AA682" i="15"/>
  <c r="AA683" i="15"/>
  <c r="AA695" i="15"/>
  <c r="AA707" i="15"/>
  <c r="AA719" i="15"/>
  <c r="AA732" i="15"/>
  <c r="AA747" i="15"/>
  <c r="AA760" i="15"/>
  <c r="AA772" i="15"/>
  <c r="AA787" i="15"/>
  <c r="AA802" i="15"/>
  <c r="AA817" i="15"/>
  <c r="AA822" i="15"/>
  <c r="AA828" i="15"/>
  <c r="AA833" i="15"/>
  <c r="AA838" i="15"/>
  <c r="AA839" i="15"/>
  <c r="AA840" i="15"/>
  <c r="AA848" i="15"/>
  <c r="AA851" i="15"/>
  <c r="AA856" i="15"/>
  <c r="AA867" i="15"/>
  <c r="AA868" i="15"/>
  <c r="AA869" i="15"/>
  <c r="AA876" i="15"/>
  <c r="AA879" i="15"/>
  <c r="AA886" i="15"/>
  <c r="AA887" i="15"/>
  <c r="AA888" i="15"/>
  <c r="AA889" i="15"/>
  <c r="AA897" i="15"/>
  <c r="AA900" i="15"/>
  <c r="AA922" i="15"/>
  <c r="AA927" i="15"/>
  <c r="AA957" i="15"/>
  <c r="AA958" i="15"/>
  <c r="AA971" i="15"/>
  <c r="AA972" i="15"/>
  <c r="AA976" i="15"/>
  <c r="AA977" i="15"/>
  <c r="AA981" i="15"/>
  <c r="AA982" i="15"/>
  <c r="AA983" i="15"/>
  <c r="AA985" i="15"/>
  <c r="AA989" i="15"/>
  <c r="AA1005" i="15"/>
  <c r="AA1006" i="15"/>
  <c r="Z1009" i="15"/>
  <c r="Z1010" i="15"/>
  <c r="Z1011" i="15"/>
  <c r="G28" i="15"/>
  <c r="G31" i="15"/>
  <c r="G32" i="15"/>
  <c r="G36" i="15"/>
  <c r="G37" i="15"/>
  <c r="G38" i="15"/>
  <c r="G39" i="15"/>
  <c r="G40" i="15"/>
  <c r="G41" i="15"/>
  <c r="G42" i="15"/>
  <c r="G44" i="15"/>
  <c r="G45" i="15"/>
  <c r="G46" i="15"/>
  <c r="G47" i="15"/>
  <c r="G48" i="15"/>
  <c r="G49" i="15"/>
  <c r="G50" i="15"/>
  <c r="G51" i="15"/>
  <c r="G52" i="15"/>
  <c r="G53" i="15"/>
  <c r="G55" i="15"/>
  <c r="G56" i="15"/>
  <c r="G57" i="15"/>
  <c r="G58" i="15"/>
  <c r="G59" i="15"/>
  <c r="G60" i="15"/>
  <c r="G61" i="15"/>
  <c r="G62" i="15"/>
  <c r="G63" i="15"/>
  <c r="G64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5" i="15"/>
  <c r="G86" i="15"/>
  <c r="G87" i="15"/>
  <c r="G88" i="15"/>
  <c r="G89" i="15"/>
  <c r="G90" i="15"/>
  <c r="G91" i="15"/>
  <c r="G92" i="15"/>
  <c r="G93" i="15"/>
  <c r="G94" i="15"/>
  <c r="G96" i="15"/>
  <c r="G97" i="15"/>
  <c r="G98" i="15"/>
  <c r="G99" i="15"/>
  <c r="G100" i="15"/>
  <c r="G101" i="15"/>
  <c r="G102" i="15"/>
  <c r="G103" i="15"/>
  <c r="G104" i="15"/>
  <c r="G105" i="15"/>
  <c r="G107" i="15"/>
  <c r="G108" i="15"/>
  <c r="G109" i="15"/>
  <c r="G110" i="15"/>
  <c r="G111" i="15"/>
  <c r="G112" i="15"/>
  <c r="G113" i="15"/>
  <c r="G114" i="15"/>
  <c r="G115" i="15"/>
  <c r="G116" i="15"/>
  <c r="G122" i="15"/>
  <c r="G123" i="15"/>
  <c r="G124" i="15"/>
  <c r="G125" i="15"/>
  <c r="G126" i="15"/>
  <c r="G128" i="15"/>
  <c r="G129" i="15"/>
  <c r="G130" i="15"/>
  <c r="G131" i="15"/>
  <c r="G132" i="15"/>
  <c r="G133" i="15"/>
  <c r="G134" i="15"/>
  <c r="G135" i="15"/>
  <c r="G136" i="15"/>
  <c r="G139" i="15"/>
  <c r="G142" i="15"/>
  <c r="G143" i="15"/>
  <c r="G144" i="15"/>
  <c r="G148" i="15"/>
  <c r="G149" i="15"/>
  <c r="G150" i="15"/>
  <c r="G151" i="15"/>
  <c r="G155" i="15"/>
  <c r="G156" i="15"/>
  <c r="G159" i="15"/>
  <c r="G162" i="15"/>
  <c r="G165" i="15"/>
  <c r="G166" i="15"/>
  <c r="G167" i="15"/>
  <c r="G168" i="15"/>
  <c r="G169" i="15"/>
  <c r="G170" i="15"/>
  <c r="G173" i="15"/>
  <c r="G174" i="15"/>
  <c r="G177" i="15"/>
  <c r="G178" i="15"/>
  <c r="G179" i="15"/>
  <c r="G180" i="15"/>
  <c r="G181" i="15"/>
  <c r="G182" i="15"/>
  <c r="G183" i="15"/>
  <c r="G184" i="15"/>
  <c r="G185" i="15"/>
  <c r="G189" i="15"/>
  <c r="G190" i="15"/>
  <c r="G191" i="15"/>
  <c r="G192" i="15"/>
  <c r="G193" i="15"/>
  <c r="G194" i="15"/>
  <c r="G199" i="15"/>
  <c r="G200" i="15"/>
  <c r="G201" i="15"/>
  <c r="G202" i="15"/>
  <c r="G203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3" i="15"/>
  <c r="G265" i="15"/>
  <c r="G266" i="15"/>
  <c r="G267" i="15"/>
  <c r="G268" i="15"/>
  <c r="G269" i="15"/>
  <c r="G270" i="15"/>
  <c r="G272" i="15"/>
  <c r="G273" i="15"/>
  <c r="G274" i="15"/>
  <c r="G275" i="15"/>
  <c r="G276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300" i="15"/>
  <c r="Z300" i="15" s="1"/>
  <c r="G301" i="15"/>
  <c r="G302" i="15"/>
  <c r="G303" i="15"/>
  <c r="G306" i="15"/>
  <c r="G307" i="15"/>
  <c r="G308" i="15"/>
  <c r="Z308" i="15" s="1"/>
  <c r="G309" i="15"/>
  <c r="G310" i="15"/>
  <c r="G311" i="15"/>
  <c r="G312" i="15"/>
  <c r="G313" i="15"/>
  <c r="G314" i="15"/>
  <c r="G315" i="15"/>
  <c r="G316" i="15"/>
  <c r="Z316" i="15" s="1"/>
  <c r="G317" i="15"/>
  <c r="G318" i="15"/>
  <c r="G319" i="15"/>
  <c r="G320" i="15"/>
  <c r="G321" i="15"/>
  <c r="G322" i="15"/>
  <c r="G323" i="15"/>
  <c r="G324" i="15"/>
  <c r="Z324" i="15" s="1"/>
  <c r="G325" i="15"/>
  <c r="G326" i="15"/>
  <c r="G327" i="15"/>
  <c r="G328" i="15"/>
  <c r="G329" i="15"/>
  <c r="G330" i="15"/>
  <c r="G331" i="15"/>
  <c r="G332" i="15"/>
  <c r="Z332" i="15" s="1"/>
  <c r="G333" i="15"/>
  <c r="G334" i="15"/>
  <c r="G335" i="15"/>
  <c r="G336" i="15"/>
  <c r="G337" i="15"/>
  <c r="G338" i="15"/>
  <c r="G340" i="15"/>
  <c r="Z340" i="15" s="1"/>
  <c r="G341" i="15"/>
  <c r="G342" i="15"/>
  <c r="G355" i="15"/>
  <c r="G356" i="15"/>
  <c r="G357" i="15"/>
  <c r="G358" i="15"/>
  <c r="Z358" i="15" s="1"/>
  <c r="G359" i="15"/>
  <c r="G360" i="15"/>
  <c r="G361" i="15"/>
  <c r="G363" i="15"/>
  <c r="G364" i="15"/>
  <c r="G365" i="15"/>
  <c r="G366" i="15"/>
  <c r="Z366" i="15" s="1"/>
  <c r="G371" i="15"/>
  <c r="G372" i="15"/>
  <c r="G373" i="15"/>
  <c r="G374" i="15"/>
  <c r="Z374" i="15" s="1"/>
  <c r="G375" i="15"/>
  <c r="G376" i="15"/>
  <c r="G377" i="15"/>
  <c r="G378" i="15"/>
  <c r="G379" i="15"/>
  <c r="G380" i="15"/>
  <c r="G381" i="15"/>
  <c r="G382" i="15"/>
  <c r="Z382" i="15" s="1"/>
  <c r="G383" i="15"/>
  <c r="G384" i="15"/>
  <c r="G386" i="15"/>
  <c r="G387" i="15"/>
  <c r="G388" i="15"/>
  <c r="G389" i="15"/>
  <c r="G390" i="15"/>
  <c r="Z390" i="15" s="1"/>
  <c r="G391" i="15"/>
  <c r="G392" i="15"/>
  <c r="G393" i="15"/>
  <c r="G394" i="15"/>
  <c r="G395" i="15"/>
  <c r="G396" i="15"/>
  <c r="G397" i="15"/>
  <c r="G398" i="15"/>
  <c r="Z398" i="15" s="1"/>
  <c r="G399" i="15"/>
  <c r="G400" i="15"/>
  <c r="G401" i="15"/>
  <c r="G402" i="15"/>
  <c r="G403" i="15"/>
  <c r="G408" i="15"/>
  <c r="G409" i="15"/>
  <c r="G410" i="15"/>
  <c r="G411" i="15"/>
  <c r="G412" i="15"/>
  <c r="G413" i="15"/>
  <c r="G414" i="15"/>
  <c r="Z414" i="15" s="1"/>
  <c r="G415" i="15"/>
  <c r="G416" i="15"/>
  <c r="G417" i="15"/>
  <c r="G418" i="15"/>
  <c r="G419" i="15"/>
  <c r="G420" i="15"/>
  <c r="G421" i="15"/>
  <c r="G422" i="15"/>
  <c r="Z422" i="15" s="1"/>
  <c r="G423" i="15"/>
  <c r="G424" i="15"/>
  <c r="G425" i="15"/>
  <c r="G426" i="15"/>
  <c r="G427" i="15"/>
  <c r="G428" i="15"/>
  <c r="G429" i="15"/>
  <c r="G431" i="15"/>
  <c r="G432" i="15"/>
  <c r="G433" i="15"/>
  <c r="G435" i="15"/>
  <c r="G436" i="15"/>
  <c r="G437" i="15"/>
  <c r="G438" i="15"/>
  <c r="Z438" i="15" s="1"/>
  <c r="G439" i="15"/>
  <c r="G440" i="15"/>
  <c r="G441" i="15"/>
  <c r="G443" i="15"/>
  <c r="G444" i="15"/>
  <c r="G445" i="15"/>
  <c r="G449" i="15"/>
  <c r="G450" i="15"/>
  <c r="G451" i="15"/>
  <c r="G452" i="15"/>
  <c r="G453" i="15"/>
  <c r="G454" i="15"/>
  <c r="Z454" i="15" s="1"/>
  <c r="G455" i="15"/>
  <c r="G456" i="15"/>
  <c r="G457" i="15"/>
  <c r="G458" i="15"/>
  <c r="G459" i="15"/>
  <c r="G460" i="15"/>
  <c r="G461" i="15"/>
  <c r="G462" i="15"/>
  <c r="Z462" i="15" s="1"/>
  <c r="G463" i="15"/>
  <c r="G464" i="15"/>
  <c r="G465" i="15"/>
  <c r="G466" i="15"/>
  <c r="G467" i="15"/>
  <c r="G468" i="15"/>
  <c r="G470" i="15"/>
  <c r="Z470" i="15" s="1"/>
  <c r="G471" i="15"/>
  <c r="G472" i="15"/>
  <c r="G473" i="15"/>
  <c r="G474" i="15"/>
  <c r="G475" i="15"/>
  <c r="G476" i="15"/>
  <c r="G477" i="15"/>
  <c r="G478" i="15"/>
  <c r="Z478" i="15" s="1"/>
  <c r="G479" i="15"/>
  <c r="G480" i="15"/>
  <c r="G481" i="15"/>
  <c r="G482" i="15"/>
  <c r="G483" i="15"/>
  <c r="G484" i="15"/>
  <c r="G485" i="15"/>
  <c r="G486" i="15"/>
  <c r="Z486" i="15" s="1"/>
  <c r="G487" i="15"/>
  <c r="G488" i="15"/>
  <c r="G489" i="15"/>
  <c r="G490" i="15"/>
  <c r="G491" i="15"/>
  <c r="G492" i="15"/>
  <c r="G493" i="15"/>
  <c r="G494" i="15"/>
  <c r="Z494" i="15" s="1"/>
  <c r="G495" i="15"/>
  <c r="Z495" i="15" s="1"/>
  <c r="G496" i="15"/>
  <c r="G497" i="15"/>
  <c r="G498" i="15"/>
  <c r="G499" i="15"/>
  <c r="G501" i="15"/>
  <c r="G502" i="15"/>
  <c r="Z502" i="15" s="1"/>
  <c r="G503" i="15"/>
  <c r="Z503" i="15" s="1"/>
  <c r="G505" i="15"/>
  <c r="G506" i="15"/>
  <c r="G508" i="15"/>
  <c r="G510" i="15"/>
  <c r="Z510" i="15" s="1"/>
  <c r="G511" i="15"/>
  <c r="Z511" i="15" s="1"/>
  <c r="G512" i="15"/>
  <c r="G516" i="15"/>
  <c r="G518" i="15"/>
  <c r="Z518" i="15" s="1"/>
  <c r="G519" i="15"/>
  <c r="Z519" i="15" s="1"/>
  <c r="G520" i="15"/>
  <c r="G521" i="15"/>
  <c r="G522" i="15"/>
  <c r="G523" i="15"/>
  <c r="G524" i="15"/>
  <c r="G525" i="15"/>
  <c r="G527" i="15"/>
  <c r="Z527" i="15" s="1"/>
  <c r="G528" i="15"/>
  <c r="G530" i="15"/>
  <c r="G531" i="15"/>
  <c r="G535" i="15"/>
  <c r="Z535" i="15" s="1"/>
  <c r="G536" i="15"/>
  <c r="G537" i="15"/>
  <c r="G538" i="15"/>
  <c r="G539" i="15"/>
  <c r="G541" i="15"/>
  <c r="G542" i="15"/>
  <c r="Z542" i="15" s="1"/>
  <c r="G543" i="15"/>
  <c r="Z543" i="15" s="1"/>
  <c r="G544" i="15"/>
  <c r="G545" i="15"/>
  <c r="G546" i="15"/>
  <c r="G548" i="15"/>
  <c r="G549" i="15"/>
  <c r="G550" i="15"/>
  <c r="Z550" i="15" s="1"/>
  <c r="G551" i="15"/>
  <c r="Z551" i="15" s="1"/>
  <c r="G552" i="15"/>
  <c r="G553" i="15"/>
  <c r="G554" i="15"/>
  <c r="G555" i="15"/>
  <c r="G556" i="15"/>
  <c r="G557" i="15"/>
  <c r="G558" i="15"/>
  <c r="Z558" i="15" s="1"/>
  <c r="G559" i="15"/>
  <c r="Z559" i="15" s="1"/>
  <c r="G560" i="15"/>
  <c r="G561" i="15"/>
  <c r="G563" i="15"/>
  <c r="G565" i="15"/>
  <c r="G566" i="15"/>
  <c r="Z566" i="15" s="1"/>
  <c r="G569" i="15"/>
  <c r="G570" i="15"/>
  <c r="G574" i="15"/>
  <c r="Z574" i="15" s="1"/>
  <c r="G575" i="15"/>
  <c r="Z575" i="15" s="1"/>
  <c r="G576" i="15"/>
  <c r="G577" i="15"/>
  <c r="G578" i="15"/>
  <c r="G579" i="15"/>
  <c r="G580" i="15"/>
  <c r="G581" i="15"/>
  <c r="G582" i="15"/>
  <c r="Z582" i="15" s="1"/>
  <c r="G583" i="15"/>
  <c r="Z583" i="15" s="1"/>
  <c r="G584" i="15"/>
  <c r="G585" i="15"/>
  <c r="G586" i="15"/>
  <c r="G587" i="15"/>
  <c r="G588" i="15"/>
  <c r="G589" i="15"/>
  <c r="G590" i="15"/>
  <c r="Z590" i="15" s="1"/>
  <c r="G591" i="15"/>
  <c r="Z591" i="15" s="1"/>
  <c r="G592" i="15"/>
  <c r="G593" i="15"/>
  <c r="G595" i="15"/>
  <c r="G596" i="15"/>
  <c r="G597" i="15"/>
  <c r="G598" i="15"/>
  <c r="Z598" i="15" s="1"/>
  <c r="G599" i="15"/>
  <c r="Z599" i="15" s="1"/>
  <c r="G600" i="15"/>
  <c r="Z600" i="15" s="1"/>
  <c r="G602" i="15"/>
  <c r="G603" i="15"/>
  <c r="G604" i="15"/>
  <c r="G605" i="15"/>
  <c r="G607" i="15"/>
  <c r="Z607" i="15" s="1"/>
  <c r="G608" i="15"/>
  <c r="Z608" i="15" s="1"/>
  <c r="G610" i="15"/>
  <c r="G611" i="15"/>
  <c r="G612" i="15"/>
  <c r="G616" i="15"/>
  <c r="Z616" i="15" s="1"/>
  <c r="G618" i="15"/>
  <c r="G620" i="15"/>
  <c r="G622" i="15"/>
  <c r="Z622" i="15" s="1"/>
  <c r="G623" i="15"/>
  <c r="Z623" i="15" s="1"/>
  <c r="G624" i="15"/>
  <c r="Z624" i="15" s="1"/>
  <c r="G625" i="15"/>
  <c r="G629" i="15"/>
  <c r="G630" i="15"/>
  <c r="Z630" i="15" s="1"/>
  <c r="G631" i="15"/>
  <c r="Z631" i="15" s="1"/>
  <c r="G632" i="15"/>
  <c r="Z632" i="15" s="1"/>
  <c r="G633" i="15"/>
  <c r="G634" i="15"/>
  <c r="G636" i="15"/>
  <c r="G637" i="15"/>
  <c r="G638" i="15"/>
  <c r="Z638" i="15" s="1"/>
  <c r="G639" i="15"/>
  <c r="Z639" i="15" s="1"/>
  <c r="G640" i="15"/>
  <c r="Z640" i="15" s="1"/>
  <c r="G641" i="15"/>
  <c r="G642" i="15"/>
  <c r="G643" i="15"/>
  <c r="G644" i="15"/>
  <c r="G645" i="15"/>
  <c r="G646" i="15"/>
  <c r="Z646" i="15" s="1"/>
  <c r="G647" i="15"/>
  <c r="Z647" i="15" s="1"/>
  <c r="G648" i="15"/>
  <c r="Z648" i="15" s="1"/>
  <c r="G649" i="15"/>
  <c r="G650" i="15"/>
  <c r="G651" i="15"/>
  <c r="G652" i="15"/>
  <c r="G654" i="15"/>
  <c r="Z654" i="15" s="1"/>
  <c r="G655" i="15"/>
  <c r="Z655" i="15" s="1"/>
  <c r="G656" i="15"/>
  <c r="Z656" i="15" s="1"/>
  <c r="G658" i="15"/>
  <c r="G659" i="15"/>
  <c r="G660" i="15"/>
  <c r="G661" i="15"/>
  <c r="G662" i="15"/>
  <c r="Z662" i="15" s="1"/>
  <c r="G663" i="15"/>
  <c r="Z663" i="15" s="1"/>
  <c r="G664" i="15"/>
  <c r="Z664" i="15" s="1"/>
  <c r="G665" i="15"/>
  <c r="G666" i="15"/>
  <c r="G668" i="15"/>
  <c r="G670" i="15"/>
  <c r="Z670" i="15" s="1"/>
  <c r="G671" i="15"/>
  <c r="Z671" i="15" s="1"/>
  <c r="G672" i="15"/>
  <c r="Z672" i="15" s="1"/>
  <c r="G673" i="15"/>
  <c r="G674" i="15"/>
  <c r="G675" i="15"/>
  <c r="G676" i="15"/>
  <c r="G677" i="15"/>
  <c r="G678" i="15"/>
  <c r="Z678" i="15" s="1"/>
  <c r="G680" i="15"/>
  <c r="Z680" i="15" s="1"/>
  <c r="G684" i="15"/>
  <c r="G685" i="15"/>
  <c r="G686" i="15"/>
  <c r="Z686" i="15" s="1"/>
  <c r="G687" i="15"/>
  <c r="Z687" i="15" s="1"/>
  <c r="G688" i="15"/>
  <c r="Z688" i="15" s="1"/>
  <c r="G689" i="15"/>
  <c r="G690" i="15"/>
  <c r="G691" i="15"/>
  <c r="G692" i="15"/>
  <c r="G693" i="15"/>
  <c r="G694" i="15"/>
  <c r="Z694" i="15" s="1"/>
  <c r="G696" i="15"/>
  <c r="Z696" i="15" s="1"/>
  <c r="G697" i="15"/>
  <c r="G698" i="15"/>
  <c r="G699" i="15"/>
  <c r="G700" i="15"/>
  <c r="G701" i="15"/>
  <c r="G702" i="15"/>
  <c r="Z702" i="15" s="1"/>
  <c r="G703" i="15"/>
  <c r="Z703" i="15" s="1"/>
  <c r="G704" i="15"/>
  <c r="Z704" i="15" s="1"/>
  <c r="G705" i="15"/>
  <c r="G706" i="15"/>
  <c r="G708" i="15"/>
  <c r="G709" i="15"/>
  <c r="G710" i="15"/>
  <c r="Z710" i="15" s="1"/>
  <c r="G711" i="15"/>
  <c r="Z711" i="15" s="1"/>
  <c r="G712" i="15"/>
  <c r="Z712" i="15" s="1"/>
  <c r="G713" i="15"/>
  <c r="G714" i="15"/>
  <c r="G715" i="15"/>
  <c r="G716" i="15"/>
  <c r="G717" i="15"/>
  <c r="G718" i="15"/>
  <c r="Z718" i="15" s="1"/>
  <c r="G720" i="15"/>
  <c r="Z720" i="15" s="1"/>
  <c r="G721" i="15"/>
  <c r="G722" i="15"/>
  <c r="Z722" i="15" s="1"/>
  <c r="G723" i="15"/>
  <c r="G724" i="15"/>
  <c r="G725" i="15"/>
  <c r="G726" i="15"/>
  <c r="Z726" i="15" s="1"/>
  <c r="G727" i="15"/>
  <c r="Z727" i="15" s="1"/>
  <c r="G728" i="15"/>
  <c r="Z728" i="15" s="1"/>
  <c r="G729" i="15"/>
  <c r="G730" i="15"/>
  <c r="Z730" i="15" s="1"/>
  <c r="G731" i="15"/>
  <c r="G733" i="15"/>
  <c r="G734" i="15"/>
  <c r="Z734" i="15" s="1"/>
  <c r="G735" i="15"/>
  <c r="Z735" i="15" s="1"/>
  <c r="G736" i="15"/>
  <c r="Z736" i="15" s="1"/>
  <c r="G737" i="15"/>
  <c r="G738" i="15"/>
  <c r="Z738" i="15" s="1"/>
  <c r="G739" i="15"/>
  <c r="G740" i="15"/>
  <c r="G741" i="15"/>
  <c r="G742" i="15"/>
  <c r="Z742" i="15" s="1"/>
  <c r="G743" i="15"/>
  <c r="Z743" i="15" s="1"/>
  <c r="G744" i="15"/>
  <c r="Z744" i="15" s="1"/>
  <c r="G745" i="15"/>
  <c r="G746" i="15"/>
  <c r="Z746" i="15" s="1"/>
  <c r="G748" i="15"/>
  <c r="G749" i="15"/>
  <c r="G750" i="15"/>
  <c r="Z750" i="15" s="1"/>
  <c r="G751" i="15"/>
  <c r="Z751" i="15" s="1"/>
  <c r="G752" i="15"/>
  <c r="Z752" i="15" s="1"/>
  <c r="G753" i="15"/>
  <c r="G754" i="15"/>
  <c r="Z754" i="15" s="1"/>
  <c r="G755" i="15"/>
  <c r="G756" i="15"/>
  <c r="G757" i="15"/>
  <c r="G758" i="15"/>
  <c r="Z758" i="15" s="1"/>
  <c r="G759" i="15"/>
  <c r="Z759" i="15" s="1"/>
  <c r="G761" i="15"/>
  <c r="G762" i="15"/>
  <c r="Z762" i="15" s="1"/>
  <c r="G763" i="15"/>
  <c r="G764" i="15"/>
  <c r="G765" i="15"/>
  <c r="G766" i="15"/>
  <c r="Z766" i="15" s="1"/>
  <c r="G767" i="15"/>
  <c r="Z767" i="15" s="1"/>
  <c r="G768" i="15"/>
  <c r="Z768" i="15" s="1"/>
  <c r="G769" i="15"/>
  <c r="G770" i="15"/>
  <c r="Z770" i="15" s="1"/>
  <c r="G771" i="15"/>
  <c r="G773" i="15"/>
  <c r="G774" i="15"/>
  <c r="Z774" i="15" s="1"/>
  <c r="G775" i="15"/>
  <c r="Z775" i="15" s="1"/>
  <c r="G776" i="15"/>
  <c r="Z776" i="15" s="1"/>
  <c r="G777" i="15"/>
  <c r="G778" i="15"/>
  <c r="Z778" i="15" s="1"/>
  <c r="G779" i="15"/>
  <c r="G780" i="15"/>
  <c r="G781" i="15"/>
  <c r="G782" i="15"/>
  <c r="Z782" i="15" s="1"/>
  <c r="G783" i="15"/>
  <c r="Z783" i="15" s="1"/>
  <c r="G784" i="15"/>
  <c r="Z784" i="15" s="1"/>
  <c r="G785" i="15"/>
  <c r="G786" i="15"/>
  <c r="Z786" i="15" s="1"/>
  <c r="G788" i="15"/>
  <c r="G789" i="15"/>
  <c r="G790" i="15"/>
  <c r="Z790" i="15" s="1"/>
  <c r="G791" i="15"/>
  <c r="Z791" i="15" s="1"/>
  <c r="G792" i="15"/>
  <c r="Z792" i="15" s="1"/>
  <c r="G793" i="15"/>
  <c r="G794" i="15"/>
  <c r="Z794" i="15" s="1"/>
  <c r="G795" i="15"/>
  <c r="G796" i="15"/>
  <c r="G797" i="15"/>
  <c r="G798" i="15"/>
  <c r="Z798" i="15" s="1"/>
  <c r="G799" i="15"/>
  <c r="Z799" i="15" s="1"/>
  <c r="G800" i="15"/>
  <c r="Z800" i="15" s="1"/>
  <c r="G801" i="15"/>
  <c r="G803" i="15"/>
  <c r="G804" i="15"/>
  <c r="Z804" i="15" s="1"/>
  <c r="G805" i="15"/>
  <c r="Z805" i="15" s="1"/>
  <c r="G806" i="15"/>
  <c r="Z806" i="15" s="1"/>
  <c r="G807" i="15"/>
  <c r="Z807" i="15" s="1"/>
  <c r="G808" i="15"/>
  <c r="Z808" i="15" s="1"/>
  <c r="G809" i="15"/>
  <c r="Z809" i="15" s="1"/>
  <c r="G810" i="15"/>
  <c r="Z810" i="15" s="1"/>
  <c r="G811" i="15"/>
  <c r="Z811" i="15" s="1"/>
  <c r="G812" i="15"/>
  <c r="Z812" i="15" s="1"/>
  <c r="G813" i="15"/>
  <c r="Z813" i="15" s="1"/>
  <c r="G814" i="15"/>
  <c r="Z814" i="15" s="1"/>
  <c r="G815" i="15"/>
  <c r="Z815" i="15" s="1"/>
  <c r="G816" i="15"/>
  <c r="Z816" i="15" s="1"/>
  <c r="G818" i="15"/>
  <c r="Z818" i="15" s="1"/>
  <c r="G819" i="15"/>
  <c r="Z819" i="15" s="1"/>
  <c r="G820" i="15"/>
  <c r="Z820" i="15" s="1"/>
  <c r="G821" i="15"/>
  <c r="Z821" i="15" s="1"/>
  <c r="G823" i="15"/>
  <c r="Z823" i="15" s="1"/>
  <c r="G824" i="15"/>
  <c r="Z824" i="15" s="1"/>
  <c r="G825" i="15"/>
  <c r="Z825" i="15" s="1"/>
  <c r="G826" i="15"/>
  <c r="Z826" i="15" s="1"/>
  <c r="G827" i="15"/>
  <c r="Z827" i="15" s="1"/>
  <c r="G829" i="15"/>
  <c r="Z829" i="15" s="1"/>
  <c r="G830" i="15"/>
  <c r="Z830" i="15" s="1"/>
  <c r="G831" i="15"/>
  <c r="Z831" i="15" s="1"/>
  <c r="G832" i="15"/>
  <c r="Z832" i="15" s="1"/>
  <c r="G834" i="15"/>
  <c r="Z834" i="15" s="1"/>
  <c r="G835" i="15"/>
  <c r="Z835" i="15" s="1"/>
  <c r="G836" i="15"/>
  <c r="Z836" i="15" s="1"/>
  <c r="G837" i="15"/>
  <c r="Z837" i="15" s="1"/>
  <c r="G841" i="15"/>
  <c r="Z841" i="15" s="1"/>
  <c r="G842" i="15"/>
  <c r="Z842" i="15" s="1"/>
  <c r="G843" i="15"/>
  <c r="Z843" i="15" s="1"/>
  <c r="G844" i="15"/>
  <c r="Z844" i="15" s="1"/>
  <c r="G845" i="15"/>
  <c r="Z845" i="15" s="1"/>
  <c r="G846" i="15"/>
  <c r="Z846" i="15" s="1"/>
  <c r="G847" i="15"/>
  <c r="Z847" i="15" s="1"/>
  <c r="G849" i="15"/>
  <c r="Z849" i="15" s="1"/>
  <c r="G850" i="15"/>
  <c r="Z850" i="15" s="1"/>
  <c r="G852" i="15"/>
  <c r="Z852" i="15" s="1"/>
  <c r="G853" i="15"/>
  <c r="Z853" i="15" s="1"/>
  <c r="G854" i="15"/>
  <c r="Z854" i="15" s="1"/>
  <c r="G855" i="15"/>
  <c r="Z855" i="15" s="1"/>
  <c r="G857" i="15"/>
  <c r="Z857" i="15" s="1"/>
  <c r="G858" i="15"/>
  <c r="Z858" i="15" s="1"/>
  <c r="G859" i="15"/>
  <c r="Z859" i="15" s="1"/>
  <c r="G860" i="15"/>
  <c r="Z860" i="15" s="1"/>
  <c r="G861" i="15"/>
  <c r="Z861" i="15" s="1"/>
  <c r="G862" i="15"/>
  <c r="Z862" i="15" s="1"/>
  <c r="G863" i="15"/>
  <c r="Z863" i="15" s="1"/>
  <c r="G864" i="15"/>
  <c r="Z864" i="15" s="1"/>
  <c r="G865" i="15"/>
  <c r="Z865" i="15" s="1"/>
  <c r="G866" i="15"/>
  <c r="Z866" i="15" s="1"/>
  <c r="G870" i="15"/>
  <c r="Z870" i="15" s="1"/>
  <c r="G871" i="15"/>
  <c r="Z871" i="15" s="1"/>
  <c r="G872" i="15"/>
  <c r="Z872" i="15" s="1"/>
  <c r="G873" i="15"/>
  <c r="Z873" i="15" s="1"/>
  <c r="G874" i="15"/>
  <c r="Z874" i="15" s="1"/>
  <c r="G875" i="15"/>
  <c r="Z875" i="15" s="1"/>
  <c r="G877" i="15"/>
  <c r="Z877" i="15" s="1"/>
  <c r="G878" i="15"/>
  <c r="Z878" i="15" s="1"/>
  <c r="G880" i="15"/>
  <c r="Z880" i="15" s="1"/>
  <c r="G881" i="15"/>
  <c r="Z881" i="15" s="1"/>
  <c r="G882" i="15"/>
  <c r="Z882" i="15" s="1"/>
  <c r="G883" i="15"/>
  <c r="Z883" i="15" s="1"/>
  <c r="G884" i="15"/>
  <c r="Z884" i="15" s="1"/>
  <c r="G885" i="15"/>
  <c r="Z885" i="15" s="1"/>
  <c r="G890" i="15"/>
  <c r="Z890" i="15" s="1"/>
  <c r="G891" i="15"/>
  <c r="Z891" i="15" s="1"/>
  <c r="G892" i="15"/>
  <c r="Z892" i="15" s="1"/>
  <c r="G893" i="15"/>
  <c r="Z893" i="15" s="1"/>
  <c r="G898" i="15"/>
  <c r="Z898" i="15" s="1"/>
  <c r="G899" i="15"/>
  <c r="Z899" i="15" s="1"/>
  <c r="G901" i="15"/>
  <c r="G902" i="15"/>
  <c r="Z902" i="15" s="1"/>
  <c r="G903" i="15"/>
  <c r="Z903" i="15" s="1"/>
  <c r="G904" i="15"/>
  <c r="Z904" i="15" s="1"/>
  <c r="G905" i="15"/>
  <c r="Z905" i="15" s="1"/>
  <c r="G906" i="15"/>
  <c r="Z906" i="15" s="1"/>
  <c r="G907" i="15"/>
  <c r="Z907" i="15" s="1"/>
  <c r="G908" i="15"/>
  <c r="Z908" i="15" s="1"/>
  <c r="G909" i="15"/>
  <c r="Z909" i="15" s="1"/>
  <c r="G910" i="15"/>
  <c r="Z910" i="15" s="1"/>
  <c r="G911" i="15"/>
  <c r="Z911" i="15" s="1"/>
  <c r="G912" i="15"/>
  <c r="Z912" i="15" s="1"/>
  <c r="G913" i="15"/>
  <c r="Z913" i="15" s="1"/>
  <c r="G923" i="15"/>
  <c r="Z923" i="15" s="1"/>
  <c r="G924" i="15"/>
  <c r="Z924" i="15" s="1"/>
  <c r="G925" i="15"/>
  <c r="Z925" i="15" s="1"/>
  <c r="G926" i="15"/>
  <c r="Z926" i="15" s="1"/>
  <c r="G928" i="15"/>
  <c r="Z928" i="15" s="1"/>
  <c r="G929" i="15"/>
  <c r="Z929" i="15" s="1"/>
  <c r="G930" i="15"/>
  <c r="Z930" i="15" s="1"/>
  <c r="G931" i="15"/>
  <c r="Z931" i="15" s="1"/>
  <c r="G932" i="15"/>
  <c r="Z932" i="15" s="1"/>
  <c r="G933" i="15"/>
  <c r="Z933" i="15" s="1"/>
  <c r="G934" i="15"/>
  <c r="Z934" i="15" s="1"/>
  <c r="G935" i="15"/>
  <c r="Z935" i="15" s="1"/>
  <c r="Z955" i="15"/>
  <c r="G956" i="15"/>
  <c r="Z956" i="15" s="1"/>
  <c r="G959" i="15"/>
  <c r="Z959" i="15" s="1"/>
  <c r="G960" i="15"/>
  <c r="Z960" i="15" s="1"/>
  <c r="G961" i="15"/>
  <c r="Z961" i="15" s="1"/>
  <c r="G962" i="15"/>
  <c r="Z962" i="15" s="1"/>
  <c r="G963" i="15"/>
  <c r="Z963" i="15" s="1"/>
  <c r="G964" i="15"/>
  <c r="Z964" i="15" s="1"/>
  <c r="G965" i="15"/>
  <c r="Z965" i="15" s="1"/>
  <c r="G966" i="15"/>
  <c r="Z966" i="15" s="1"/>
  <c r="G967" i="15"/>
  <c r="Z967" i="15" s="1"/>
  <c r="G968" i="15"/>
  <c r="Z968" i="15" s="1"/>
  <c r="G973" i="15"/>
  <c r="Z973" i="15" s="1"/>
  <c r="G974" i="15"/>
  <c r="Z974" i="15" s="1"/>
  <c r="G975" i="15"/>
  <c r="Z975" i="15" s="1"/>
  <c r="G978" i="15"/>
  <c r="Z978" i="15" s="1"/>
  <c r="G979" i="15"/>
  <c r="Z979" i="15" s="1"/>
  <c r="G984" i="15"/>
  <c r="Z984" i="15" s="1"/>
  <c r="G986" i="15"/>
  <c r="Z986" i="15" s="1"/>
  <c r="G987" i="15"/>
  <c r="Z987" i="15" s="1"/>
  <c r="G988" i="15"/>
  <c r="Z988" i="15" s="1"/>
  <c r="G990" i="15"/>
  <c r="Z990" i="15" s="1"/>
  <c r="G991" i="15"/>
  <c r="Z991" i="15" s="1"/>
  <c r="G992" i="15"/>
  <c r="Z992" i="15" s="1"/>
  <c r="G993" i="15"/>
  <c r="Z993" i="15" s="1"/>
  <c r="G994" i="15"/>
  <c r="Z994" i="15" s="1"/>
  <c r="G995" i="15"/>
  <c r="Z995" i="15" s="1"/>
  <c r="G996" i="15"/>
  <c r="Z996" i="15" s="1"/>
  <c r="G997" i="15"/>
  <c r="Z997" i="15" s="1"/>
  <c r="G998" i="15"/>
  <c r="Z998" i="15" s="1"/>
  <c r="G999" i="15"/>
  <c r="Z999" i="15" s="1"/>
  <c r="G1007" i="15"/>
  <c r="Z1007" i="15" s="1"/>
  <c r="G1008" i="15"/>
  <c r="Z1008" i="15" s="1"/>
  <c r="G25" i="15"/>
  <c r="G27" i="15"/>
  <c r="G23" i="15"/>
  <c r="Z23" i="15" s="1"/>
  <c r="D598" i="15"/>
  <c r="D855" i="15"/>
  <c r="F51" i="1"/>
  <c r="T51" i="1" s="1"/>
  <c r="Z255" i="1" l="1"/>
  <c r="G186" i="15"/>
  <c r="H186" i="15" s="1"/>
  <c r="Z266" i="1"/>
  <c r="G268" i="1"/>
  <c r="H268" i="1" s="1"/>
  <c r="Z143" i="1"/>
  <c r="G131" i="1"/>
  <c r="H131" i="1" s="1"/>
  <c r="Z225" i="1"/>
  <c r="G132" i="1"/>
  <c r="H132" i="1" s="1"/>
  <c r="I132" i="1" s="1"/>
  <c r="Z222" i="1"/>
  <c r="G1151" i="1"/>
  <c r="H1151" i="1" s="1"/>
  <c r="I1151" i="1" s="1"/>
  <c r="G121" i="1"/>
  <c r="H121" i="1" s="1"/>
  <c r="I121" i="1" s="1"/>
  <c r="G1150" i="1"/>
  <c r="H1150" i="1" s="1"/>
  <c r="I1150" i="1" s="1"/>
  <c r="Z166" i="1"/>
  <c r="G1133" i="1"/>
  <c r="H1133" i="1" s="1"/>
  <c r="I1133" i="1" s="1"/>
  <c r="Z154" i="1"/>
  <c r="Z164" i="1"/>
  <c r="G1131" i="1"/>
  <c r="H1131" i="1" s="1"/>
  <c r="I1131" i="1" s="1"/>
  <c r="Z71" i="1"/>
  <c r="Z70" i="1"/>
  <c r="G1126" i="1"/>
  <c r="H1126" i="1" s="1"/>
  <c r="Q1125" i="1"/>
  <c r="U1125" i="1" s="1"/>
  <c r="I1125" i="1"/>
  <c r="Z165" i="1"/>
  <c r="G1132" i="1"/>
  <c r="H1132" i="1" s="1"/>
  <c r="I1132" i="1" s="1"/>
  <c r="Z162" i="1"/>
  <c r="G1130" i="1"/>
  <c r="H1130" i="1" s="1"/>
  <c r="I1130" i="1" s="1"/>
  <c r="Z81" i="1"/>
  <c r="Z173" i="1"/>
  <c r="H1136" i="1"/>
  <c r="I1136" i="1" s="1"/>
  <c r="Z153" i="1"/>
  <c r="G1129" i="1"/>
  <c r="H1129" i="1" s="1"/>
  <c r="I1129" i="1" s="1"/>
  <c r="Z183" i="1"/>
  <c r="G1138" i="1"/>
  <c r="H1138" i="1" s="1"/>
  <c r="Z169" i="1"/>
  <c r="G1135" i="1"/>
  <c r="H1135" i="1" s="1"/>
  <c r="I1135" i="1" s="1"/>
  <c r="Z157" i="1"/>
  <c r="Z168" i="1"/>
  <c r="G1134" i="1"/>
  <c r="H1134" i="1" s="1"/>
  <c r="I1134" i="1" s="1"/>
  <c r="Z75" i="1"/>
  <c r="G1128" i="1"/>
  <c r="H1128" i="1" s="1"/>
  <c r="I1123" i="1"/>
  <c r="U1123" i="1"/>
  <c r="Z74" i="1"/>
  <c r="G1127" i="1"/>
  <c r="H1127" i="1" s="1"/>
  <c r="Z218" i="1"/>
  <c r="G102" i="1"/>
  <c r="H102" i="1" s="1"/>
  <c r="G1122" i="1"/>
  <c r="H1122" i="1" s="1"/>
  <c r="G101" i="1"/>
  <c r="H101" i="1" s="1"/>
  <c r="G1121" i="1"/>
  <c r="H1121" i="1" s="1"/>
  <c r="Q1121" i="1" s="1"/>
  <c r="G104" i="1"/>
  <c r="H104" i="1" s="1"/>
  <c r="G1124" i="1"/>
  <c r="H1124" i="1" s="1"/>
  <c r="Z354" i="1"/>
  <c r="G127" i="1"/>
  <c r="H127" i="1" s="1"/>
  <c r="I127" i="1" s="1"/>
  <c r="Z444" i="1"/>
  <c r="G124" i="1"/>
  <c r="H124" i="1" s="1"/>
  <c r="I124" i="1" s="1"/>
  <c r="Z1237" i="1"/>
  <c r="G122" i="1"/>
  <c r="H122" i="1" s="1"/>
  <c r="I122" i="1" s="1"/>
  <c r="Z339" i="1"/>
  <c r="G125" i="1"/>
  <c r="H125" i="1" s="1"/>
  <c r="I125" i="1" s="1"/>
  <c r="Z1229" i="1"/>
  <c r="G119" i="1"/>
  <c r="H119" i="1" s="1"/>
  <c r="I119" i="1" s="1"/>
  <c r="Z1228" i="1"/>
  <c r="G120" i="1"/>
  <c r="H120" i="1" s="1"/>
  <c r="I120" i="1" s="1"/>
  <c r="Z248" i="1"/>
  <c r="G117" i="1"/>
  <c r="H117" i="1" s="1"/>
  <c r="I117" i="1" s="1"/>
  <c r="Z246" i="1"/>
  <c r="G118" i="1"/>
  <c r="H118" i="1" s="1"/>
  <c r="I118" i="1" s="1"/>
  <c r="Z243" i="1"/>
  <c r="G114" i="1"/>
  <c r="H114" i="1" s="1"/>
  <c r="I114" i="1" s="1"/>
  <c r="Z244" i="1"/>
  <c r="G115" i="1"/>
  <c r="H115" i="1" s="1"/>
  <c r="I115" i="1" s="1"/>
  <c r="Z210" i="1"/>
  <c r="G113" i="1"/>
  <c r="H113" i="1" s="1"/>
  <c r="I113" i="1" s="1"/>
  <c r="Z271" i="1"/>
  <c r="G111" i="1"/>
  <c r="H111" i="1" s="1"/>
  <c r="I111" i="1" s="1"/>
  <c r="Z254" i="1"/>
  <c r="G109" i="1"/>
  <c r="H109" i="1" s="1"/>
  <c r="I109" i="1" s="1"/>
  <c r="Z262" i="1"/>
  <c r="G110" i="1"/>
  <c r="H110" i="1" s="1"/>
  <c r="I110" i="1" s="1"/>
  <c r="Z147" i="1"/>
  <c r="G108" i="1"/>
  <c r="H108" i="1" s="1"/>
  <c r="I108" i="1" s="1"/>
  <c r="Z145" i="1"/>
  <c r="Z144" i="1"/>
  <c r="Z136" i="1"/>
  <c r="G107" i="1"/>
  <c r="Z63" i="1"/>
  <c r="G103" i="1"/>
  <c r="H103" i="1" s="1"/>
  <c r="Q103" i="1" s="1"/>
  <c r="Z57" i="1"/>
  <c r="G105" i="1"/>
  <c r="H105" i="1" s="1"/>
  <c r="Q105" i="1" s="1"/>
  <c r="Z51" i="1"/>
  <c r="AB459" i="15"/>
  <c r="Z901" i="15"/>
  <c r="AB908" i="15"/>
  <c r="AA807" i="15"/>
  <c r="AA542" i="15"/>
  <c r="AA494" i="15"/>
  <c r="AA984" i="15"/>
  <c r="AA965" i="15"/>
  <c r="AA736" i="15"/>
  <c r="AA863" i="15"/>
  <c r="AA794" i="15"/>
  <c r="AA671" i="15"/>
  <c r="AA510" i="15"/>
  <c r="AA855" i="15"/>
  <c r="AA823" i="15"/>
  <c r="AA767" i="15"/>
  <c r="AA600" i="15"/>
  <c r="AA374" i="15"/>
  <c r="AA686" i="15"/>
  <c r="AA898" i="15"/>
  <c r="AA815" i="15"/>
  <c r="AA751" i="15"/>
  <c r="AA575" i="15"/>
  <c r="H37" i="1"/>
  <c r="AA1176" i="1"/>
  <c r="AA1074" i="1"/>
  <c r="AA578" i="1"/>
  <c r="Z554" i="15"/>
  <c r="AA554" i="15"/>
  <c r="Z363" i="15"/>
  <c r="AA363" i="15"/>
  <c r="Z334" i="15"/>
  <c r="AA334" i="15"/>
  <c r="Z263" i="15"/>
  <c r="AA263" i="15"/>
  <c r="Z254" i="15"/>
  <c r="AA254" i="15"/>
  <c r="Z213" i="15"/>
  <c r="AA213" i="15"/>
  <c r="Z150" i="15"/>
  <c r="AA150" i="15"/>
  <c r="Z101" i="15"/>
  <c r="AA101" i="15"/>
  <c r="Z92" i="15"/>
  <c r="AA92" i="15"/>
  <c r="Z80" i="15"/>
  <c r="AA80" i="15"/>
  <c r="Z62" i="15"/>
  <c r="AA62" i="15"/>
  <c r="Z53" i="15"/>
  <c r="AA53" i="15"/>
  <c r="Z45" i="15"/>
  <c r="AA45" i="15"/>
  <c r="Z36" i="15"/>
  <c r="AA36" i="15"/>
  <c r="AA992" i="15"/>
  <c r="AA975" i="15"/>
  <c r="AA930" i="15"/>
  <c r="AA906" i="15"/>
  <c r="AA871" i="15"/>
  <c r="AA847" i="15"/>
  <c r="AA831" i="15"/>
  <c r="AA782" i="15"/>
  <c r="AA722" i="15"/>
  <c r="AA704" i="15"/>
  <c r="AA656" i="15"/>
  <c r="AA639" i="15"/>
  <c r="Z781" i="15"/>
  <c r="AA781" i="15"/>
  <c r="Z773" i="15"/>
  <c r="AA773" i="15"/>
  <c r="Z764" i="15"/>
  <c r="AA764" i="15"/>
  <c r="Z755" i="15"/>
  <c r="AA755" i="15"/>
  <c r="Z729" i="15"/>
  <c r="AA729" i="15"/>
  <c r="Z721" i="15"/>
  <c r="AA721" i="15"/>
  <c r="Z674" i="15"/>
  <c r="AA674" i="15"/>
  <c r="Z629" i="15"/>
  <c r="AA629" i="15"/>
  <c r="Z612" i="15"/>
  <c r="AA612" i="15"/>
  <c r="Z602" i="15"/>
  <c r="AA602" i="15"/>
  <c r="Z592" i="15"/>
  <c r="AA592" i="15"/>
  <c r="Z584" i="15"/>
  <c r="AA584" i="15"/>
  <c r="Z576" i="15"/>
  <c r="AA576" i="15"/>
  <c r="Z561" i="15"/>
  <c r="AA561" i="15"/>
  <c r="Z553" i="15"/>
  <c r="AA553" i="15"/>
  <c r="Z544" i="15"/>
  <c r="AA544" i="15"/>
  <c r="Z522" i="15"/>
  <c r="AA522" i="15"/>
  <c r="Z498" i="15"/>
  <c r="AA498" i="15"/>
  <c r="Z490" i="15"/>
  <c r="AA490" i="15"/>
  <c r="Z482" i="15"/>
  <c r="AA482" i="15"/>
  <c r="Z474" i="15"/>
  <c r="AA474" i="15"/>
  <c r="Z465" i="15"/>
  <c r="AA465" i="15"/>
  <c r="Z457" i="15"/>
  <c r="AA457" i="15"/>
  <c r="Z449" i="15"/>
  <c r="AA449" i="15"/>
  <c r="Z437" i="15"/>
  <c r="AA437" i="15"/>
  <c r="Z427" i="15"/>
  <c r="AA427" i="15"/>
  <c r="Z419" i="15"/>
  <c r="AA419" i="15"/>
  <c r="Z411" i="15"/>
  <c r="AA411" i="15"/>
  <c r="Z399" i="15"/>
  <c r="AA399" i="15"/>
  <c r="Z391" i="15"/>
  <c r="AA391" i="15"/>
  <c r="Z361" i="15"/>
  <c r="AA361" i="15"/>
  <c r="Z341" i="15"/>
  <c r="AA341" i="15"/>
  <c r="Z333" i="15"/>
  <c r="AA333" i="15"/>
  <c r="Z325" i="15"/>
  <c r="AA325" i="15"/>
  <c r="Z317" i="15"/>
  <c r="AA317" i="15"/>
  <c r="Z309" i="15"/>
  <c r="AA309" i="15"/>
  <c r="Z298" i="15"/>
  <c r="AA298" i="15"/>
  <c r="Z290" i="15"/>
  <c r="AA290" i="15"/>
  <c r="Z282" i="15"/>
  <c r="AA282" i="15"/>
  <c r="Z272" i="15"/>
  <c r="AA272" i="15"/>
  <c r="Z261" i="15"/>
  <c r="AA261" i="15"/>
  <c r="Z253" i="15"/>
  <c r="AA253" i="15"/>
  <c r="Z245" i="15"/>
  <c r="AA245" i="15"/>
  <c r="Z236" i="15"/>
  <c r="AA236" i="15"/>
  <c r="Z228" i="15"/>
  <c r="AA228" i="15"/>
  <c r="Z220" i="15"/>
  <c r="AA220" i="15"/>
  <c r="Z212" i="15"/>
  <c r="AA212" i="15"/>
  <c r="Z199" i="15"/>
  <c r="AA199" i="15"/>
  <c r="Z184" i="15"/>
  <c r="AA184" i="15"/>
  <c r="Z174" i="15"/>
  <c r="AA174" i="15"/>
  <c r="Z149" i="15"/>
  <c r="AA149" i="15"/>
  <c r="Z139" i="15"/>
  <c r="AA139" i="15"/>
  <c r="Z129" i="15"/>
  <c r="Z116" i="15"/>
  <c r="AA116" i="15"/>
  <c r="Z108" i="15"/>
  <c r="AA108" i="15"/>
  <c r="Z100" i="15"/>
  <c r="AA100" i="15"/>
  <c r="Z91" i="15"/>
  <c r="AA91" i="15"/>
  <c r="Z79" i="15"/>
  <c r="AA79" i="15"/>
  <c r="Z71" i="15"/>
  <c r="AA71" i="15"/>
  <c r="Z61" i="15"/>
  <c r="AA61" i="15"/>
  <c r="Z52" i="15"/>
  <c r="AA52" i="15"/>
  <c r="Z44" i="15"/>
  <c r="AA44" i="15"/>
  <c r="AA999" i="15"/>
  <c r="AA991" i="15"/>
  <c r="AA974" i="15"/>
  <c r="AA964" i="15"/>
  <c r="AA956" i="15"/>
  <c r="AA929" i="15"/>
  <c r="AA913" i="15"/>
  <c r="AA905" i="15"/>
  <c r="AA878" i="15"/>
  <c r="AA870" i="15"/>
  <c r="AA862" i="15"/>
  <c r="AA854" i="15"/>
  <c r="AA846" i="15"/>
  <c r="AA830" i="15"/>
  <c r="AA814" i="15"/>
  <c r="AA806" i="15"/>
  <c r="AA792" i="15"/>
  <c r="AA778" i="15"/>
  <c r="AA766" i="15"/>
  <c r="AA750" i="15"/>
  <c r="AA735" i="15"/>
  <c r="AA720" i="15"/>
  <c r="AA703" i="15"/>
  <c r="AA670" i="15"/>
  <c r="AA655" i="15"/>
  <c r="AA638" i="15"/>
  <c r="AA624" i="15"/>
  <c r="AA599" i="15"/>
  <c r="AA574" i="15"/>
  <c r="AA519" i="15"/>
  <c r="AA486" i="15"/>
  <c r="Z765" i="15"/>
  <c r="AA765" i="15"/>
  <c r="Z585" i="15"/>
  <c r="AA585" i="15"/>
  <c r="Z536" i="15"/>
  <c r="AA536" i="15"/>
  <c r="Z475" i="15"/>
  <c r="AA475" i="15"/>
  <c r="Z450" i="15"/>
  <c r="AA450" i="15"/>
  <c r="Z400" i="15"/>
  <c r="AA400" i="15"/>
  <c r="Z318" i="15"/>
  <c r="AA318" i="15"/>
  <c r="Z273" i="15"/>
  <c r="AA273" i="15"/>
  <c r="Z237" i="15"/>
  <c r="AA237" i="15"/>
  <c r="Z229" i="15"/>
  <c r="AA229" i="15"/>
  <c r="Z177" i="15"/>
  <c r="AA177" i="15"/>
  <c r="Z142" i="15"/>
  <c r="AA142" i="15"/>
  <c r="Z130" i="15"/>
  <c r="AA130" i="15"/>
  <c r="Z109" i="15"/>
  <c r="AA109" i="15"/>
  <c r="Z72" i="15"/>
  <c r="AA72" i="15"/>
  <c r="Z797" i="15"/>
  <c r="AA797" i="15"/>
  <c r="Z789" i="15"/>
  <c r="AA789" i="15"/>
  <c r="Z780" i="15"/>
  <c r="AA780" i="15"/>
  <c r="Z771" i="15"/>
  <c r="AA771" i="15"/>
  <c r="Z763" i="15"/>
  <c r="AA763" i="15"/>
  <c r="Z745" i="15"/>
  <c r="AA745" i="15"/>
  <c r="Z737" i="15"/>
  <c r="AA737" i="15"/>
  <c r="Z693" i="15"/>
  <c r="AA693" i="15"/>
  <c r="Z685" i="15"/>
  <c r="AA685" i="15"/>
  <c r="Z673" i="15"/>
  <c r="AA673" i="15"/>
  <c r="Z645" i="15"/>
  <c r="AA645" i="15"/>
  <c r="Z637" i="15"/>
  <c r="AA637" i="15"/>
  <c r="Z625" i="15"/>
  <c r="AA625" i="15"/>
  <c r="Z611" i="15"/>
  <c r="AA611" i="15"/>
  <c r="Z560" i="15"/>
  <c r="AA560" i="15"/>
  <c r="Z552" i="15"/>
  <c r="AA552" i="15"/>
  <c r="Z531" i="15"/>
  <c r="AA531" i="15"/>
  <c r="Z521" i="15"/>
  <c r="AA521" i="15"/>
  <c r="Z508" i="15"/>
  <c r="AA508" i="15"/>
  <c r="Z497" i="15"/>
  <c r="AA497" i="15"/>
  <c r="Z489" i="15"/>
  <c r="AA489" i="15"/>
  <c r="Z481" i="15"/>
  <c r="AA481" i="15"/>
  <c r="Z473" i="15"/>
  <c r="AA473" i="15"/>
  <c r="Z464" i="15"/>
  <c r="AA464" i="15"/>
  <c r="Z456" i="15"/>
  <c r="AA456" i="15"/>
  <c r="Z445" i="15"/>
  <c r="AA445" i="15"/>
  <c r="Z436" i="15"/>
  <c r="AA436" i="15"/>
  <c r="Z426" i="15"/>
  <c r="AA426" i="15"/>
  <c r="Z418" i="15"/>
  <c r="AA418" i="15"/>
  <c r="Z410" i="15"/>
  <c r="AA410" i="15"/>
  <c r="Z381" i="15"/>
  <c r="AA381" i="15"/>
  <c r="Z373" i="15"/>
  <c r="AA373" i="15"/>
  <c r="Z360" i="15"/>
  <c r="AA360" i="15"/>
  <c r="Z297" i="15"/>
  <c r="AA297" i="15"/>
  <c r="Z289" i="15"/>
  <c r="AA289" i="15"/>
  <c r="Z281" i="15"/>
  <c r="AA281" i="15"/>
  <c r="Z270" i="15"/>
  <c r="AA270" i="15"/>
  <c r="Z260" i="15"/>
  <c r="AA260" i="15"/>
  <c r="Z252" i="15"/>
  <c r="AA252" i="15"/>
  <c r="Z244" i="15"/>
  <c r="AA244" i="15"/>
  <c r="Z235" i="15"/>
  <c r="AA235" i="15"/>
  <c r="Z227" i="15"/>
  <c r="AA227" i="15"/>
  <c r="Z219" i="15"/>
  <c r="AA219" i="15"/>
  <c r="Z211" i="15"/>
  <c r="AA211" i="15"/>
  <c r="Z194" i="15"/>
  <c r="AA194" i="15"/>
  <c r="Z183" i="15"/>
  <c r="AA183" i="15"/>
  <c r="Z173" i="15"/>
  <c r="AA173" i="15"/>
  <c r="Z148" i="15"/>
  <c r="AA148" i="15"/>
  <c r="Z136" i="15"/>
  <c r="AA136" i="15"/>
  <c r="Z128" i="15"/>
  <c r="AA128" i="15"/>
  <c r="Z115" i="15"/>
  <c r="AA115" i="15"/>
  <c r="Z107" i="15"/>
  <c r="AA107" i="15"/>
  <c r="Z99" i="15"/>
  <c r="AA99" i="15"/>
  <c r="Z90" i="15"/>
  <c r="AA90" i="15"/>
  <c r="Z78" i="15"/>
  <c r="AA78" i="15"/>
  <c r="Z70" i="15"/>
  <c r="AA70" i="15"/>
  <c r="Z60" i="15"/>
  <c r="AA60" i="15"/>
  <c r="Z51" i="15"/>
  <c r="AA51" i="15"/>
  <c r="Z42" i="15"/>
  <c r="AA42" i="15"/>
  <c r="AA998" i="15"/>
  <c r="AA990" i="15"/>
  <c r="AA973" i="15"/>
  <c r="AA963" i="15"/>
  <c r="AA955" i="15"/>
  <c r="AA928" i="15"/>
  <c r="AA904" i="15"/>
  <c r="AA893" i="15"/>
  <c r="AA885" i="15"/>
  <c r="AA877" i="15"/>
  <c r="AA861" i="15"/>
  <c r="AA853" i="15"/>
  <c r="AA845" i="15"/>
  <c r="AA837" i="15"/>
  <c r="AA829" i="15"/>
  <c r="AA821" i="15"/>
  <c r="AA813" i="15"/>
  <c r="AA805" i="15"/>
  <c r="AA791" i="15"/>
  <c r="AA776" i="15"/>
  <c r="AA762" i="15"/>
  <c r="AA734" i="15"/>
  <c r="AA702" i="15"/>
  <c r="AA654" i="15"/>
  <c r="AA623" i="15"/>
  <c r="AA598" i="15"/>
  <c r="AA559" i="15"/>
  <c r="AA535" i="15"/>
  <c r="AA518" i="15"/>
  <c r="AA340" i="15"/>
  <c r="AA300" i="15"/>
  <c r="Z675" i="15"/>
  <c r="AA675" i="15"/>
  <c r="Z593" i="15"/>
  <c r="AA593" i="15"/>
  <c r="Z420" i="15"/>
  <c r="AA420" i="15"/>
  <c r="Z185" i="15"/>
  <c r="AA185" i="15"/>
  <c r="Z796" i="15"/>
  <c r="AA796" i="15"/>
  <c r="Z788" i="15"/>
  <c r="AA788" i="15"/>
  <c r="Z779" i="15"/>
  <c r="AA779" i="15"/>
  <c r="Z753" i="15"/>
  <c r="AA753" i="15"/>
  <c r="Z701" i="15"/>
  <c r="AA701" i="15"/>
  <c r="Z692" i="15"/>
  <c r="AA692" i="15"/>
  <c r="AA684" i="15"/>
  <c r="Z684" i="15"/>
  <c r="Z652" i="15"/>
  <c r="AA652" i="15"/>
  <c r="Z644" i="15"/>
  <c r="AA644" i="15"/>
  <c r="Z636" i="15"/>
  <c r="AA636" i="15"/>
  <c r="Z610" i="15"/>
  <c r="AA610" i="15"/>
  <c r="Z530" i="15"/>
  <c r="AA530" i="15"/>
  <c r="Z520" i="15"/>
  <c r="AA520" i="15"/>
  <c r="Z506" i="15"/>
  <c r="AA506" i="15"/>
  <c r="Z496" i="15"/>
  <c r="AA496" i="15"/>
  <c r="Z488" i="15"/>
  <c r="AA488" i="15"/>
  <c r="Z480" i="15"/>
  <c r="Z472" i="15"/>
  <c r="AA472" i="15"/>
  <c r="Z463" i="15"/>
  <c r="AA463" i="15"/>
  <c r="Z455" i="15"/>
  <c r="AA455" i="15"/>
  <c r="Z444" i="15"/>
  <c r="AA444" i="15"/>
  <c r="Z435" i="15"/>
  <c r="AA435" i="15"/>
  <c r="Z425" i="15"/>
  <c r="AA425" i="15"/>
  <c r="Z417" i="15"/>
  <c r="AA417" i="15"/>
  <c r="Z409" i="15"/>
  <c r="AA409" i="15"/>
  <c r="Z397" i="15"/>
  <c r="AA397" i="15"/>
  <c r="Z389" i="15"/>
  <c r="AA389" i="15"/>
  <c r="Z380" i="15"/>
  <c r="AA380" i="15"/>
  <c r="Z372" i="15"/>
  <c r="AA372" i="15"/>
  <c r="Z359" i="15"/>
  <c r="AA359" i="15"/>
  <c r="Z331" i="15"/>
  <c r="AA331" i="15"/>
  <c r="Z323" i="15"/>
  <c r="AA323" i="15"/>
  <c r="Z315" i="15"/>
  <c r="AA315" i="15"/>
  <c r="Z307" i="15"/>
  <c r="AA307" i="15"/>
  <c r="Z296" i="15"/>
  <c r="AA296" i="15"/>
  <c r="Z288" i="15"/>
  <c r="AA288" i="15"/>
  <c r="Z280" i="15"/>
  <c r="AA280" i="15"/>
  <c r="Z269" i="15"/>
  <c r="AA269" i="15"/>
  <c r="Z259" i="15"/>
  <c r="AA259" i="15"/>
  <c r="Z251" i="15"/>
  <c r="AA251" i="15"/>
  <c r="Z242" i="15"/>
  <c r="AA242" i="15"/>
  <c r="Z234" i="15"/>
  <c r="AA234" i="15"/>
  <c r="Z226" i="15"/>
  <c r="AA226" i="15"/>
  <c r="Z218" i="15"/>
  <c r="AA218" i="15"/>
  <c r="Z210" i="15"/>
  <c r="AA210" i="15"/>
  <c r="Z193" i="15"/>
  <c r="AA193" i="15"/>
  <c r="Z182" i="15"/>
  <c r="AA182" i="15"/>
  <c r="Z170" i="15"/>
  <c r="AA170" i="15"/>
  <c r="Z162" i="15"/>
  <c r="AA162" i="15"/>
  <c r="Z135" i="15"/>
  <c r="AA135" i="15"/>
  <c r="Z126" i="15"/>
  <c r="AA126" i="15"/>
  <c r="Z114" i="15"/>
  <c r="AA114" i="15"/>
  <c r="Z98" i="15"/>
  <c r="AA98" i="15"/>
  <c r="Z89" i="15"/>
  <c r="AA89" i="15"/>
  <c r="Z77" i="15"/>
  <c r="AA77" i="15"/>
  <c r="Z69" i="15"/>
  <c r="AA69" i="15"/>
  <c r="Z59" i="15"/>
  <c r="AA59" i="15"/>
  <c r="Z50" i="15"/>
  <c r="AA50" i="15"/>
  <c r="Z41" i="15"/>
  <c r="AA41" i="15"/>
  <c r="AA997" i="15"/>
  <c r="AA962" i="15"/>
  <c r="AA935" i="15"/>
  <c r="AA911" i="15"/>
  <c r="AA903" i="15"/>
  <c r="AA892" i="15"/>
  <c r="AA884" i="15"/>
  <c r="AA860" i="15"/>
  <c r="AA852" i="15"/>
  <c r="AA844" i="15"/>
  <c r="AA836" i="15"/>
  <c r="AA820" i="15"/>
  <c r="AA812" i="15"/>
  <c r="AA804" i="15"/>
  <c r="AA790" i="15"/>
  <c r="AA775" i="15"/>
  <c r="AA746" i="15"/>
  <c r="AA718" i="15"/>
  <c r="AA696" i="15"/>
  <c r="AA632" i="15"/>
  <c r="AA622" i="15"/>
  <c r="AA558" i="15"/>
  <c r="AA470" i="15"/>
  <c r="AA438" i="15"/>
  <c r="Z756" i="15"/>
  <c r="AA756" i="15"/>
  <c r="Z713" i="15"/>
  <c r="AA713" i="15"/>
  <c r="Z603" i="15"/>
  <c r="AA603" i="15"/>
  <c r="Z545" i="15"/>
  <c r="AA545" i="15"/>
  <c r="Z458" i="15"/>
  <c r="AA458" i="15"/>
  <c r="Z383" i="15"/>
  <c r="AA383" i="15"/>
  <c r="Z342" i="15"/>
  <c r="AA342" i="15"/>
  <c r="Z291" i="15"/>
  <c r="AA291" i="15"/>
  <c r="Z200" i="15"/>
  <c r="AA200" i="15"/>
  <c r="Z761" i="15"/>
  <c r="AA761" i="15"/>
  <c r="Z717" i="15"/>
  <c r="AA717" i="15"/>
  <c r="Z709" i="15"/>
  <c r="AA709" i="15"/>
  <c r="Z700" i="15"/>
  <c r="AA700" i="15"/>
  <c r="Z691" i="15"/>
  <c r="AA691" i="15"/>
  <c r="Z661" i="15"/>
  <c r="AA661" i="15"/>
  <c r="Z651" i="15"/>
  <c r="AA651" i="15"/>
  <c r="Z643" i="15"/>
  <c r="AA643" i="15"/>
  <c r="Z634" i="15"/>
  <c r="AA634" i="15"/>
  <c r="Z589" i="15"/>
  <c r="AA589" i="15"/>
  <c r="Z581" i="15"/>
  <c r="AA581" i="15"/>
  <c r="Z570" i="15"/>
  <c r="AA570" i="15"/>
  <c r="Z541" i="15"/>
  <c r="AA541" i="15"/>
  <c r="Z528" i="15"/>
  <c r="AA528" i="15"/>
  <c r="Z505" i="15"/>
  <c r="AA505" i="15"/>
  <c r="Z487" i="15"/>
  <c r="AA487" i="15"/>
  <c r="Z479" i="15"/>
  <c r="Z471" i="15"/>
  <c r="AA471" i="15"/>
  <c r="Z443" i="15"/>
  <c r="AA443" i="15"/>
  <c r="Z433" i="15"/>
  <c r="AA433" i="15"/>
  <c r="Z424" i="15"/>
  <c r="AA424" i="15"/>
  <c r="Z416" i="15"/>
  <c r="AA416" i="15"/>
  <c r="Z408" i="15"/>
  <c r="AA408" i="15"/>
  <c r="Z396" i="15"/>
  <c r="AA396" i="15"/>
  <c r="Z388" i="15"/>
  <c r="AA388" i="15"/>
  <c r="Z379" i="15"/>
  <c r="AA379" i="15"/>
  <c r="Z371" i="15"/>
  <c r="AA371" i="15"/>
  <c r="Z338" i="15"/>
  <c r="AA338" i="15"/>
  <c r="Z330" i="15"/>
  <c r="AA330" i="15"/>
  <c r="Z322" i="15"/>
  <c r="AA322" i="15"/>
  <c r="Z314" i="15"/>
  <c r="AA314" i="15"/>
  <c r="Z306" i="15"/>
  <c r="AA306" i="15"/>
  <c r="Z295" i="15"/>
  <c r="AA295" i="15"/>
  <c r="Z287" i="15"/>
  <c r="AA287" i="15"/>
  <c r="Z279" i="15"/>
  <c r="AA279" i="15"/>
  <c r="Z268" i="15"/>
  <c r="AA268" i="15"/>
  <c r="Z258" i="15"/>
  <c r="AA258" i="15"/>
  <c r="Z250" i="15"/>
  <c r="AA250" i="15"/>
  <c r="Z241" i="15"/>
  <c r="AA241" i="15"/>
  <c r="Z233" i="15"/>
  <c r="AA233" i="15"/>
  <c r="Z225" i="15"/>
  <c r="AA225" i="15"/>
  <c r="Z217" i="15"/>
  <c r="AA217" i="15"/>
  <c r="Z209" i="15"/>
  <c r="AA209" i="15"/>
  <c r="Z192" i="15"/>
  <c r="AA192" i="15"/>
  <c r="Z181" i="15"/>
  <c r="AA181" i="15"/>
  <c r="Z169" i="15"/>
  <c r="AA169" i="15"/>
  <c r="Z159" i="15"/>
  <c r="AA159" i="15"/>
  <c r="Z134" i="15"/>
  <c r="AA134" i="15"/>
  <c r="Z125" i="15"/>
  <c r="AA125" i="15"/>
  <c r="Z113" i="15"/>
  <c r="AA113" i="15"/>
  <c r="Z105" i="15"/>
  <c r="AA105" i="15"/>
  <c r="Z97" i="15"/>
  <c r="AA97" i="15"/>
  <c r="Z88" i="15"/>
  <c r="AA88" i="15"/>
  <c r="Z76" i="15"/>
  <c r="AA76" i="15"/>
  <c r="Z68" i="15"/>
  <c r="AA68" i="15"/>
  <c r="Z58" i="15"/>
  <c r="AA58" i="15"/>
  <c r="Z49" i="15"/>
  <c r="AA49" i="15"/>
  <c r="Z40" i="15"/>
  <c r="AA40" i="15"/>
  <c r="Z32" i="15"/>
  <c r="AA32" i="15"/>
  <c r="AA23" i="15"/>
  <c r="AA996" i="15"/>
  <c r="AA988" i="15"/>
  <c r="AA979" i="15"/>
  <c r="AA961" i="15"/>
  <c r="AA934" i="15"/>
  <c r="AA926" i="15"/>
  <c r="AA910" i="15"/>
  <c r="AA902" i="15"/>
  <c r="AA891" i="15"/>
  <c r="AA883" i="15"/>
  <c r="AA875" i="15"/>
  <c r="AA859" i="15"/>
  <c r="AA843" i="15"/>
  <c r="AA835" i="15"/>
  <c r="AA827" i="15"/>
  <c r="AA819" i="15"/>
  <c r="AA811" i="15"/>
  <c r="AA774" i="15"/>
  <c r="AA759" i="15"/>
  <c r="AA744" i="15"/>
  <c r="AA730" i="15"/>
  <c r="AA712" i="15"/>
  <c r="AA680" i="15"/>
  <c r="AA664" i="15"/>
  <c r="AA648" i="15"/>
  <c r="AA631" i="15"/>
  <c r="AA608" i="15"/>
  <c r="AA591" i="15"/>
  <c r="AA551" i="15"/>
  <c r="AA503" i="15"/>
  <c r="AA398" i="15"/>
  <c r="AA332" i="15"/>
  <c r="Z577" i="15"/>
  <c r="AA577" i="15"/>
  <c r="Z491" i="15"/>
  <c r="AA491" i="15"/>
  <c r="Z428" i="15"/>
  <c r="AA428" i="15"/>
  <c r="Z326" i="15"/>
  <c r="AA326" i="15"/>
  <c r="Z165" i="15"/>
  <c r="AA165" i="15"/>
  <c r="Z795" i="15"/>
  <c r="AA795" i="15"/>
  <c r="Z769" i="15"/>
  <c r="AA769" i="15"/>
  <c r="Z803" i="15"/>
  <c r="AA803" i="15"/>
  <c r="Z785" i="15"/>
  <c r="AA785" i="15"/>
  <c r="Z777" i="15"/>
  <c r="AA777" i="15"/>
  <c r="Z725" i="15"/>
  <c r="AA725" i="15"/>
  <c r="Z716" i="15"/>
  <c r="AA716" i="15"/>
  <c r="Z708" i="15"/>
  <c r="AA708" i="15"/>
  <c r="Z699" i="15"/>
  <c r="AA699" i="15"/>
  <c r="Z690" i="15"/>
  <c r="AA690" i="15"/>
  <c r="Z660" i="15"/>
  <c r="AA660" i="15"/>
  <c r="Z650" i="15"/>
  <c r="AA650" i="15"/>
  <c r="Z642" i="15"/>
  <c r="AA642" i="15"/>
  <c r="Z633" i="15"/>
  <c r="AA633" i="15"/>
  <c r="Z597" i="15"/>
  <c r="AA597" i="15"/>
  <c r="Z588" i="15"/>
  <c r="AA588" i="15"/>
  <c r="Z580" i="15"/>
  <c r="AA580" i="15"/>
  <c r="Z569" i="15"/>
  <c r="AA569" i="15"/>
  <c r="Z557" i="15"/>
  <c r="AA557" i="15"/>
  <c r="Z549" i="15"/>
  <c r="AA549" i="15"/>
  <c r="Z539" i="15"/>
  <c r="AA539" i="15"/>
  <c r="Z461" i="15"/>
  <c r="AA461" i="15"/>
  <c r="Z453" i="15"/>
  <c r="AA453" i="15"/>
  <c r="Z441" i="15"/>
  <c r="AA441" i="15"/>
  <c r="Z432" i="15"/>
  <c r="AA432" i="15"/>
  <c r="Z423" i="15"/>
  <c r="AA423" i="15"/>
  <c r="Z415" i="15"/>
  <c r="AA415" i="15"/>
  <c r="Z403" i="15"/>
  <c r="AA403" i="15"/>
  <c r="Z395" i="15"/>
  <c r="AA395" i="15"/>
  <c r="Z387" i="15"/>
  <c r="AA387" i="15"/>
  <c r="Z378" i="15"/>
  <c r="AA378" i="15"/>
  <c r="Z357" i="15"/>
  <c r="AA357" i="15"/>
  <c r="Z337" i="15"/>
  <c r="AA337" i="15"/>
  <c r="Z329" i="15"/>
  <c r="AA329" i="15"/>
  <c r="Z321" i="15"/>
  <c r="AA321" i="15"/>
  <c r="Z313" i="15"/>
  <c r="AA313" i="15"/>
  <c r="Z303" i="15"/>
  <c r="AA303" i="15"/>
  <c r="Z294" i="15"/>
  <c r="AA294" i="15"/>
  <c r="Z286" i="15"/>
  <c r="AA286" i="15"/>
  <c r="Z276" i="15"/>
  <c r="AA276" i="15"/>
  <c r="Z267" i="15"/>
  <c r="AA267" i="15"/>
  <c r="Z257" i="15"/>
  <c r="AA257" i="15"/>
  <c r="Z249" i="15"/>
  <c r="AA249" i="15"/>
  <c r="Z240" i="15"/>
  <c r="AA240" i="15"/>
  <c r="Z232" i="15"/>
  <c r="AA232" i="15"/>
  <c r="Z224" i="15"/>
  <c r="AA224" i="15"/>
  <c r="Z216" i="15"/>
  <c r="AA216" i="15"/>
  <c r="Z203" i="15"/>
  <c r="AA203" i="15"/>
  <c r="Z191" i="15"/>
  <c r="AA191" i="15"/>
  <c r="Z180" i="15"/>
  <c r="AA180" i="15"/>
  <c r="Z168" i="15"/>
  <c r="AA168" i="15"/>
  <c r="Z156" i="15"/>
  <c r="AA156" i="15"/>
  <c r="Z133" i="15"/>
  <c r="AA133" i="15"/>
  <c r="Z124" i="15"/>
  <c r="AA124" i="15"/>
  <c r="Z112" i="15"/>
  <c r="AA112" i="15"/>
  <c r="Z104" i="15"/>
  <c r="AA104" i="15"/>
  <c r="Z96" i="15"/>
  <c r="AA96" i="15"/>
  <c r="Z87" i="15"/>
  <c r="AA87" i="15"/>
  <c r="Z75" i="15"/>
  <c r="AA75" i="15"/>
  <c r="Z67" i="15"/>
  <c r="AA67" i="15"/>
  <c r="Z57" i="15"/>
  <c r="AA57" i="15"/>
  <c r="Z48" i="15"/>
  <c r="AA48" i="15"/>
  <c r="Z39" i="15"/>
  <c r="AA39" i="15"/>
  <c r="Z31" i="15"/>
  <c r="AA31" i="15"/>
  <c r="AA1008" i="15"/>
  <c r="AA995" i="15"/>
  <c r="AA987" i="15"/>
  <c r="AA978" i="15"/>
  <c r="AA968" i="15"/>
  <c r="AA960" i="15"/>
  <c r="AA933" i="15"/>
  <c r="AA925" i="15"/>
  <c r="AA909" i="15"/>
  <c r="AA901" i="15"/>
  <c r="AA890" i="15"/>
  <c r="AA882" i="15"/>
  <c r="AA874" i="15"/>
  <c r="AA866" i="15"/>
  <c r="AA858" i="15"/>
  <c r="AA850" i="15"/>
  <c r="AA842" i="15"/>
  <c r="AA834" i="15"/>
  <c r="AA826" i="15"/>
  <c r="AA818" i="15"/>
  <c r="AA810" i="15"/>
  <c r="AA800" i="15"/>
  <c r="AA786" i="15"/>
  <c r="AA758" i="15"/>
  <c r="AA743" i="15"/>
  <c r="AA728" i="15"/>
  <c r="AA711" i="15"/>
  <c r="AA694" i="15"/>
  <c r="AA663" i="15"/>
  <c r="AA647" i="15"/>
  <c r="AA630" i="15"/>
  <c r="AA607" i="15"/>
  <c r="AA590" i="15"/>
  <c r="AA550" i="15"/>
  <c r="AA502" i="15"/>
  <c r="AA462" i="15"/>
  <c r="AA390" i="15"/>
  <c r="AA366" i="15"/>
  <c r="AA324" i="15"/>
  <c r="Z739" i="15"/>
  <c r="AA739" i="15"/>
  <c r="Z523" i="15"/>
  <c r="AA523" i="15"/>
  <c r="Z483" i="15"/>
  <c r="AA483" i="15"/>
  <c r="Z412" i="15"/>
  <c r="AA412" i="15"/>
  <c r="Z375" i="15"/>
  <c r="AA375" i="15"/>
  <c r="Z310" i="15"/>
  <c r="AA310" i="15"/>
  <c r="Z283" i="15"/>
  <c r="AA283" i="15"/>
  <c r="Z221" i="15"/>
  <c r="AA221" i="15"/>
  <c r="Z793" i="15"/>
  <c r="AA793" i="15"/>
  <c r="Z741" i="15"/>
  <c r="AA741" i="15"/>
  <c r="Z733" i="15"/>
  <c r="AA733" i="15"/>
  <c r="Z724" i="15"/>
  <c r="AA724" i="15"/>
  <c r="Z715" i="15"/>
  <c r="AA715" i="15"/>
  <c r="Z706" i="15"/>
  <c r="AA706" i="15"/>
  <c r="Z698" i="15"/>
  <c r="AA698" i="15"/>
  <c r="Z689" i="15"/>
  <c r="AA689" i="15"/>
  <c r="Z677" i="15"/>
  <c r="AA677" i="15"/>
  <c r="Z668" i="15"/>
  <c r="AA668" i="15"/>
  <c r="Z659" i="15"/>
  <c r="AA659" i="15"/>
  <c r="Z649" i="15"/>
  <c r="AA649" i="15"/>
  <c r="Z641" i="15"/>
  <c r="AA641" i="15"/>
  <c r="Z620" i="15"/>
  <c r="AA620" i="15"/>
  <c r="Z605" i="15"/>
  <c r="AA605" i="15"/>
  <c r="Z596" i="15"/>
  <c r="AA596" i="15"/>
  <c r="Z587" i="15"/>
  <c r="AA587" i="15"/>
  <c r="Z579" i="15"/>
  <c r="AA579" i="15"/>
  <c r="Z556" i="15"/>
  <c r="AA556" i="15"/>
  <c r="Z548" i="15"/>
  <c r="AA548" i="15"/>
  <c r="Z538" i="15"/>
  <c r="AA538" i="15"/>
  <c r="Z525" i="15"/>
  <c r="AA525" i="15"/>
  <c r="Z516" i="15"/>
  <c r="AA516" i="15"/>
  <c r="Z493" i="15"/>
  <c r="AA493" i="15"/>
  <c r="Z485" i="15"/>
  <c r="AA485" i="15"/>
  <c r="Z477" i="15"/>
  <c r="AA477" i="15"/>
  <c r="Z468" i="15"/>
  <c r="AA468" i="15"/>
  <c r="Z460" i="15"/>
  <c r="AA460" i="15"/>
  <c r="Z452" i="15"/>
  <c r="AA452" i="15"/>
  <c r="Z440" i="15"/>
  <c r="AA440" i="15"/>
  <c r="Z431" i="15"/>
  <c r="AA431" i="15"/>
  <c r="Z402" i="15"/>
  <c r="AA402" i="15"/>
  <c r="Z394" i="15"/>
  <c r="AA394" i="15"/>
  <c r="Z386" i="15"/>
  <c r="AA386" i="15"/>
  <c r="Z377" i="15"/>
  <c r="AA377" i="15"/>
  <c r="Z365" i="15"/>
  <c r="AA365" i="15"/>
  <c r="Z356" i="15"/>
  <c r="AA356" i="15"/>
  <c r="Z336" i="15"/>
  <c r="AA336" i="15"/>
  <c r="Z328" i="15"/>
  <c r="AA328" i="15"/>
  <c r="Z320" i="15"/>
  <c r="AA320" i="15"/>
  <c r="Z312" i="15"/>
  <c r="AA312" i="15"/>
  <c r="Z302" i="15"/>
  <c r="AA302" i="15"/>
  <c r="Z293" i="15"/>
  <c r="AA293" i="15"/>
  <c r="Z285" i="15"/>
  <c r="AA285" i="15"/>
  <c r="Z275" i="15"/>
  <c r="AA275" i="15"/>
  <c r="Z266" i="15"/>
  <c r="AA266" i="15"/>
  <c r="Z256" i="15"/>
  <c r="AA256" i="15"/>
  <c r="Z248" i="15"/>
  <c r="AA248" i="15"/>
  <c r="Z239" i="15"/>
  <c r="AA239" i="15"/>
  <c r="Z231" i="15"/>
  <c r="AA231" i="15"/>
  <c r="Z223" i="15"/>
  <c r="AA223" i="15"/>
  <c r="Z215" i="15"/>
  <c r="AA215" i="15"/>
  <c r="Z202" i="15"/>
  <c r="AA202" i="15"/>
  <c r="Z190" i="15"/>
  <c r="AA190" i="15"/>
  <c r="Z179" i="15"/>
  <c r="AA179" i="15"/>
  <c r="Z167" i="15"/>
  <c r="AA167" i="15"/>
  <c r="Z155" i="15"/>
  <c r="AA155" i="15"/>
  <c r="Z144" i="15"/>
  <c r="AA144" i="15"/>
  <c r="Z132" i="15"/>
  <c r="AA132" i="15"/>
  <c r="Z123" i="15"/>
  <c r="AA123" i="15"/>
  <c r="Z111" i="15"/>
  <c r="AA111" i="15"/>
  <c r="Z103" i="15"/>
  <c r="AA103" i="15"/>
  <c r="Z94" i="15"/>
  <c r="AA94" i="15"/>
  <c r="Z86" i="15"/>
  <c r="AA86" i="15"/>
  <c r="Z74" i="15"/>
  <c r="AA74" i="15"/>
  <c r="Z64" i="15"/>
  <c r="AA64" i="15"/>
  <c r="Z56" i="15"/>
  <c r="AA56" i="15"/>
  <c r="Z47" i="15"/>
  <c r="AA47" i="15"/>
  <c r="Z38" i="15"/>
  <c r="AA38" i="15"/>
  <c r="AA1007" i="15"/>
  <c r="AA994" i="15"/>
  <c r="AA986" i="15"/>
  <c r="AA967" i="15"/>
  <c r="AA959" i="15"/>
  <c r="AA932" i="15"/>
  <c r="AA924" i="15"/>
  <c r="AA908" i="15"/>
  <c r="AA873" i="15"/>
  <c r="AA865" i="15"/>
  <c r="AA857" i="15"/>
  <c r="AA849" i="15"/>
  <c r="AA841" i="15"/>
  <c r="AA825" i="15"/>
  <c r="AA809" i="15"/>
  <c r="AA799" i="15"/>
  <c r="AA784" i="15"/>
  <c r="AA770" i="15"/>
  <c r="AA754" i="15"/>
  <c r="AA742" i="15"/>
  <c r="AA727" i="15"/>
  <c r="AA710" i="15"/>
  <c r="AA688" i="15"/>
  <c r="AA678" i="15"/>
  <c r="AA662" i="15"/>
  <c r="AA646" i="15"/>
  <c r="AA583" i="15"/>
  <c r="AA454" i="15"/>
  <c r="AA422" i="15"/>
  <c r="AA316" i="15"/>
  <c r="Z25" i="15"/>
  <c r="AA25" i="15"/>
  <c r="Z748" i="15"/>
  <c r="AA748" i="15"/>
  <c r="Z665" i="15"/>
  <c r="AA665" i="15"/>
  <c r="Z563" i="15"/>
  <c r="AA563" i="15"/>
  <c r="Z499" i="15"/>
  <c r="AA499" i="15"/>
  <c r="Z466" i="15"/>
  <c r="AA466" i="15"/>
  <c r="Z392" i="15"/>
  <c r="AA392" i="15"/>
  <c r="Z246" i="15"/>
  <c r="AA246" i="15"/>
  <c r="Z27" i="15"/>
  <c r="AA27" i="15"/>
  <c r="Z801" i="15"/>
  <c r="AA801" i="15"/>
  <c r="Z757" i="15"/>
  <c r="AA757" i="15"/>
  <c r="Z749" i="15"/>
  <c r="AA749" i="15"/>
  <c r="Z740" i="15"/>
  <c r="AA740" i="15"/>
  <c r="Z731" i="15"/>
  <c r="AA731" i="15"/>
  <c r="Z723" i="15"/>
  <c r="AA723" i="15"/>
  <c r="Z714" i="15"/>
  <c r="AA714" i="15"/>
  <c r="Z705" i="15"/>
  <c r="AA705" i="15"/>
  <c r="Z697" i="15"/>
  <c r="AA697" i="15"/>
  <c r="Z676" i="15"/>
  <c r="AA676" i="15"/>
  <c r="Z666" i="15"/>
  <c r="AA666" i="15"/>
  <c r="Z658" i="15"/>
  <c r="AA658" i="15"/>
  <c r="Z618" i="15"/>
  <c r="AA618" i="15"/>
  <c r="Z604" i="15"/>
  <c r="AA604" i="15"/>
  <c r="Z595" i="15"/>
  <c r="AA595" i="15"/>
  <c r="Z586" i="15"/>
  <c r="AA586" i="15"/>
  <c r="Z578" i="15"/>
  <c r="AA578" i="15"/>
  <c r="Z565" i="15"/>
  <c r="AA565" i="15"/>
  <c r="Z555" i="15"/>
  <c r="AA555" i="15"/>
  <c r="Z546" i="15"/>
  <c r="AA546" i="15"/>
  <c r="Z537" i="15"/>
  <c r="AA537" i="15"/>
  <c r="Z524" i="15"/>
  <c r="AA524" i="15"/>
  <c r="Z512" i="15"/>
  <c r="AA512" i="15"/>
  <c r="Z501" i="15"/>
  <c r="AA501" i="15"/>
  <c r="Z492" i="15"/>
  <c r="AA492" i="15"/>
  <c r="Z484" i="15"/>
  <c r="Z476" i="15"/>
  <c r="AA476" i="15"/>
  <c r="Z467" i="15"/>
  <c r="AA467" i="15"/>
  <c r="Z459" i="15"/>
  <c r="AA459" i="15"/>
  <c r="Z451" i="15"/>
  <c r="AA451" i="15"/>
  <c r="Z439" i="15"/>
  <c r="AA439" i="15"/>
  <c r="Z429" i="15"/>
  <c r="AA429" i="15"/>
  <c r="Z421" i="15"/>
  <c r="AA421" i="15"/>
  <c r="Z413" i="15"/>
  <c r="AA413" i="15"/>
  <c r="Z401" i="15"/>
  <c r="AA401" i="15"/>
  <c r="Z393" i="15"/>
  <c r="AA393" i="15"/>
  <c r="Z384" i="15"/>
  <c r="AA384" i="15"/>
  <c r="Z376" i="15"/>
  <c r="AA376" i="15"/>
  <c r="Z364" i="15"/>
  <c r="AA364" i="15"/>
  <c r="Z355" i="15"/>
  <c r="AA355" i="15"/>
  <c r="Z335" i="15"/>
  <c r="AA335" i="15"/>
  <c r="Z327" i="15"/>
  <c r="AA327" i="15"/>
  <c r="Z319" i="15"/>
  <c r="AA319" i="15"/>
  <c r="Z311" i="15"/>
  <c r="AA311" i="15"/>
  <c r="Z301" i="15"/>
  <c r="AA301" i="15"/>
  <c r="Z292" i="15"/>
  <c r="AA292" i="15"/>
  <c r="Z284" i="15"/>
  <c r="AA284" i="15"/>
  <c r="Z274" i="15"/>
  <c r="AA274" i="15"/>
  <c r="Z265" i="15"/>
  <c r="AA265" i="15"/>
  <c r="Z255" i="15"/>
  <c r="AA255" i="15"/>
  <c r="Z247" i="15"/>
  <c r="AA247" i="15"/>
  <c r="Z238" i="15"/>
  <c r="AA238" i="15"/>
  <c r="Z230" i="15"/>
  <c r="AA230" i="15"/>
  <c r="Z222" i="15"/>
  <c r="AA222" i="15"/>
  <c r="Z214" i="15"/>
  <c r="AA214" i="15"/>
  <c r="Z201" i="15"/>
  <c r="AA201" i="15"/>
  <c r="Z189" i="15"/>
  <c r="AA189" i="15"/>
  <c r="Z178" i="15"/>
  <c r="AA178" i="15"/>
  <c r="Z166" i="15"/>
  <c r="AA166" i="15"/>
  <c r="Z151" i="15"/>
  <c r="AA151" i="15"/>
  <c r="Z143" i="15"/>
  <c r="AA143" i="15"/>
  <c r="Z131" i="15"/>
  <c r="AA131" i="15"/>
  <c r="Z122" i="15"/>
  <c r="AA122" i="15"/>
  <c r="Z110" i="15"/>
  <c r="AA110" i="15"/>
  <c r="Z102" i="15"/>
  <c r="AA102" i="15"/>
  <c r="Z93" i="15"/>
  <c r="AA93" i="15"/>
  <c r="Z85" i="15"/>
  <c r="AA85" i="15"/>
  <c r="Z73" i="15"/>
  <c r="AA73" i="15"/>
  <c r="Z63" i="15"/>
  <c r="AA63" i="15"/>
  <c r="Z55" i="15"/>
  <c r="AA55" i="15"/>
  <c r="Z46" i="15"/>
  <c r="AA46" i="15"/>
  <c r="Z37" i="15"/>
  <c r="AA37" i="15"/>
  <c r="Z28" i="15"/>
  <c r="AA28" i="15"/>
  <c r="AA993" i="15"/>
  <c r="AA966" i="15"/>
  <c r="AA931" i="15"/>
  <c r="AA923" i="15"/>
  <c r="AA907" i="15"/>
  <c r="AA899" i="15"/>
  <c r="AA872" i="15"/>
  <c r="AA864" i="15"/>
  <c r="AA832" i="15"/>
  <c r="AA824" i="15"/>
  <c r="AA816" i="15"/>
  <c r="AA808" i="15"/>
  <c r="AA798" i="15"/>
  <c r="AA783" i="15"/>
  <c r="AA768" i="15"/>
  <c r="AA752" i="15"/>
  <c r="AA738" i="15"/>
  <c r="AA726" i="15"/>
  <c r="AA687" i="15"/>
  <c r="AA672" i="15"/>
  <c r="AA640" i="15"/>
  <c r="AA616" i="15"/>
  <c r="AA582" i="15"/>
  <c r="AA566" i="15"/>
  <c r="AA543" i="15"/>
  <c r="AA527" i="15"/>
  <c r="AA511" i="15"/>
  <c r="AA495" i="15"/>
  <c r="AA414" i="15"/>
  <c r="AA382" i="15"/>
  <c r="AA358" i="15"/>
  <c r="AA308" i="15"/>
  <c r="AD966" i="15"/>
  <c r="X966" i="15"/>
  <c r="H966" i="15" s="1"/>
  <c r="AD965" i="15"/>
  <c r="X965" i="15"/>
  <c r="H965" i="15" s="1"/>
  <c r="AD964" i="15"/>
  <c r="X964" i="15"/>
  <c r="H964" i="15" s="1"/>
  <c r="F1236" i="1"/>
  <c r="F1235" i="1"/>
  <c r="T1235" i="1" s="1"/>
  <c r="F1234" i="1"/>
  <c r="AB1236" i="1"/>
  <c r="X1236" i="1"/>
  <c r="H1236" i="1" s="1"/>
  <c r="AB1235" i="1"/>
  <c r="X1235" i="1"/>
  <c r="H1235" i="1" s="1"/>
  <c r="AB1234" i="1"/>
  <c r="X1234" i="1"/>
  <c r="H1234" i="1" s="1"/>
  <c r="Q104" i="1" l="1"/>
  <c r="U104" i="1" s="1"/>
  <c r="Q101" i="1"/>
  <c r="U101" i="1" s="1"/>
  <c r="Q102" i="1"/>
  <c r="U102" i="1" s="1"/>
  <c r="Q1127" i="1"/>
  <c r="U1127" i="1" s="1"/>
  <c r="I1127" i="1"/>
  <c r="I1126" i="1"/>
  <c r="Q1126" i="1"/>
  <c r="U1126" i="1" s="1"/>
  <c r="I1124" i="1"/>
  <c r="Q1124" i="1"/>
  <c r="U1124" i="1" s="1"/>
  <c r="Q1128" i="1"/>
  <c r="U1128" i="1" s="1"/>
  <c r="I1128" i="1"/>
  <c r="I1122" i="1"/>
  <c r="Q1122" i="1"/>
  <c r="U1122" i="1" s="1"/>
  <c r="I102" i="1"/>
  <c r="I1121" i="1"/>
  <c r="I104" i="1"/>
  <c r="I101" i="1"/>
  <c r="I105" i="1"/>
  <c r="U105" i="1"/>
  <c r="I103" i="1"/>
  <c r="U103" i="1"/>
  <c r="Z1236" i="1"/>
  <c r="T1236" i="1"/>
  <c r="Z1234" i="1"/>
  <c r="T1234" i="1"/>
  <c r="Z1235" i="1"/>
  <c r="I1236" i="1"/>
  <c r="I1234" i="1"/>
  <c r="I1235" i="1"/>
  <c r="AA1277" i="1"/>
  <c r="AA1278" i="1" s="1"/>
  <c r="AB1009" i="15"/>
  <c r="AB1010" i="15" s="1"/>
  <c r="I964" i="15"/>
  <c r="AC964" i="15"/>
  <c r="I965" i="15"/>
  <c r="AC965" i="15"/>
  <c r="I966" i="15"/>
  <c r="AC966" i="15"/>
  <c r="F1242" i="1"/>
  <c r="U1121" i="1" l="1"/>
  <c r="Q1067" i="1"/>
  <c r="U1067" i="1" s="1"/>
  <c r="Z1242" i="1"/>
  <c r="T1242" i="1"/>
  <c r="B276" i="1"/>
  <c r="I2580" i="4"/>
  <c r="B2580" i="4" s="1"/>
  <c r="F2580" i="4"/>
  <c r="G2580" i="4" s="1"/>
  <c r="I2582" i="4"/>
  <c r="F2582" i="4"/>
  <c r="G2582" i="4" s="1"/>
  <c r="I2581" i="4"/>
  <c r="B2581" i="4" s="1"/>
  <c r="F2581" i="4"/>
  <c r="G2581" i="4" s="1"/>
  <c r="I2579" i="4"/>
  <c r="B2579" i="4" s="1"/>
  <c r="A2577" i="4" s="1"/>
  <c r="F2579" i="4"/>
  <c r="G2579" i="4" s="1"/>
  <c r="F2574" i="4"/>
  <c r="G2574" i="4" s="1"/>
  <c r="F2573" i="4"/>
  <c r="G2573" i="4" s="1"/>
  <c r="F2572" i="4"/>
  <c r="G2572" i="4" s="1"/>
  <c r="G2583" i="4" l="1"/>
  <c r="G2575" i="4"/>
  <c r="X31" i="1" s="1"/>
  <c r="H31" i="1" s="1"/>
  <c r="I31" i="1" l="1"/>
  <c r="X194" i="15"/>
  <c r="H194" i="15" s="1"/>
  <c r="X276" i="1"/>
  <c r="H276" i="1" s="1"/>
  <c r="AD893" i="15"/>
  <c r="X893" i="15"/>
  <c r="H893" i="15" s="1"/>
  <c r="U893" i="15" s="1"/>
  <c r="AD892" i="15"/>
  <c r="X892" i="15"/>
  <c r="H892" i="15" s="1"/>
  <c r="U892" i="15" s="1"/>
  <c r="AB1159" i="1"/>
  <c r="X1159" i="1"/>
  <c r="H1159" i="1" s="1"/>
  <c r="AB1160" i="1"/>
  <c r="X1160" i="1"/>
  <c r="H1160" i="1" s="1"/>
  <c r="AB1237" i="1"/>
  <c r="X1237" i="1"/>
  <c r="H1237" i="1" s="1"/>
  <c r="I1159" i="1" l="1"/>
  <c r="U1159" i="1"/>
  <c r="I1160" i="1"/>
  <c r="U1160" i="1"/>
  <c r="I276" i="1"/>
  <c r="I1237" i="1"/>
  <c r="I893" i="15"/>
  <c r="AC893" i="15"/>
  <c r="I892" i="15"/>
  <c r="AC892" i="15"/>
  <c r="I194" i="15"/>
  <c r="AC194" i="15"/>
  <c r="A2563" i="4"/>
  <c r="C891" i="15" s="1"/>
  <c r="I2567" i="4"/>
  <c r="F2567" i="4"/>
  <c r="G2567" i="4" s="1"/>
  <c r="I2566" i="4"/>
  <c r="F2566" i="4"/>
  <c r="G2566" i="4" s="1"/>
  <c r="I2565" i="4"/>
  <c r="F2565" i="4"/>
  <c r="G2565" i="4" s="1"/>
  <c r="AD63" i="15"/>
  <c r="X63" i="15"/>
  <c r="H63" i="15" s="1"/>
  <c r="Q63" i="15" s="1"/>
  <c r="U63" i="15" s="1"/>
  <c r="X99" i="1"/>
  <c r="H99" i="1" s="1"/>
  <c r="Q99" i="1" s="1"/>
  <c r="U99" i="1" s="1"/>
  <c r="AB99" i="1"/>
  <c r="I99" i="1" l="1"/>
  <c r="I63" i="15"/>
  <c r="AC63" i="15"/>
  <c r="G2568" i="4"/>
  <c r="X891" i="15" l="1"/>
  <c r="H891" i="15" s="1"/>
  <c r="U891" i="15" s="1"/>
  <c r="X1158" i="1"/>
  <c r="H1158" i="1" s="1"/>
  <c r="AD249" i="15"/>
  <c r="X249" i="15"/>
  <c r="X331" i="1"/>
  <c r="D45" i="18"/>
  <c r="I1158" i="1" l="1"/>
  <c r="U1158" i="1"/>
  <c r="I891" i="15"/>
  <c r="AC891" i="15"/>
  <c r="F1181" i="1" l="1"/>
  <c r="F912" i="15"/>
  <c r="F1624" i="4"/>
  <c r="G1624" i="4" s="1"/>
  <c r="F1625" i="4"/>
  <c r="G1625" i="4" s="1"/>
  <c r="F1618" i="4"/>
  <c r="G1618" i="4" s="1"/>
  <c r="F1619" i="4"/>
  <c r="G1619" i="4" s="1"/>
  <c r="F1612" i="4"/>
  <c r="G1612" i="4" s="1"/>
  <c r="F1613" i="4"/>
  <c r="G1613" i="4" s="1"/>
  <c r="F1606" i="4"/>
  <c r="G1606" i="4" s="1"/>
  <c r="F1607" i="4"/>
  <c r="G1607" i="4" s="1"/>
  <c r="F2521" i="4"/>
  <c r="G2521" i="4" s="1"/>
  <c r="AA912" i="15" l="1"/>
  <c r="T912" i="15"/>
  <c r="Z1181" i="1"/>
  <c r="T1181" i="1"/>
  <c r="G1608" i="4"/>
  <c r="G1626" i="4"/>
  <c r="G1620" i="4"/>
  <c r="G1614" i="4"/>
  <c r="G2522" i="4"/>
  <c r="AB1171" i="1" l="1"/>
  <c r="C1074" i="1" l="1"/>
  <c r="G1504" i="4"/>
  <c r="AD459" i="15"/>
  <c r="X459" i="15"/>
  <c r="H459" i="15" s="1"/>
  <c r="U459" i="15" s="1"/>
  <c r="AB578" i="1"/>
  <c r="X578" i="1"/>
  <c r="H578" i="1" s="1"/>
  <c r="U578" i="1" s="1"/>
  <c r="I459" i="15" l="1"/>
  <c r="AC459" i="15"/>
  <c r="I578" i="1"/>
  <c r="F46" i="1" l="1"/>
  <c r="Z46" i="1" l="1"/>
  <c r="Q47" i="1"/>
  <c r="U47" i="1" s="1"/>
  <c r="P46" i="1"/>
  <c r="E861" i="4"/>
  <c r="T46" i="1" l="1"/>
  <c r="S46" i="1"/>
  <c r="F1244" i="1"/>
  <c r="F1230" i="1"/>
  <c r="F284" i="1"/>
  <c r="F256" i="1"/>
  <c r="T256" i="1" s="1"/>
  <c r="F129" i="15"/>
  <c r="Z1230" i="1" l="1"/>
  <c r="T1230" i="1"/>
  <c r="AA129" i="15"/>
  <c r="T129" i="15"/>
  <c r="Z284" i="1"/>
  <c r="T284" i="1"/>
  <c r="Z1244" i="1"/>
  <c r="T1244" i="1"/>
  <c r="Z256" i="1"/>
  <c r="AB71" i="1"/>
  <c r="X71" i="1"/>
  <c r="H71" i="1" s="1"/>
  <c r="AD258" i="15"/>
  <c r="X258" i="15"/>
  <c r="X723" i="1"/>
  <c r="X339" i="1"/>
  <c r="AB30" i="1"/>
  <c r="X30" i="1"/>
  <c r="I2559" i="4"/>
  <c r="B2559" i="4" s="1"/>
  <c r="F2559" i="4"/>
  <c r="G2559" i="4" s="1"/>
  <c r="I71" i="1" l="1"/>
  <c r="I2560" i="4"/>
  <c r="F2560" i="4"/>
  <c r="G2560" i="4" s="1"/>
  <c r="I2558" i="4"/>
  <c r="F2558" i="4"/>
  <c r="G2558" i="4" s="1"/>
  <c r="AD874" i="15"/>
  <c r="X874" i="15"/>
  <c r="H874" i="15" s="1"/>
  <c r="U874" i="15" s="1"/>
  <c r="AD873" i="15"/>
  <c r="X873" i="15"/>
  <c r="H873" i="15" s="1"/>
  <c r="U873" i="15" s="1"/>
  <c r="AB1053" i="1"/>
  <c r="X1053" i="1"/>
  <c r="H1053" i="1" s="1"/>
  <c r="AB1054" i="1"/>
  <c r="X1054" i="1"/>
  <c r="H1054" i="1" s="1"/>
  <c r="I1786" i="4"/>
  <c r="I2509" i="4"/>
  <c r="I2502" i="4"/>
  <c r="I2495" i="4"/>
  <c r="I2488" i="4"/>
  <c r="I2481" i="4"/>
  <c r="I2467" i="4"/>
  <c r="I2398" i="4"/>
  <c r="I2377" i="4"/>
  <c r="I2366" i="4"/>
  <c r="I2358" i="4"/>
  <c r="I2353" i="4"/>
  <c r="I2350" i="4"/>
  <c r="I2345" i="4"/>
  <c r="I2337" i="4"/>
  <c r="I2320" i="4"/>
  <c r="I2312" i="4"/>
  <c r="I2303" i="4"/>
  <c r="I2270" i="4"/>
  <c r="I2255" i="4"/>
  <c r="I2250" i="4"/>
  <c r="I2242" i="4"/>
  <c r="I2235" i="4"/>
  <c r="I2211" i="4"/>
  <c r="I2179" i="4"/>
  <c r="I2174" i="4"/>
  <c r="I2169" i="4"/>
  <c r="I2164" i="4"/>
  <c r="I2159" i="4"/>
  <c r="I2154" i="4"/>
  <c r="I2147" i="4"/>
  <c r="I2140" i="4"/>
  <c r="I2125" i="4"/>
  <c r="I2118" i="4"/>
  <c r="I2110" i="4"/>
  <c r="I2102" i="4"/>
  <c r="I2101" i="4"/>
  <c r="I2094" i="4"/>
  <c r="I2093" i="4"/>
  <c r="I2092" i="4"/>
  <c r="I2091" i="4"/>
  <c r="I2085" i="4"/>
  <c r="I2078" i="4"/>
  <c r="I2076" i="4"/>
  <c r="I2070" i="4"/>
  <c r="I2056" i="4"/>
  <c r="I2049" i="4"/>
  <c r="I2042" i="4"/>
  <c r="I2036" i="4"/>
  <c r="I2029" i="4"/>
  <c r="I2022" i="4"/>
  <c r="I2014" i="4"/>
  <c r="I2008" i="4"/>
  <c r="I2001" i="4"/>
  <c r="I1995" i="4"/>
  <c r="F1995" i="4"/>
  <c r="I1987" i="4"/>
  <c r="I1980" i="4"/>
  <c r="I1978" i="4"/>
  <c r="I1964" i="4"/>
  <c r="I1958" i="4"/>
  <c r="I1951" i="4"/>
  <c r="I1944" i="4"/>
  <c r="I1937" i="4"/>
  <c r="I1932" i="4"/>
  <c r="I1919" i="4"/>
  <c r="I1912" i="4"/>
  <c r="I1899" i="4"/>
  <c r="I1890" i="4"/>
  <c r="I1883" i="4"/>
  <c r="I1874" i="4"/>
  <c r="I1866" i="4"/>
  <c r="I1804" i="4"/>
  <c r="I1795" i="4"/>
  <c r="I1778" i="4"/>
  <c r="I1761" i="4"/>
  <c r="I1749" i="4"/>
  <c r="I1741" i="4"/>
  <c r="I1703" i="4"/>
  <c r="I1700" i="4"/>
  <c r="I1691" i="4"/>
  <c r="I1688" i="4"/>
  <c r="I1679" i="4"/>
  <c r="I1676" i="4"/>
  <c r="I1600" i="4"/>
  <c r="I1593" i="4"/>
  <c r="I1560" i="4"/>
  <c r="I1531" i="4"/>
  <c r="I1523" i="4"/>
  <c r="I1509" i="4"/>
  <c r="I1483" i="4"/>
  <c r="I1476" i="4"/>
  <c r="I1453" i="4"/>
  <c r="I1446" i="4"/>
  <c r="I1439" i="4"/>
  <c r="I1410" i="4"/>
  <c r="I1403" i="4"/>
  <c r="I1397" i="4"/>
  <c r="I1390" i="4"/>
  <c r="I1389" i="4"/>
  <c r="I1382" i="4"/>
  <c r="I1375" i="4"/>
  <c r="I1368" i="4"/>
  <c r="I1345" i="4"/>
  <c r="I1339" i="4"/>
  <c r="I1332" i="4"/>
  <c r="I1319" i="4"/>
  <c r="I1304" i="4"/>
  <c r="I1297" i="4"/>
  <c r="I1290" i="4"/>
  <c r="I1283" i="4"/>
  <c r="I1276" i="4"/>
  <c r="I1269" i="4"/>
  <c r="I1262" i="4"/>
  <c r="I1255" i="4"/>
  <c r="I1248" i="4"/>
  <c r="I1234" i="4"/>
  <c r="I1227" i="4"/>
  <c r="I1220" i="4"/>
  <c r="I1213" i="4"/>
  <c r="I1206" i="4"/>
  <c r="I1199" i="4"/>
  <c r="I1192" i="4"/>
  <c r="I1176" i="4"/>
  <c r="I1169" i="4"/>
  <c r="I1162" i="4"/>
  <c r="I1155" i="4"/>
  <c r="I1148" i="4"/>
  <c r="I1141" i="4"/>
  <c r="I1134" i="4"/>
  <c r="I1127" i="4"/>
  <c r="I1120" i="4"/>
  <c r="I1113" i="4"/>
  <c r="I1106" i="4"/>
  <c r="I1099" i="4"/>
  <c r="I1092" i="4"/>
  <c r="I1085" i="4"/>
  <c r="I1078" i="4"/>
  <c r="I1071" i="4"/>
  <c r="I1064" i="4"/>
  <c r="I1057" i="4"/>
  <c r="I1050" i="4"/>
  <c r="I1043" i="4"/>
  <c r="I1036" i="4"/>
  <c r="I1029" i="4"/>
  <c r="I995" i="4"/>
  <c r="I887" i="4"/>
  <c r="I651" i="4"/>
  <c r="I643" i="4"/>
  <c r="I633" i="4"/>
  <c r="I611" i="4"/>
  <c r="I429" i="4"/>
  <c r="I417" i="4"/>
  <c r="I408" i="4"/>
  <c r="I395" i="4"/>
  <c r="I390" i="4"/>
  <c r="I304" i="4"/>
  <c r="I196" i="4"/>
  <c r="I186" i="4"/>
  <c r="I187" i="4"/>
  <c r="I188" i="4"/>
  <c r="I1053" i="1" l="1"/>
  <c r="U1053" i="1"/>
  <c r="I1054" i="1"/>
  <c r="U1054" i="1"/>
  <c r="I873" i="15"/>
  <c r="AC873" i="15"/>
  <c r="I874" i="15"/>
  <c r="AC874" i="15"/>
  <c r="G2561" i="4"/>
  <c r="I2553" i="4"/>
  <c r="F2553" i="4"/>
  <c r="G2553" i="4" s="1"/>
  <c r="I2552" i="4"/>
  <c r="F2552" i="4"/>
  <c r="G2552" i="4" s="1"/>
  <c r="I2551" i="4"/>
  <c r="F2551" i="4"/>
  <c r="G2551" i="4" s="1"/>
  <c r="I2550" i="4"/>
  <c r="F2550" i="4"/>
  <c r="G2550" i="4" s="1"/>
  <c r="I2545" i="4"/>
  <c r="F2545" i="4"/>
  <c r="G2545" i="4" s="1"/>
  <c r="I2544" i="4"/>
  <c r="F2544" i="4"/>
  <c r="G2544" i="4" s="1"/>
  <c r="I2543" i="4"/>
  <c r="F2543" i="4"/>
  <c r="G2543" i="4" s="1"/>
  <c r="X581" i="1" l="1"/>
  <c r="H581" i="1" s="1"/>
  <c r="X466" i="15"/>
  <c r="H466" i="15" s="1"/>
  <c r="U466" i="15" s="1"/>
  <c r="G2554" i="4"/>
  <c r="G2546" i="4"/>
  <c r="I581" i="1" l="1"/>
  <c r="U581" i="1"/>
  <c r="I466" i="15"/>
  <c r="AC466" i="15"/>
  <c r="X910" i="15"/>
  <c r="H910" i="15" s="1"/>
  <c r="U910" i="15" s="1"/>
  <c r="X1178" i="1"/>
  <c r="H1178" i="1" s="1"/>
  <c r="X1177" i="1"/>
  <c r="H1177" i="1" s="1"/>
  <c r="X909" i="15"/>
  <c r="H909" i="15" s="1"/>
  <c r="U909" i="15" s="1"/>
  <c r="I1178" i="1" l="1"/>
  <c r="I1177" i="1"/>
  <c r="I909" i="15"/>
  <c r="AC909" i="15"/>
  <c r="I910" i="15"/>
  <c r="AC910" i="15"/>
  <c r="F1011" i="4"/>
  <c r="G1011" i="4" s="1"/>
  <c r="F1538" i="4"/>
  <c r="G1538" i="4" s="1"/>
  <c r="F1516" i="4"/>
  <c r="G1516" i="4" s="1"/>
  <c r="F975" i="4"/>
  <c r="G975" i="4" s="1"/>
  <c r="F1910" i="4"/>
  <c r="G1910" i="4" s="1"/>
  <c r="F1907" i="4"/>
  <c r="G1907" i="4" s="1"/>
  <c r="F1699" i="4"/>
  <c r="G1699" i="4" s="1"/>
  <c r="F1687" i="4"/>
  <c r="G1687" i="4" s="1"/>
  <c r="F1675" i="4"/>
  <c r="G1675" i="4" s="1"/>
  <c r="F1696" i="4"/>
  <c r="G1696" i="4" s="1"/>
  <c r="F1684" i="4"/>
  <c r="G1684" i="4" s="1"/>
  <c r="F1672" i="4"/>
  <c r="G1672" i="4" s="1"/>
  <c r="I1971" i="4"/>
  <c r="F496" i="1"/>
  <c r="Z496" i="1" l="1"/>
  <c r="T496" i="1"/>
  <c r="H30" i="1"/>
  <c r="F26" i="1"/>
  <c r="AD458" i="15"/>
  <c r="X458" i="15"/>
  <c r="H458" i="15" s="1"/>
  <c r="AD457" i="15"/>
  <c r="X457" i="15"/>
  <c r="AB577" i="1"/>
  <c r="X577" i="1"/>
  <c r="H577" i="1" s="1"/>
  <c r="U577" i="1" s="1"/>
  <c r="F577" i="1"/>
  <c r="AB576" i="1"/>
  <c r="X576" i="1"/>
  <c r="H576" i="1" s="1"/>
  <c r="I2538" i="4"/>
  <c r="F2538" i="4"/>
  <c r="G2538" i="4" s="1"/>
  <c r="I2537" i="4"/>
  <c r="F2537" i="4"/>
  <c r="G2537" i="4" s="1"/>
  <c r="I2536" i="4"/>
  <c r="F2536" i="4"/>
  <c r="G2536" i="4" s="1"/>
  <c r="AB570" i="1"/>
  <c r="X570" i="1"/>
  <c r="H570" i="1" s="1"/>
  <c r="B18" i="1"/>
  <c r="F39" i="1"/>
  <c r="AB29" i="1"/>
  <c r="X29" i="1"/>
  <c r="H29" i="1" s="1"/>
  <c r="AF206" i="15"/>
  <c r="AF207" i="15"/>
  <c r="AF208" i="15"/>
  <c r="AF209" i="15"/>
  <c r="AF210" i="15"/>
  <c r="AF211" i="15"/>
  <c r="AF212" i="15"/>
  <c r="AF213" i="15"/>
  <c r="AF214" i="15"/>
  <c r="AF215" i="15"/>
  <c r="AF216" i="15"/>
  <c r="AF217" i="15"/>
  <c r="AF218" i="15"/>
  <c r="AF219" i="15"/>
  <c r="AF220" i="15"/>
  <c r="AF221" i="15"/>
  <c r="AF222" i="15"/>
  <c r="AF223" i="15"/>
  <c r="AF224" i="15"/>
  <c r="AF225" i="15"/>
  <c r="AF226" i="15"/>
  <c r="AF227" i="15"/>
  <c r="AF228" i="15"/>
  <c r="AF229" i="15"/>
  <c r="AF230" i="15"/>
  <c r="AF231" i="15"/>
  <c r="AF232" i="15"/>
  <c r="AF233" i="15"/>
  <c r="AF234" i="15"/>
  <c r="AF235" i="15"/>
  <c r="AF236" i="15"/>
  <c r="AF237" i="15"/>
  <c r="AF238" i="15"/>
  <c r="AF239" i="15"/>
  <c r="AF240" i="15"/>
  <c r="AF241" i="15"/>
  <c r="AF242" i="15"/>
  <c r="AF243" i="15"/>
  <c r="AF244" i="15"/>
  <c r="AF245" i="15"/>
  <c r="AF246" i="15"/>
  <c r="AF247" i="15"/>
  <c r="AF248" i="15"/>
  <c r="AF249" i="15"/>
  <c r="AF250" i="15"/>
  <c r="AF251" i="15"/>
  <c r="AF252" i="15"/>
  <c r="AF253" i="15"/>
  <c r="AF254" i="15"/>
  <c r="AF255" i="15"/>
  <c r="AF256" i="15"/>
  <c r="AF257" i="15"/>
  <c r="AF258" i="15"/>
  <c r="AF259" i="15"/>
  <c r="AF260" i="15"/>
  <c r="AF261" i="15"/>
  <c r="AF262" i="15"/>
  <c r="AF263" i="15"/>
  <c r="AF264" i="15"/>
  <c r="AF265" i="15"/>
  <c r="AF266" i="15"/>
  <c r="AF267" i="15"/>
  <c r="AF268" i="15"/>
  <c r="AF269" i="15"/>
  <c r="AF270" i="15"/>
  <c r="AF271" i="15"/>
  <c r="AF272" i="15"/>
  <c r="AF273" i="15"/>
  <c r="AF274" i="15"/>
  <c r="AF275" i="15"/>
  <c r="AF276" i="15"/>
  <c r="AF277" i="15"/>
  <c r="AF278" i="15"/>
  <c r="AF279" i="15"/>
  <c r="AF280" i="15"/>
  <c r="AF281" i="15"/>
  <c r="AF282" i="15"/>
  <c r="AF283" i="15"/>
  <c r="AF284" i="15"/>
  <c r="AF285" i="15"/>
  <c r="AF286" i="15"/>
  <c r="AF287" i="15"/>
  <c r="AF288" i="15"/>
  <c r="AF289" i="15"/>
  <c r="AF290" i="15"/>
  <c r="AF291" i="15"/>
  <c r="AF292" i="15"/>
  <c r="AF293" i="15"/>
  <c r="AF294" i="15"/>
  <c r="AF295" i="15"/>
  <c r="AF296" i="15"/>
  <c r="AF297" i="15"/>
  <c r="AF298" i="15"/>
  <c r="AF299" i="15"/>
  <c r="AF300" i="15"/>
  <c r="AF301" i="15"/>
  <c r="AF302" i="15"/>
  <c r="AF303" i="15"/>
  <c r="AF304" i="15"/>
  <c r="AF305" i="15"/>
  <c r="AF306" i="15"/>
  <c r="AF307" i="15"/>
  <c r="AF308" i="15"/>
  <c r="AF309" i="15"/>
  <c r="AF310" i="15"/>
  <c r="AF311" i="15"/>
  <c r="AF312" i="15"/>
  <c r="AF313" i="15"/>
  <c r="AF314" i="15"/>
  <c r="AF315" i="15"/>
  <c r="AF316" i="15"/>
  <c r="AF317" i="15"/>
  <c r="AF318" i="15"/>
  <c r="AF319" i="15"/>
  <c r="AF320" i="15"/>
  <c r="AF321" i="15"/>
  <c r="AF322" i="15"/>
  <c r="AF323" i="15"/>
  <c r="AF324" i="15"/>
  <c r="AF325" i="15"/>
  <c r="AF326" i="15"/>
  <c r="AF327" i="15"/>
  <c r="AF328" i="15"/>
  <c r="AF329" i="15"/>
  <c r="AF330" i="15"/>
  <c r="AF331" i="15"/>
  <c r="AF332" i="15"/>
  <c r="AF333" i="15"/>
  <c r="AF334" i="15"/>
  <c r="AF335" i="15"/>
  <c r="AF336" i="15"/>
  <c r="AF337" i="15"/>
  <c r="AF338" i="15"/>
  <c r="AF339" i="15"/>
  <c r="AF340" i="15"/>
  <c r="AF341" i="15"/>
  <c r="AF342" i="15"/>
  <c r="AF353" i="15"/>
  <c r="AF354" i="15"/>
  <c r="AF355" i="15"/>
  <c r="AF356" i="15"/>
  <c r="AF357" i="15"/>
  <c r="AF358" i="15"/>
  <c r="AF359" i="15"/>
  <c r="AF360" i="15"/>
  <c r="AF361" i="15"/>
  <c r="AF362" i="15"/>
  <c r="AF363" i="15"/>
  <c r="AF364" i="15"/>
  <c r="AF365" i="15"/>
  <c r="AF366" i="15"/>
  <c r="AF682" i="15"/>
  <c r="AF684" i="15"/>
  <c r="AF685" i="15"/>
  <c r="AF686" i="15"/>
  <c r="AF687" i="15"/>
  <c r="AF688" i="15"/>
  <c r="AF689" i="15"/>
  <c r="AF690" i="15"/>
  <c r="AF691" i="15"/>
  <c r="AF692" i="15"/>
  <c r="AF693" i="15"/>
  <c r="AF694" i="15"/>
  <c r="AF695" i="15"/>
  <c r="AF696" i="15"/>
  <c r="AF697" i="15"/>
  <c r="AF698" i="15"/>
  <c r="AF699" i="15"/>
  <c r="AF700" i="15"/>
  <c r="AF701" i="15"/>
  <c r="AF702" i="15"/>
  <c r="AF703" i="15"/>
  <c r="AF704" i="15"/>
  <c r="AF705" i="15"/>
  <c r="AF706" i="15"/>
  <c r="AF707" i="15"/>
  <c r="AF708" i="15"/>
  <c r="AF709" i="15"/>
  <c r="AF710" i="15"/>
  <c r="AF711" i="15"/>
  <c r="AF712" i="15"/>
  <c r="AF713" i="15"/>
  <c r="AF714" i="15"/>
  <c r="AF715" i="15"/>
  <c r="AF716" i="15"/>
  <c r="AF717" i="15"/>
  <c r="AF718" i="15"/>
  <c r="AF719" i="15"/>
  <c r="AF720" i="15"/>
  <c r="AF721" i="15"/>
  <c r="AF722" i="15"/>
  <c r="AF723" i="15"/>
  <c r="AF724" i="15"/>
  <c r="AF725" i="15"/>
  <c r="AF726" i="15"/>
  <c r="AF727" i="15"/>
  <c r="AF728" i="15"/>
  <c r="AF729" i="15"/>
  <c r="AF730" i="15"/>
  <c r="AF731" i="15"/>
  <c r="AF732" i="15"/>
  <c r="AF733" i="15"/>
  <c r="AF734" i="15"/>
  <c r="AF735" i="15"/>
  <c r="AF736" i="15"/>
  <c r="AF737" i="15"/>
  <c r="AF738" i="15"/>
  <c r="AF739" i="15"/>
  <c r="AF740" i="15"/>
  <c r="AF741" i="15"/>
  <c r="AF742" i="15"/>
  <c r="AF743" i="15"/>
  <c r="AF744" i="15"/>
  <c r="AF745" i="15"/>
  <c r="AF746" i="15"/>
  <c r="AF747" i="15"/>
  <c r="AF748" i="15"/>
  <c r="AF749" i="15"/>
  <c r="AF750" i="15"/>
  <c r="AF751" i="15"/>
  <c r="AF752" i="15"/>
  <c r="AF753" i="15"/>
  <c r="AF754" i="15"/>
  <c r="AF755" i="15"/>
  <c r="AF756" i="15"/>
  <c r="AF757" i="15"/>
  <c r="AF758" i="15"/>
  <c r="AF759" i="15"/>
  <c r="AF760" i="15"/>
  <c r="AF761" i="15"/>
  <c r="AF762" i="15"/>
  <c r="AF763" i="15"/>
  <c r="AF764" i="15"/>
  <c r="AF765" i="15"/>
  <c r="AF766" i="15"/>
  <c r="AF767" i="15"/>
  <c r="AF768" i="15"/>
  <c r="AF769" i="15"/>
  <c r="AF770" i="15"/>
  <c r="AF771" i="15"/>
  <c r="AF772" i="15"/>
  <c r="AF773" i="15"/>
  <c r="AF774" i="15"/>
  <c r="AF775" i="15"/>
  <c r="AF776" i="15"/>
  <c r="AF777" i="15"/>
  <c r="AF778" i="15"/>
  <c r="AF779" i="15"/>
  <c r="AF780" i="15"/>
  <c r="AF781" i="15"/>
  <c r="AF782" i="15"/>
  <c r="AF783" i="15"/>
  <c r="AF784" i="15"/>
  <c r="AF785" i="15"/>
  <c r="AF786" i="15"/>
  <c r="AF787" i="15"/>
  <c r="AF788" i="15"/>
  <c r="AF789" i="15"/>
  <c r="AF790" i="15"/>
  <c r="AF791" i="15"/>
  <c r="AF792" i="15"/>
  <c r="AF793" i="15"/>
  <c r="AF794" i="15"/>
  <c r="AF795" i="15"/>
  <c r="AF796" i="15"/>
  <c r="AF797" i="15"/>
  <c r="AF798" i="15"/>
  <c r="AF799" i="15"/>
  <c r="AF800" i="15"/>
  <c r="AF801" i="15"/>
  <c r="AF802" i="15"/>
  <c r="AF803" i="15"/>
  <c r="AF804" i="15"/>
  <c r="AF805" i="15"/>
  <c r="AF806" i="15"/>
  <c r="AF807" i="15"/>
  <c r="AF808" i="15"/>
  <c r="AF809" i="15"/>
  <c r="AF810" i="15"/>
  <c r="AF811" i="15"/>
  <c r="AF812" i="15"/>
  <c r="AF813" i="15"/>
  <c r="AF814" i="15"/>
  <c r="AF815" i="15"/>
  <c r="AF816" i="15"/>
  <c r="AF817" i="15"/>
  <c r="AF818" i="15"/>
  <c r="AF819" i="15"/>
  <c r="AF820" i="15"/>
  <c r="AF821" i="15"/>
  <c r="AF822" i="15"/>
  <c r="AF823" i="15"/>
  <c r="AF824" i="15"/>
  <c r="AF825" i="15"/>
  <c r="AF826" i="15"/>
  <c r="AF827" i="15"/>
  <c r="AF828" i="15"/>
  <c r="AF829" i="15"/>
  <c r="AF830" i="15"/>
  <c r="AF831" i="15"/>
  <c r="AF832" i="15"/>
  <c r="AF833" i="15"/>
  <c r="AF834" i="15"/>
  <c r="AF835" i="15"/>
  <c r="AF836" i="15"/>
  <c r="AF837" i="15"/>
  <c r="I2305" i="4"/>
  <c r="B2305" i="4" s="1"/>
  <c r="F2305" i="4"/>
  <c r="G2305" i="4" s="1"/>
  <c r="I2304" i="4"/>
  <c r="F2304" i="4"/>
  <c r="G2304" i="4" s="1"/>
  <c r="Z577" i="1" l="1"/>
  <c r="T577" i="1"/>
  <c r="AC458" i="15"/>
  <c r="U458" i="15"/>
  <c r="Z26" i="1"/>
  <c r="T26" i="1"/>
  <c r="I570" i="1"/>
  <c r="U570" i="1"/>
  <c r="I576" i="1"/>
  <c r="U576" i="1"/>
  <c r="I30" i="1"/>
  <c r="Z39" i="1"/>
  <c r="P39" i="1"/>
  <c r="I29" i="1"/>
  <c r="H457" i="15"/>
  <c r="U457" i="15" s="1"/>
  <c r="I458" i="15"/>
  <c r="I577" i="1"/>
  <c r="G2539" i="4"/>
  <c r="X1075" i="1" s="1"/>
  <c r="G2532" i="4"/>
  <c r="X899" i="15" s="1"/>
  <c r="H899" i="15" s="1"/>
  <c r="U899" i="15" s="1"/>
  <c r="F2526" i="4"/>
  <c r="G2526" i="4" s="1"/>
  <c r="G2527" i="4" s="1"/>
  <c r="X903" i="15" s="1"/>
  <c r="X902" i="15"/>
  <c r="F2516" i="4"/>
  <c r="G2516" i="4" s="1"/>
  <c r="G2517" i="4" s="1"/>
  <c r="X901" i="15" s="1"/>
  <c r="AD784" i="15"/>
  <c r="X784" i="15"/>
  <c r="H784" i="15" s="1"/>
  <c r="U784" i="15" s="1"/>
  <c r="AD821" i="15"/>
  <c r="X821" i="15"/>
  <c r="H821" i="15" s="1"/>
  <c r="U821" i="15" s="1"/>
  <c r="AD820" i="15"/>
  <c r="X820" i="15"/>
  <c r="H820" i="15" s="1"/>
  <c r="U820" i="15" s="1"/>
  <c r="AD827" i="15"/>
  <c r="X827" i="15"/>
  <c r="H827" i="15" s="1"/>
  <c r="U827" i="15" s="1"/>
  <c r="AD826" i="15"/>
  <c r="X826" i="15"/>
  <c r="H826" i="15" s="1"/>
  <c r="U826" i="15" s="1"/>
  <c r="AD837" i="15"/>
  <c r="X837" i="15"/>
  <c r="H837" i="15" s="1"/>
  <c r="U837" i="15" s="1"/>
  <c r="AD836" i="15"/>
  <c r="X836" i="15"/>
  <c r="H836" i="15" s="1"/>
  <c r="U836" i="15" s="1"/>
  <c r="AD832" i="15"/>
  <c r="X832" i="15"/>
  <c r="H832" i="15" s="1"/>
  <c r="U832" i="15" s="1"/>
  <c r="AD831" i="15"/>
  <c r="X831" i="15"/>
  <c r="H831" i="15" s="1"/>
  <c r="U831" i="15" s="1"/>
  <c r="AD812" i="15"/>
  <c r="X812" i="15"/>
  <c r="H812" i="15" s="1"/>
  <c r="U812" i="15" s="1"/>
  <c r="AD811" i="15"/>
  <c r="X811" i="15"/>
  <c r="H811" i="15" s="1"/>
  <c r="U811" i="15" s="1"/>
  <c r="AD810" i="15"/>
  <c r="X810" i="15"/>
  <c r="H810" i="15" s="1"/>
  <c r="U810" i="15" s="1"/>
  <c r="AD809" i="15"/>
  <c r="AD797" i="15"/>
  <c r="X797" i="15"/>
  <c r="H797" i="15" s="1"/>
  <c r="U797" i="15" s="1"/>
  <c r="AD795" i="15"/>
  <c r="X795" i="15"/>
  <c r="H795" i="15" s="1"/>
  <c r="U795" i="15" s="1"/>
  <c r="AD796" i="15"/>
  <c r="X796" i="15"/>
  <c r="H796" i="15" s="1"/>
  <c r="U796" i="15" s="1"/>
  <c r="AD769" i="15"/>
  <c r="X769" i="15"/>
  <c r="H769" i="15" s="1"/>
  <c r="U769" i="15" s="1"/>
  <c r="AD770" i="15"/>
  <c r="X770" i="15"/>
  <c r="H770" i="15" s="1"/>
  <c r="U770" i="15" s="1"/>
  <c r="AD768" i="15"/>
  <c r="X768" i="15"/>
  <c r="H768" i="15" s="1"/>
  <c r="U768" i="15" s="1"/>
  <c r="AD767" i="15"/>
  <c r="X767" i="15"/>
  <c r="H767" i="15" s="1"/>
  <c r="U767" i="15" s="1"/>
  <c r="AD758" i="15"/>
  <c r="X758" i="15"/>
  <c r="H758" i="15" s="1"/>
  <c r="U758" i="15" s="1"/>
  <c r="AD757" i="15"/>
  <c r="X757" i="15"/>
  <c r="H757" i="15" s="1"/>
  <c r="U757" i="15" s="1"/>
  <c r="AD756" i="15"/>
  <c r="X756" i="15"/>
  <c r="H756" i="15" s="1"/>
  <c r="U756" i="15" s="1"/>
  <c r="AD755" i="15"/>
  <c r="X755" i="15"/>
  <c r="H755" i="15" s="1"/>
  <c r="U755" i="15" s="1"/>
  <c r="AD754" i="15"/>
  <c r="X754" i="15"/>
  <c r="H754" i="15" s="1"/>
  <c r="U754" i="15" s="1"/>
  <c r="AD753" i="15"/>
  <c r="X753" i="15"/>
  <c r="H753" i="15" s="1"/>
  <c r="U753" i="15" s="1"/>
  <c r="AD745" i="15"/>
  <c r="X745" i="15"/>
  <c r="H745" i="15" s="1"/>
  <c r="U745" i="15" s="1"/>
  <c r="AD744" i="15"/>
  <c r="X744" i="15"/>
  <c r="H744" i="15" s="1"/>
  <c r="U744" i="15" s="1"/>
  <c r="AD743" i="15"/>
  <c r="X743" i="15"/>
  <c r="H743" i="15" s="1"/>
  <c r="U743" i="15" s="1"/>
  <c r="AD742" i="15"/>
  <c r="X742" i="15"/>
  <c r="H742" i="15" s="1"/>
  <c r="U742" i="15" s="1"/>
  <c r="AD741" i="15"/>
  <c r="X741" i="15"/>
  <c r="H741" i="15" s="1"/>
  <c r="U741" i="15" s="1"/>
  <c r="AD740" i="15"/>
  <c r="X740" i="15"/>
  <c r="H740" i="15" s="1"/>
  <c r="U740" i="15" s="1"/>
  <c r="AD739" i="15"/>
  <c r="X739" i="15"/>
  <c r="H739" i="15" s="1"/>
  <c r="U739" i="15" s="1"/>
  <c r="AD730" i="15"/>
  <c r="X730" i="15"/>
  <c r="H730" i="15" s="1"/>
  <c r="U730" i="15" s="1"/>
  <c r="AD729" i="15"/>
  <c r="X729" i="15"/>
  <c r="H729" i="15" s="1"/>
  <c r="U729" i="15" s="1"/>
  <c r="AD728" i="15"/>
  <c r="X728" i="15"/>
  <c r="H728" i="15" s="1"/>
  <c r="U728" i="15" s="1"/>
  <c r="AD727" i="15"/>
  <c r="X727" i="15"/>
  <c r="H727" i="15" s="1"/>
  <c r="U727" i="15" s="1"/>
  <c r="AD726" i="15"/>
  <c r="X726" i="15"/>
  <c r="H726" i="15" s="1"/>
  <c r="U726" i="15" s="1"/>
  <c r="AD717" i="15"/>
  <c r="X717" i="15"/>
  <c r="H717" i="15" s="1"/>
  <c r="U717" i="15" s="1"/>
  <c r="AD716" i="15"/>
  <c r="X716" i="15"/>
  <c r="H716" i="15" s="1"/>
  <c r="U716" i="15" s="1"/>
  <c r="AD715" i="15"/>
  <c r="X715" i="15"/>
  <c r="H715" i="15" s="1"/>
  <c r="U715" i="15" s="1"/>
  <c r="AD714" i="15"/>
  <c r="X714" i="15"/>
  <c r="H714" i="15" s="1"/>
  <c r="U714" i="15" s="1"/>
  <c r="AD713" i="15"/>
  <c r="X713" i="15"/>
  <c r="H713" i="15" s="1"/>
  <c r="U713" i="15" s="1"/>
  <c r="AD705" i="15"/>
  <c r="X705" i="15"/>
  <c r="H705" i="15" s="1"/>
  <c r="U705" i="15" s="1"/>
  <c r="AD704" i="15"/>
  <c r="X704" i="15"/>
  <c r="H704" i="15" s="1"/>
  <c r="U704" i="15" s="1"/>
  <c r="AD703" i="15"/>
  <c r="X703" i="15"/>
  <c r="H703" i="15" s="1"/>
  <c r="U703" i="15" s="1"/>
  <c r="AD702" i="15"/>
  <c r="X702" i="15"/>
  <c r="H702" i="15" s="1"/>
  <c r="U702" i="15" s="1"/>
  <c r="AD693" i="15"/>
  <c r="X693" i="15"/>
  <c r="H693" i="15" s="1"/>
  <c r="U693" i="15" s="1"/>
  <c r="AD692" i="15"/>
  <c r="X692" i="15"/>
  <c r="H692" i="15" s="1"/>
  <c r="U692" i="15" s="1"/>
  <c r="AD691" i="15"/>
  <c r="X691" i="15"/>
  <c r="H691" i="15" s="1"/>
  <c r="U691" i="15" s="1"/>
  <c r="AD690" i="15"/>
  <c r="X690" i="15"/>
  <c r="H690" i="15" s="1"/>
  <c r="U690" i="15" s="1"/>
  <c r="I2511" i="4"/>
  <c r="F2511" i="4"/>
  <c r="G2511" i="4" s="1"/>
  <c r="I2510" i="4"/>
  <c r="F2510" i="4"/>
  <c r="G2510" i="4" s="1"/>
  <c r="F2509" i="4"/>
  <c r="G2509" i="4" s="1"/>
  <c r="I2504" i="4"/>
  <c r="F2504" i="4"/>
  <c r="G2504" i="4" s="1"/>
  <c r="I2503" i="4"/>
  <c r="F2503" i="4"/>
  <c r="G2503" i="4" s="1"/>
  <c r="F2502" i="4"/>
  <c r="G2502" i="4" s="1"/>
  <c r="I2497" i="4"/>
  <c r="F2497" i="4"/>
  <c r="G2497" i="4" s="1"/>
  <c r="I2496" i="4"/>
  <c r="F2496" i="4"/>
  <c r="G2496" i="4" s="1"/>
  <c r="F2495" i="4"/>
  <c r="G2495" i="4" s="1"/>
  <c r="I2490" i="4"/>
  <c r="F2490" i="4"/>
  <c r="G2490" i="4" s="1"/>
  <c r="I2489" i="4"/>
  <c r="F2489" i="4"/>
  <c r="G2489" i="4" s="1"/>
  <c r="I2483" i="4"/>
  <c r="F2483" i="4"/>
  <c r="G2483" i="4" s="1"/>
  <c r="I2482" i="4"/>
  <c r="F2482" i="4"/>
  <c r="G2482" i="4" s="1"/>
  <c r="F2488" i="4"/>
  <c r="G2488" i="4" s="1"/>
  <c r="F2481" i="4"/>
  <c r="G2481" i="4" s="1"/>
  <c r="I2476" i="4"/>
  <c r="F2476" i="4"/>
  <c r="G2476" i="4" s="1"/>
  <c r="I2475" i="4"/>
  <c r="F2475" i="4"/>
  <c r="G2475" i="4" s="1"/>
  <c r="I2474" i="4"/>
  <c r="F2474" i="4"/>
  <c r="G2474" i="4" s="1"/>
  <c r="I2469" i="4"/>
  <c r="F2469" i="4"/>
  <c r="G2469" i="4" s="1"/>
  <c r="I2468" i="4"/>
  <c r="F2468" i="4"/>
  <c r="G2468" i="4" s="1"/>
  <c r="F2467" i="4"/>
  <c r="G2467" i="4" s="1"/>
  <c r="I2460" i="4"/>
  <c r="F2460" i="4"/>
  <c r="G2460" i="4" s="1"/>
  <c r="I2461" i="4"/>
  <c r="F2461" i="4"/>
  <c r="G2461" i="4" s="1"/>
  <c r="I2462" i="4"/>
  <c r="F2462" i="4"/>
  <c r="G2462" i="4" s="1"/>
  <c r="AD396" i="15"/>
  <c r="X396" i="15"/>
  <c r="H396" i="15" s="1"/>
  <c r="U396" i="15" s="1"/>
  <c r="AD303" i="15"/>
  <c r="X303" i="15"/>
  <c r="H303" i="15" s="1"/>
  <c r="U303" i="15" s="1"/>
  <c r="AD259" i="15"/>
  <c r="X259" i="15"/>
  <c r="H259" i="15" s="1"/>
  <c r="U259" i="15" s="1"/>
  <c r="F2455" i="4"/>
  <c r="G2455" i="4" s="1"/>
  <c r="G2456" i="4" s="1"/>
  <c r="X616" i="15" s="1"/>
  <c r="H616" i="15" s="1"/>
  <c r="U616" i="15" s="1"/>
  <c r="I2447" i="4"/>
  <c r="F2447" i="4"/>
  <c r="G2447" i="4" s="1"/>
  <c r="I2448" i="4"/>
  <c r="F2448" i="4"/>
  <c r="G2448" i="4" s="1"/>
  <c r="I2451" i="4"/>
  <c r="F2451" i="4"/>
  <c r="G2451" i="4" s="1"/>
  <c r="I2450" i="4"/>
  <c r="F2450" i="4"/>
  <c r="G2450" i="4" s="1"/>
  <c r="I2449" i="4"/>
  <c r="F2449" i="4"/>
  <c r="G2449" i="4" s="1"/>
  <c r="F2432" i="4"/>
  <c r="G2432" i="4" s="1"/>
  <c r="I2432" i="4"/>
  <c r="F2433" i="4"/>
  <c r="G2433" i="4" s="1"/>
  <c r="I2433" i="4"/>
  <c r="F2434" i="4"/>
  <c r="G2434" i="4" s="1"/>
  <c r="I2434" i="4"/>
  <c r="I2435" i="4"/>
  <c r="F2436" i="4"/>
  <c r="G2436" i="4" s="1"/>
  <c r="I2436" i="4"/>
  <c r="F2437" i="4"/>
  <c r="G2437" i="4" s="1"/>
  <c r="I2437" i="4"/>
  <c r="I2431" i="4"/>
  <c r="F2431" i="4"/>
  <c r="G2431" i="4" s="1"/>
  <c r="F2435" i="4"/>
  <c r="G2435" i="4" s="1"/>
  <c r="F2438" i="4"/>
  <c r="G2438" i="4" s="1"/>
  <c r="I2438" i="4"/>
  <c r="F2439" i="4"/>
  <c r="G2439" i="4" s="1"/>
  <c r="I2439" i="4"/>
  <c r="F2440" i="4"/>
  <c r="G2440" i="4" s="1"/>
  <c r="I2440" i="4"/>
  <c r="F2441" i="4"/>
  <c r="G2441" i="4" s="1"/>
  <c r="I2441" i="4"/>
  <c r="F2442" i="4"/>
  <c r="G2442" i="4" s="1"/>
  <c r="I2442" i="4"/>
  <c r="I2425" i="4"/>
  <c r="B2425" i="4" s="1"/>
  <c r="F2425" i="4"/>
  <c r="G2425" i="4" s="1"/>
  <c r="I2424" i="4"/>
  <c r="B2424" i="4" s="1"/>
  <c r="F2424" i="4"/>
  <c r="G2424" i="4" s="1"/>
  <c r="I2423" i="4"/>
  <c r="B2423" i="4" s="1"/>
  <c r="F2423" i="4"/>
  <c r="G2423" i="4" s="1"/>
  <c r="I2419" i="4"/>
  <c r="F2419" i="4"/>
  <c r="G2419" i="4" s="1"/>
  <c r="I2418" i="4"/>
  <c r="F2418" i="4"/>
  <c r="G2418" i="4" s="1"/>
  <c r="I2412" i="4"/>
  <c r="B2412" i="4" s="1"/>
  <c r="F2412" i="4"/>
  <c r="G2412" i="4" s="1"/>
  <c r="I2406" i="4"/>
  <c r="F2406" i="4"/>
  <c r="G2406" i="4" s="1"/>
  <c r="I2426" i="4"/>
  <c r="B2426" i="4" s="1"/>
  <c r="F2426" i="4"/>
  <c r="G2426" i="4" s="1"/>
  <c r="I2422" i="4"/>
  <c r="F2422" i="4"/>
  <c r="G2422" i="4" s="1"/>
  <c r="I2421" i="4"/>
  <c r="F2421" i="4"/>
  <c r="G2421" i="4" s="1"/>
  <c r="I2420" i="4"/>
  <c r="F2420" i="4"/>
  <c r="G2420" i="4" s="1"/>
  <c r="I2413" i="4"/>
  <c r="B2413" i="4" s="1"/>
  <c r="F2413" i="4"/>
  <c r="G2413" i="4" s="1"/>
  <c r="I2411" i="4"/>
  <c r="B2411" i="4" s="1"/>
  <c r="F2411" i="4"/>
  <c r="G2411" i="4" s="1"/>
  <c r="I2410" i="4"/>
  <c r="F2410" i="4"/>
  <c r="G2410" i="4" s="1"/>
  <c r="I2409" i="4"/>
  <c r="F2409" i="4"/>
  <c r="G2409" i="4" s="1"/>
  <c r="I2408" i="4"/>
  <c r="F2408" i="4"/>
  <c r="G2408" i="4" s="1"/>
  <c r="I2407" i="4"/>
  <c r="F2407" i="4"/>
  <c r="G2407" i="4" s="1"/>
  <c r="I2378" i="4"/>
  <c r="F2378" i="4"/>
  <c r="G2378" i="4" s="1"/>
  <c r="I2401" i="4"/>
  <c r="F2401" i="4"/>
  <c r="G2401" i="4" s="1"/>
  <c r="I2400" i="4"/>
  <c r="F2400" i="4"/>
  <c r="G2400" i="4" s="1"/>
  <c r="I2390" i="4"/>
  <c r="F2390" i="4"/>
  <c r="G2390" i="4" s="1"/>
  <c r="I2389" i="4"/>
  <c r="F2389" i="4"/>
  <c r="G2389" i="4" s="1"/>
  <c r="I2379" i="4"/>
  <c r="F2379" i="4"/>
  <c r="G2379" i="4" s="1"/>
  <c r="I2380" i="4"/>
  <c r="F2380" i="4"/>
  <c r="G2380" i="4" s="1"/>
  <c r="I2399" i="4"/>
  <c r="F2399" i="4"/>
  <c r="G2399" i="4" s="1"/>
  <c r="I2397" i="4"/>
  <c r="F2397" i="4"/>
  <c r="G2397" i="4" s="1"/>
  <c r="I2396" i="4"/>
  <c r="F2396" i="4"/>
  <c r="G2396" i="4" s="1"/>
  <c r="I2395" i="4"/>
  <c r="F2395" i="4"/>
  <c r="G2395" i="4" s="1"/>
  <c r="I2388" i="4"/>
  <c r="F2388" i="4"/>
  <c r="G2388" i="4" s="1"/>
  <c r="I2387" i="4"/>
  <c r="F2387" i="4"/>
  <c r="G2387" i="4" s="1"/>
  <c r="I2386" i="4"/>
  <c r="F2386" i="4"/>
  <c r="G2386" i="4" s="1"/>
  <c r="I2385" i="4"/>
  <c r="F2385" i="4"/>
  <c r="G2385" i="4" s="1"/>
  <c r="I2376" i="4"/>
  <c r="F2376" i="4"/>
  <c r="G2376" i="4" s="1"/>
  <c r="I2375" i="4"/>
  <c r="F2375" i="4"/>
  <c r="G2375" i="4" s="1"/>
  <c r="I2374" i="4"/>
  <c r="F2374" i="4"/>
  <c r="G2374" i="4" s="1"/>
  <c r="I2367" i="4"/>
  <c r="F2367" i="4"/>
  <c r="G2367" i="4" s="1"/>
  <c r="I2365" i="4"/>
  <c r="F2365" i="4"/>
  <c r="G2365" i="4" s="1"/>
  <c r="I2364" i="4"/>
  <c r="F2364" i="4"/>
  <c r="G2364" i="4" s="1"/>
  <c r="I2363" i="4"/>
  <c r="F2363" i="4"/>
  <c r="G2363" i="4" s="1"/>
  <c r="I2369" i="4"/>
  <c r="F2369" i="4"/>
  <c r="G2369" i="4" s="1"/>
  <c r="I2368" i="4"/>
  <c r="F2368" i="4"/>
  <c r="G2368" i="4" s="1"/>
  <c r="F2366" i="4"/>
  <c r="G2366" i="4" s="1"/>
  <c r="F2398" i="4"/>
  <c r="G2398" i="4" s="1"/>
  <c r="F2377" i="4"/>
  <c r="G2377" i="4" s="1"/>
  <c r="F2358" i="4"/>
  <c r="G2358" i="4" s="1"/>
  <c r="G2359" i="4" s="1"/>
  <c r="X174" i="15" s="1"/>
  <c r="H174" i="15" s="1"/>
  <c r="Q174" i="15" s="1"/>
  <c r="U174" i="15" s="1"/>
  <c r="AD185" i="15"/>
  <c r="X185" i="15"/>
  <c r="H185" i="15" s="1"/>
  <c r="I2352" i="4"/>
  <c r="B2352" i="4" s="1"/>
  <c r="F2352" i="4"/>
  <c r="G2352" i="4" s="1"/>
  <c r="I2351" i="4"/>
  <c r="B2351" i="4" s="1"/>
  <c r="F2351" i="4"/>
  <c r="G2351" i="4" s="1"/>
  <c r="F2353" i="4"/>
  <c r="G2353" i="4" s="1"/>
  <c r="F2350" i="4"/>
  <c r="G2350" i="4" s="1"/>
  <c r="AD129" i="15"/>
  <c r="I2342" i="4"/>
  <c r="F2342" i="4"/>
  <c r="G2342" i="4" s="1"/>
  <c r="I2344" i="4"/>
  <c r="F2344" i="4"/>
  <c r="G2344" i="4" s="1"/>
  <c r="I2343" i="4"/>
  <c r="F2343" i="4"/>
  <c r="G2343" i="4" s="1"/>
  <c r="F2345" i="4"/>
  <c r="G2345" i="4" s="1"/>
  <c r="X16" i="15"/>
  <c r="AD16" i="15"/>
  <c r="X17" i="15"/>
  <c r="AD17" i="15"/>
  <c r="X20" i="15"/>
  <c r="AD20" i="15"/>
  <c r="X21" i="15"/>
  <c r="AD21" i="15"/>
  <c r="X22" i="15"/>
  <c r="AD22" i="15"/>
  <c r="X23" i="15"/>
  <c r="H23" i="15" s="1"/>
  <c r="Q23" i="15" s="1"/>
  <c r="AD23" i="15"/>
  <c r="X24" i="15"/>
  <c r="AD24" i="15"/>
  <c r="AD25" i="15"/>
  <c r="X26" i="15"/>
  <c r="AD26" i="15"/>
  <c r="X27" i="15"/>
  <c r="H27" i="15" s="1"/>
  <c r="Q27" i="15" s="1"/>
  <c r="AD27" i="15"/>
  <c r="X28" i="15"/>
  <c r="H28" i="15" s="1"/>
  <c r="Q28" i="15" s="1"/>
  <c r="AD28" i="15"/>
  <c r="X30" i="15"/>
  <c r="AD30" i="15"/>
  <c r="AD31" i="15"/>
  <c r="AD32" i="15"/>
  <c r="X33" i="15"/>
  <c r="AD33" i="15"/>
  <c r="X34" i="15"/>
  <c r="AD34" i="15"/>
  <c r="X35" i="15"/>
  <c r="AD35" i="15"/>
  <c r="AD36" i="15"/>
  <c r="AD37" i="15"/>
  <c r="AD38" i="15"/>
  <c r="X39" i="15"/>
  <c r="H39" i="15" s="1"/>
  <c r="Q39" i="15" s="1"/>
  <c r="U39" i="15" s="1"/>
  <c r="AD39" i="15"/>
  <c r="X40" i="15"/>
  <c r="H40" i="15" s="1"/>
  <c r="Q40" i="15" s="1"/>
  <c r="U40" i="15" s="1"/>
  <c r="AD40" i="15"/>
  <c r="X41" i="15"/>
  <c r="H41" i="15" s="1"/>
  <c r="Q41" i="15" s="1"/>
  <c r="U41" i="15" s="1"/>
  <c r="AD41" i="15"/>
  <c r="AD42" i="15"/>
  <c r="X43" i="15"/>
  <c r="AD43" i="15"/>
  <c r="AD44" i="15"/>
  <c r="AD45" i="15"/>
  <c r="AD46" i="15"/>
  <c r="X47" i="15"/>
  <c r="H47" i="15" s="1"/>
  <c r="Q47" i="15" s="1"/>
  <c r="U47" i="15" s="1"/>
  <c r="AD47" i="15"/>
  <c r="X48" i="15"/>
  <c r="H48" i="15" s="1"/>
  <c r="Q48" i="15" s="1"/>
  <c r="U48" i="15" s="1"/>
  <c r="AD48" i="15"/>
  <c r="X49" i="15"/>
  <c r="H49" i="15" s="1"/>
  <c r="Q49" i="15" s="1"/>
  <c r="U49" i="15" s="1"/>
  <c r="AD49" i="15"/>
  <c r="X50" i="15"/>
  <c r="H50" i="15" s="1"/>
  <c r="Q50" i="15" s="1"/>
  <c r="U50" i="15" s="1"/>
  <c r="AD50" i="15"/>
  <c r="X51" i="15"/>
  <c r="H51" i="15" s="1"/>
  <c r="Q51" i="15" s="1"/>
  <c r="U51" i="15" s="1"/>
  <c r="AD51" i="15"/>
  <c r="X52" i="15"/>
  <c r="H52" i="15" s="1"/>
  <c r="Q52" i="15" s="1"/>
  <c r="U52" i="15" s="1"/>
  <c r="AD52" i="15"/>
  <c r="AD53" i="15"/>
  <c r="X54" i="15"/>
  <c r="AD54" i="15"/>
  <c r="X55" i="15"/>
  <c r="H55" i="15" s="1"/>
  <c r="Q55" i="15" s="1"/>
  <c r="U55" i="15" s="1"/>
  <c r="AD55" i="15"/>
  <c r="X56" i="15"/>
  <c r="H56" i="15" s="1"/>
  <c r="Q56" i="15" s="1"/>
  <c r="U56" i="15" s="1"/>
  <c r="AD56" i="15"/>
  <c r="AD57" i="15"/>
  <c r="X58" i="15"/>
  <c r="H58" i="15" s="1"/>
  <c r="Q58" i="15" s="1"/>
  <c r="U58" i="15" s="1"/>
  <c r="AD58" i="15"/>
  <c r="X59" i="15"/>
  <c r="H59" i="15" s="1"/>
  <c r="Q59" i="15" s="1"/>
  <c r="U59" i="15" s="1"/>
  <c r="AD59" i="15"/>
  <c r="X60" i="15"/>
  <c r="H60" i="15" s="1"/>
  <c r="Q60" i="15" s="1"/>
  <c r="U60" i="15" s="1"/>
  <c r="AD60" i="15"/>
  <c r="X61" i="15"/>
  <c r="H61" i="15" s="1"/>
  <c r="Q61" i="15" s="1"/>
  <c r="U61" i="15" s="1"/>
  <c r="AD61" i="15"/>
  <c r="X62" i="15"/>
  <c r="H62" i="15" s="1"/>
  <c r="Q62" i="15" s="1"/>
  <c r="U62" i="15" s="1"/>
  <c r="AD62" i="15"/>
  <c r="AD64" i="15"/>
  <c r="X65" i="15"/>
  <c r="AD65" i="15"/>
  <c r="X66" i="15"/>
  <c r="AD66" i="15"/>
  <c r="X67" i="15"/>
  <c r="H67" i="15" s="1"/>
  <c r="AD67" i="15"/>
  <c r="X68" i="15"/>
  <c r="H68" i="15" s="1"/>
  <c r="AD68" i="15"/>
  <c r="X69" i="15"/>
  <c r="H69" i="15" s="1"/>
  <c r="AD69" i="15"/>
  <c r="X70" i="15"/>
  <c r="H70" i="15" s="1"/>
  <c r="AD70" i="15"/>
  <c r="X71" i="15"/>
  <c r="H71" i="15" s="1"/>
  <c r="AD71" i="15"/>
  <c r="X72" i="15"/>
  <c r="H72" i="15" s="1"/>
  <c r="AD72" i="15"/>
  <c r="X73" i="15"/>
  <c r="H73" i="15" s="1"/>
  <c r="AD73" i="15"/>
  <c r="X74" i="15"/>
  <c r="H74" i="15" s="1"/>
  <c r="AD74" i="15"/>
  <c r="X75" i="15"/>
  <c r="H75" i="15" s="1"/>
  <c r="AD75" i="15"/>
  <c r="X76" i="15"/>
  <c r="H76" i="15" s="1"/>
  <c r="AD76" i="15"/>
  <c r="AD77" i="15"/>
  <c r="AD78" i="15"/>
  <c r="AD79" i="15"/>
  <c r="AD80" i="15"/>
  <c r="X81" i="15"/>
  <c r="AD81" i="15"/>
  <c r="X82" i="15"/>
  <c r="AD82" i="15"/>
  <c r="X83" i="15"/>
  <c r="AD83" i="15"/>
  <c r="X84" i="15"/>
  <c r="AD84" i="15"/>
  <c r="AD85" i="15"/>
  <c r="X86" i="15"/>
  <c r="H86" i="15" s="1"/>
  <c r="U86" i="15" s="1"/>
  <c r="AD86" i="15"/>
  <c r="X87" i="15"/>
  <c r="H87" i="15" s="1"/>
  <c r="U87" i="15" s="1"/>
  <c r="AD87" i="15"/>
  <c r="X88" i="15"/>
  <c r="H88" i="15" s="1"/>
  <c r="U88" i="15" s="1"/>
  <c r="AD88" i="15"/>
  <c r="X89" i="15"/>
  <c r="H89" i="15" s="1"/>
  <c r="U89" i="15" s="1"/>
  <c r="AD89" i="15"/>
  <c r="X90" i="15"/>
  <c r="H90" i="15" s="1"/>
  <c r="U90" i="15" s="1"/>
  <c r="AD90" i="15"/>
  <c r="X91" i="15"/>
  <c r="H91" i="15" s="1"/>
  <c r="U91" i="15" s="1"/>
  <c r="AD91" i="15"/>
  <c r="X92" i="15"/>
  <c r="H92" i="15" s="1"/>
  <c r="U92" i="15" s="1"/>
  <c r="AD92" i="15"/>
  <c r="X93" i="15"/>
  <c r="H93" i="15" s="1"/>
  <c r="U93" i="15" s="1"/>
  <c r="AD93" i="15"/>
  <c r="X95" i="15"/>
  <c r="AD95" i="15"/>
  <c r="X96" i="15"/>
  <c r="H96" i="15" s="1"/>
  <c r="U96" i="15" s="1"/>
  <c r="AD96" i="15"/>
  <c r="X97" i="15"/>
  <c r="H97" i="15" s="1"/>
  <c r="U97" i="15" s="1"/>
  <c r="AD97" i="15"/>
  <c r="X98" i="15"/>
  <c r="H98" i="15" s="1"/>
  <c r="U98" i="15" s="1"/>
  <c r="AD98" i="15"/>
  <c r="X99" i="15"/>
  <c r="H99" i="15" s="1"/>
  <c r="U99" i="15" s="1"/>
  <c r="AD99" i="15"/>
  <c r="X100" i="15"/>
  <c r="H100" i="15" s="1"/>
  <c r="U100" i="15" s="1"/>
  <c r="AD100" i="15"/>
  <c r="X101" i="15"/>
  <c r="H101" i="15" s="1"/>
  <c r="U101" i="15" s="1"/>
  <c r="AD101" i="15"/>
  <c r="X102" i="15"/>
  <c r="H102" i="15" s="1"/>
  <c r="U102" i="15" s="1"/>
  <c r="AD102" i="15"/>
  <c r="X103" i="15"/>
  <c r="H103" i="15" s="1"/>
  <c r="U103" i="15" s="1"/>
  <c r="AD103" i="15"/>
  <c r="X104" i="15"/>
  <c r="H104" i="15" s="1"/>
  <c r="U104" i="15" s="1"/>
  <c r="AD104" i="15"/>
  <c r="X106" i="15"/>
  <c r="AD106" i="15"/>
  <c r="AD107" i="15"/>
  <c r="AD108" i="15"/>
  <c r="X109" i="15"/>
  <c r="H109" i="15" s="1"/>
  <c r="U109" i="15" s="1"/>
  <c r="AD109" i="15"/>
  <c r="X110" i="15"/>
  <c r="H110" i="15" s="1"/>
  <c r="U110" i="15" s="1"/>
  <c r="AD110" i="15"/>
  <c r="X111" i="15"/>
  <c r="H111" i="15" s="1"/>
  <c r="U111" i="15" s="1"/>
  <c r="AD111" i="15"/>
  <c r="X112" i="15"/>
  <c r="H112" i="15" s="1"/>
  <c r="U112" i="15" s="1"/>
  <c r="AD112" i="15"/>
  <c r="X113" i="15"/>
  <c r="H113" i="15" s="1"/>
  <c r="U113" i="15" s="1"/>
  <c r="AD113" i="15"/>
  <c r="X114" i="15"/>
  <c r="H114" i="15" s="1"/>
  <c r="U114" i="15" s="1"/>
  <c r="AD114" i="15"/>
  <c r="AD115" i="15"/>
  <c r="X121" i="15"/>
  <c r="AD121" i="15"/>
  <c r="AD122" i="15"/>
  <c r="X123" i="15"/>
  <c r="H123" i="15" s="1"/>
  <c r="U123" i="15" s="1"/>
  <c r="AD123" i="15"/>
  <c r="X124" i="15"/>
  <c r="H124" i="15" s="1"/>
  <c r="U124" i="15" s="1"/>
  <c r="AD124" i="15"/>
  <c r="X125" i="15"/>
  <c r="H125" i="15" s="1"/>
  <c r="U125" i="15" s="1"/>
  <c r="AD125" i="15"/>
  <c r="X127" i="15"/>
  <c r="AD127" i="15"/>
  <c r="X128" i="15"/>
  <c r="H128" i="15" s="1"/>
  <c r="U128" i="15" s="1"/>
  <c r="AD128" i="15"/>
  <c r="X130" i="15"/>
  <c r="H130" i="15" s="1"/>
  <c r="U130" i="15" s="1"/>
  <c r="AD130" i="15"/>
  <c r="X131" i="15"/>
  <c r="H131" i="15" s="1"/>
  <c r="U131" i="15" s="1"/>
  <c r="AD131" i="15"/>
  <c r="X132" i="15"/>
  <c r="H132" i="15" s="1"/>
  <c r="U132" i="15" s="1"/>
  <c r="AD132" i="15"/>
  <c r="X133" i="15"/>
  <c r="H133" i="15" s="1"/>
  <c r="U133" i="15" s="1"/>
  <c r="AD133" i="15"/>
  <c r="X134" i="15"/>
  <c r="H134" i="15" s="1"/>
  <c r="U134" i="15" s="1"/>
  <c r="AD134" i="15"/>
  <c r="X135" i="15"/>
  <c r="H135" i="15" s="1"/>
  <c r="U135" i="15" s="1"/>
  <c r="AD135" i="15"/>
  <c r="X137" i="15"/>
  <c r="AD137" i="15"/>
  <c r="X138" i="15"/>
  <c r="AD138" i="15"/>
  <c r="AD139" i="15"/>
  <c r="X140" i="15"/>
  <c r="AD140" i="15"/>
  <c r="X141" i="15"/>
  <c r="AD141" i="15"/>
  <c r="AD142" i="15"/>
  <c r="AD143" i="15"/>
  <c r="AD144" i="15"/>
  <c r="X145" i="15"/>
  <c r="AD145" i="15"/>
  <c r="X146" i="15"/>
  <c r="AD146" i="15"/>
  <c r="X147" i="15"/>
  <c r="AD147" i="15"/>
  <c r="AD148" i="15"/>
  <c r="AD149" i="15"/>
  <c r="AD150" i="15"/>
  <c r="AD151" i="15"/>
  <c r="X154" i="15"/>
  <c r="AD154" i="15"/>
  <c r="AD155" i="15"/>
  <c r="AD156" i="15"/>
  <c r="X157" i="15"/>
  <c r="AD157" i="15"/>
  <c r="X158" i="15"/>
  <c r="AD158" i="15"/>
  <c r="AD159" i="15"/>
  <c r="X160" i="15"/>
  <c r="AD160" i="15"/>
  <c r="X161" i="15"/>
  <c r="AD161" i="15"/>
  <c r="AD162" i="15"/>
  <c r="X163" i="15"/>
  <c r="AD163" i="15"/>
  <c r="X164" i="15"/>
  <c r="AD164" i="15"/>
  <c r="X165" i="15"/>
  <c r="H165" i="15" s="1"/>
  <c r="U165" i="15" s="1"/>
  <c r="AD165" i="15"/>
  <c r="X166" i="15"/>
  <c r="H166" i="15" s="1"/>
  <c r="U166" i="15" s="1"/>
  <c r="AD166" i="15"/>
  <c r="AD167" i="15"/>
  <c r="AD168" i="15"/>
  <c r="AD169" i="15"/>
  <c r="X171" i="15"/>
  <c r="AD171" i="15"/>
  <c r="X172" i="15"/>
  <c r="AD172" i="15"/>
  <c r="X173" i="15"/>
  <c r="H173" i="15" s="1"/>
  <c r="Q173" i="15" s="1"/>
  <c r="U173" i="15" s="1"/>
  <c r="AD173" i="15"/>
  <c r="AD174" i="15"/>
  <c r="X175" i="15"/>
  <c r="AD175" i="15"/>
  <c r="X176" i="15"/>
  <c r="AD176" i="15"/>
  <c r="X177" i="15"/>
  <c r="H177" i="15" s="1"/>
  <c r="AD177" i="15"/>
  <c r="X178" i="15"/>
  <c r="H178" i="15" s="1"/>
  <c r="AD178" i="15"/>
  <c r="X179" i="15"/>
  <c r="H179" i="15" s="1"/>
  <c r="AD179" i="15"/>
  <c r="X180" i="15"/>
  <c r="H180" i="15" s="1"/>
  <c r="AD180" i="15"/>
  <c r="AD181" i="15"/>
  <c r="AD182" i="15"/>
  <c r="AD183" i="15"/>
  <c r="AD184" i="15"/>
  <c r="X187" i="15"/>
  <c r="AD187" i="15"/>
  <c r="X188" i="15"/>
  <c r="AD188" i="15"/>
  <c r="X189" i="15"/>
  <c r="H189" i="15" s="1"/>
  <c r="AD189" i="15"/>
  <c r="X190" i="15"/>
  <c r="H190" i="15" s="1"/>
  <c r="AD190" i="15"/>
  <c r="AD191" i="15"/>
  <c r="AD192" i="15"/>
  <c r="AD193" i="15"/>
  <c r="X197" i="15"/>
  <c r="AD197" i="15"/>
  <c r="X198" i="15"/>
  <c r="AD198" i="15"/>
  <c r="AD199" i="15"/>
  <c r="AD200" i="15"/>
  <c r="X201" i="15"/>
  <c r="H201" i="15" s="1"/>
  <c r="U201" i="15" s="1"/>
  <c r="AD201" i="15"/>
  <c r="AD202" i="15"/>
  <c r="AD203" i="15"/>
  <c r="X204" i="15"/>
  <c r="AD204" i="15"/>
  <c r="X205" i="15"/>
  <c r="AD205" i="15"/>
  <c r="X206" i="15"/>
  <c r="AD206" i="15"/>
  <c r="X207" i="15"/>
  <c r="AD207" i="15"/>
  <c r="X208" i="15"/>
  <c r="AD208" i="15"/>
  <c r="AD209" i="15"/>
  <c r="AD210" i="15"/>
  <c r="AD211" i="15"/>
  <c r="X212" i="15"/>
  <c r="H212" i="15" s="1"/>
  <c r="U212" i="15" s="1"/>
  <c r="AD212" i="15"/>
  <c r="X213" i="15"/>
  <c r="H213" i="15" s="1"/>
  <c r="U213" i="15" s="1"/>
  <c r="AD213" i="15"/>
  <c r="X214" i="15"/>
  <c r="H214" i="15" s="1"/>
  <c r="U214" i="15" s="1"/>
  <c r="AD214" i="15"/>
  <c r="X215" i="15"/>
  <c r="H215" i="15" s="1"/>
  <c r="U215" i="15" s="1"/>
  <c r="AD215" i="15"/>
  <c r="X216" i="15"/>
  <c r="H216" i="15" s="1"/>
  <c r="U216" i="15" s="1"/>
  <c r="AD216" i="15"/>
  <c r="X217" i="15"/>
  <c r="H217" i="15" s="1"/>
  <c r="U217" i="15" s="1"/>
  <c r="AD217" i="15"/>
  <c r="X218" i="15"/>
  <c r="H218" i="15" s="1"/>
  <c r="U218" i="15" s="1"/>
  <c r="AD218" i="15"/>
  <c r="X219" i="15"/>
  <c r="H219" i="15" s="1"/>
  <c r="U219" i="15" s="1"/>
  <c r="AD219" i="15"/>
  <c r="AD220" i="15"/>
  <c r="AD221" i="15"/>
  <c r="X222" i="15"/>
  <c r="H222" i="15" s="1"/>
  <c r="U222" i="15" s="1"/>
  <c r="AD222" i="15"/>
  <c r="X223" i="15"/>
  <c r="H223" i="15" s="1"/>
  <c r="U223" i="15" s="1"/>
  <c r="AD223" i="15"/>
  <c r="AD224" i="15"/>
  <c r="X225" i="15"/>
  <c r="H225" i="15" s="1"/>
  <c r="U225" i="15" s="1"/>
  <c r="AD225" i="15"/>
  <c r="AD226" i="15"/>
  <c r="AD227" i="15"/>
  <c r="X228" i="15"/>
  <c r="H228" i="15" s="1"/>
  <c r="U228" i="15" s="1"/>
  <c r="AD228" i="15"/>
  <c r="AD229" i="15"/>
  <c r="AD230" i="15"/>
  <c r="X231" i="15"/>
  <c r="H231" i="15" s="1"/>
  <c r="U231" i="15" s="1"/>
  <c r="AD231" i="15"/>
  <c r="X232" i="15"/>
  <c r="H232" i="15" s="1"/>
  <c r="U232" i="15" s="1"/>
  <c r="AD232" i="15"/>
  <c r="X233" i="15"/>
  <c r="H233" i="15" s="1"/>
  <c r="U233" i="15" s="1"/>
  <c r="AD233" i="15"/>
  <c r="X234" i="15"/>
  <c r="H234" i="15" s="1"/>
  <c r="U234" i="15" s="1"/>
  <c r="AD234" i="15"/>
  <c r="X235" i="15"/>
  <c r="H235" i="15" s="1"/>
  <c r="U235" i="15" s="1"/>
  <c r="AD235" i="15"/>
  <c r="X236" i="15"/>
  <c r="H236" i="15" s="1"/>
  <c r="U236" i="15" s="1"/>
  <c r="AD236" i="15"/>
  <c r="X237" i="15"/>
  <c r="H237" i="15" s="1"/>
  <c r="U237" i="15" s="1"/>
  <c r="AD237" i="15"/>
  <c r="X238" i="15"/>
  <c r="H238" i="15" s="1"/>
  <c r="U238" i="15" s="1"/>
  <c r="AD238" i="15"/>
  <c r="X239" i="15"/>
  <c r="H239" i="15" s="1"/>
  <c r="U239" i="15" s="1"/>
  <c r="AD239" i="15"/>
  <c r="AD240" i="15"/>
  <c r="AD241" i="15"/>
  <c r="AD242" i="15"/>
  <c r="X243" i="15"/>
  <c r="AD243" i="15"/>
  <c r="AD244" i="15"/>
  <c r="X245" i="15"/>
  <c r="H245" i="15" s="1"/>
  <c r="U245" i="15" s="1"/>
  <c r="AD245" i="15"/>
  <c r="X246" i="15"/>
  <c r="H246" i="15" s="1"/>
  <c r="U246" i="15" s="1"/>
  <c r="AD246" i="15"/>
  <c r="AD247" i="15"/>
  <c r="AD248" i="15"/>
  <c r="H249" i="15"/>
  <c r="U249" i="15" s="1"/>
  <c r="X250" i="15"/>
  <c r="H250" i="15" s="1"/>
  <c r="U250" i="15" s="1"/>
  <c r="AD250" i="15"/>
  <c r="X251" i="15"/>
  <c r="H251" i="15" s="1"/>
  <c r="U251" i="15" s="1"/>
  <c r="AD251" i="15"/>
  <c r="AD252" i="15"/>
  <c r="X253" i="15"/>
  <c r="H253" i="15" s="1"/>
  <c r="U253" i="15" s="1"/>
  <c r="AD253" i="15"/>
  <c r="AD254" i="15"/>
  <c r="X255" i="15"/>
  <c r="H255" i="15" s="1"/>
  <c r="U255" i="15" s="1"/>
  <c r="AD255" i="15"/>
  <c r="X256" i="15"/>
  <c r="H256" i="15" s="1"/>
  <c r="U256" i="15" s="1"/>
  <c r="AD256" i="15"/>
  <c r="X257" i="15"/>
  <c r="H257" i="15" s="1"/>
  <c r="U257" i="15" s="1"/>
  <c r="AD257" i="15"/>
  <c r="AD260" i="15"/>
  <c r="AD261" i="15"/>
  <c r="X262" i="15"/>
  <c r="AD262" i="15"/>
  <c r="X263" i="15"/>
  <c r="H263" i="15" s="1"/>
  <c r="U263" i="15" s="1"/>
  <c r="AD263" i="15"/>
  <c r="X264" i="15"/>
  <c r="AD264" i="15"/>
  <c r="X265" i="15"/>
  <c r="H265" i="15" s="1"/>
  <c r="U265" i="15" s="1"/>
  <c r="AD265" i="15"/>
  <c r="X266" i="15"/>
  <c r="H266" i="15" s="1"/>
  <c r="U266" i="15" s="1"/>
  <c r="AD266" i="15"/>
  <c r="X267" i="15"/>
  <c r="H267" i="15" s="1"/>
  <c r="U267" i="15" s="1"/>
  <c r="AD267" i="15"/>
  <c r="X268" i="15"/>
  <c r="H268" i="15" s="1"/>
  <c r="U268" i="15" s="1"/>
  <c r="AD268" i="15"/>
  <c r="X269" i="15"/>
  <c r="H269" i="15" s="1"/>
  <c r="U269" i="15" s="1"/>
  <c r="AD269" i="15"/>
  <c r="X270" i="15"/>
  <c r="H270" i="15" s="1"/>
  <c r="U270" i="15" s="1"/>
  <c r="AD270" i="15"/>
  <c r="X271" i="15"/>
  <c r="AD271" i="15"/>
  <c r="X272" i="15"/>
  <c r="H272" i="15" s="1"/>
  <c r="U272" i="15" s="1"/>
  <c r="AD272" i="15"/>
  <c r="X273" i="15"/>
  <c r="H273" i="15" s="1"/>
  <c r="U273" i="15" s="1"/>
  <c r="AD273" i="15"/>
  <c r="X274" i="15"/>
  <c r="H274" i="15" s="1"/>
  <c r="U274" i="15" s="1"/>
  <c r="AD274" i="15"/>
  <c r="X275" i="15"/>
  <c r="H275" i="15" s="1"/>
  <c r="U275" i="15" s="1"/>
  <c r="AD275" i="15"/>
  <c r="AD276" i="15"/>
  <c r="X277" i="15"/>
  <c r="AD277" i="15"/>
  <c r="X278" i="15"/>
  <c r="AD278" i="15"/>
  <c r="X279" i="15"/>
  <c r="H279" i="15" s="1"/>
  <c r="U279" i="15" s="1"/>
  <c r="AD279" i="15"/>
  <c r="X280" i="15"/>
  <c r="H280" i="15" s="1"/>
  <c r="U280" i="15" s="1"/>
  <c r="AD280" i="15"/>
  <c r="X281" i="15"/>
  <c r="H281" i="15" s="1"/>
  <c r="U281" i="15" s="1"/>
  <c r="AD281" i="15"/>
  <c r="AD282" i="15"/>
  <c r="AD283" i="15"/>
  <c r="AD284" i="15"/>
  <c r="X285" i="15"/>
  <c r="H285" i="15" s="1"/>
  <c r="U285" i="15" s="1"/>
  <c r="AD285" i="15"/>
  <c r="X286" i="15"/>
  <c r="H286" i="15" s="1"/>
  <c r="U286" i="15" s="1"/>
  <c r="AD286" i="15"/>
  <c r="X287" i="15"/>
  <c r="H287" i="15" s="1"/>
  <c r="U287" i="15" s="1"/>
  <c r="AD287" i="15"/>
  <c r="X288" i="15"/>
  <c r="H288" i="15" s="1"/>
  <c r="U288" i="15" s="1"/>
  <c r="AD288" i="15"/>
  <c r="X289" i="15"/>
  <c r="H289" i="15" s="1"/>
  <c r="U289" i="15" s="1"/>
  <c r="AD289" i="15"/>
  <c r="X290" i="15"/>
  <c r="H290" i="15" s="1"/>
  <c r="U290" i="15" s="1"/>
  <c r="AD290" i="15"/>
  <c r="X291" i="15"/>
  <c r="H291" i="15" s="1"/>
  <c r="U291" i="15" s="1"/>
  <c r="AD291" i="15"/>
  <c r="X292" i="15"/>
  <c r="H292" i="15" s="1"/>
  <c r="U292" i="15" s="1"/>
  <c r="AD292" i="15"/>
  <c r="X293" i="15"/>
  <c r="H293" i="15" s="1"/>
  <c r="U293" i="15" s="1"/>
  <c r="AD293" i="15"/>
  <c r="X294" i="15"/>
  <c r="H294" i="15" s="1"/>
  <c r="U294" i="15" s="1"/>
  <c r="AD294" i="15"/>
  <c r="X295" i="15"/>
  <c r="H295" i="15" s="1"/>
  <c r="U295" i="15" s="1"/>
  <c r="AD295" i="15"/>
  <c r="X296" i="15"/>
  <c r="H296" i="15" s="1"/>
  <c r="U296" i="15" s="1"/>
  <c r="AD296" i="15"/>
  <c r="AD297" i="15"/>
  <c r="AD298" i="15"/>
  <c r="X299" i="15"/>
  <c r="AD299" i="15"/>
  <c r="AD300" i="15"/>
  <c r="AD301" i="15"/>
  <c r="X302" i="15"/>
  <c r="H302" i="15" s="1"/>
  <c r="U302" i="15" s="1"/>
  <c r="AD302" i="15"/>
  <c r="X304" i="15"/>
  <c r="AD304" i="15"/>
  <c r="X305" i="15"/>
  <c r="AD305" i="15"/>
  <c r="X306" i="15"/>
  <c r="H306" i="15" s="1"/>
  <c r="U306" i="15" s="1"/>
  <c r="AD306" i="15"/>
  <c r="X307" i="15"/>
  <c r="H307" i="15" s="1"/>
  <c r="U307" i="15" s="1"/>
  <c r="AD307" i="15"/>
  <c r="X308" i="15"/>
  <c r="H308" i="15" s="1"/>
  <c r="U308" i="15" s="1"/>
  <c r="AD308" i="15"/>
  <c r="X309" i="15"/>
  <c r="H309" i="15" s="1"/>
  <c r="U309" i="15" s="1"/>
  <c r="AD309" i="15"/>
  <c r="X310" i="15"/>
  <c r="H310" i="15" s="1"/>
  <c r="U310" i="15" s="1"/>
  <c r="AD310" i="15"/>
  <c r="X311" i="15"/>
  <c r="H311" i="15" s="1"/>
  <c r="U311" i="15" s="1"/>
  <c r="AD311" i="15"/>
  <c r="X312" i="15"/>
  <c r="H312" i="15" s="1"/>
  <c r="U312" i="15" s="1"/>
  <c r="AD312" i="15"/>
  <c r="X313" i="15"/>
  <c r="H313" i="15" s="1"/>
  <c r="U313" i="15" s="1"/>
  <c r="AD313" i="15"/>
  <c r="X314" i="15"/>
  <c r="H314" i="15" s="1"/>
  <c r="U314" i="15" s="1"/>
  <c r="AD314" i="15"/>
  <c r="X315" i="15"/>
  <c r="H315" i="15" s="1"/>
  <c r="U315" i="15" s="1"/>
  <c r="AD315" i="15"/>
  <c r="X316" i="15"/>
  <c r="H316" i="15" s="1"/>
  <c r="U316" i="15" s="1"/>
  <c r="AD316" i="15"/>
  <c r="X317" i="15"/>
  <c r="H317" i="15" s="1"/>
  <c r="U317" i="15" s="1"/>
  <c r="AD317" i="15"/>
  <c r="X318" i="15"/>
  <c r="H318" i="15" s="1"/>
  <c r="U318" i="15" s="1"/>
  <c r="AD318" i="15"/>
  <c r="X319" i="15"/>
  <c r="H319" i="15" s="1"/>
  <c r="U319" i="15" s="1"/>
  <c r="AD319" i="15"/>
  <c r="X320" i="15"/>
  <c r="H320" i="15" s="1"/>
  <c r="U320" i="15" s="1"/>
  <c r="AD320" i="15"/>
  <c r="AD321" i="15"/>
  <c r="AD322" i="15"/>
  <c r="X323" i="15"/>
  <c r="H323" i="15" s="1"/>
  <c r="U323" i="15" s="1"/>
  <c r="AD323" i="15"/>
  <c r="X324" i="15"/>
  <c r="H324" i="15" s="1"/>
  <c r="U324" i="15" s="1"/>
  <c r="AD324" i="15"/>
  <c r="X325" i="15"/>
  <c r="H325" i="15" s="1"/>
  <c r="U325" i="15" s="1"/>
  <c r="AD325" i="15"/>
  <c r="X326" i="15"/>
  <c r="H326" i="15" s="1"/>
  <c r="U326" i="15" s="1"/>
  <c r="AD326" i="15"/>
  <c r="X327" i="15"/>
  <c r="H327" i="15" s="1"/>
  <c r="U327" i="15" s="1"/>
  <c r="AD327" i="15"/>
  <c r="X328" i="15"/>
  <c r="H328" i="15" s="1"/>
  <c r="U328" i="15" s="1"/>
  <c r="AD328" i="15"/>
  <c r="X329" i="15"/>
  <c r="H329" i="15" s="1"/>
  <c r="U329" i="15" s="1"/>
  <c r="AD329" i="15"/>
  <c r="X330" i="15"/>
  <c r="H330" i="15" s="1"/>
  <c r="U330" i="15" s="1"/>
  <c r="AD330" i="15"/>
  <c r="X331" i="15"/>
  <c r="H331" i="15" s="1"/>
  <c r="U331" i="15" s="1"/>
  <c r="AD331" i="15"/>
  <c r="AD332" i="15"/>
  <c r="AD333" i="15"/>
  <c r="AD334" i="15"/>
  <c r="AD335" i="15"/>
  <c r="AD336" i="15"/>
  <c r="AD337" i="15"/>
  <c r="AD338" i="15"/>
  <c r="X339" i="15"/>
  <c r="AD339" i="15"/>
  <c r="AD340" i="15"/>
  <c r="AD341" i="15"/>
  <c r="AD342" i="15"/>
  <c r="X353" i="15"/>
  <c r="AD353" i="15"/>
  <c r="X354" i="15"/>
  <c r="AD354" i="15"/>
  <c r="AD355" i="15"/>
  <c r="AD356" i="15"/>
  <c r="AD357" i="15"/>
  <c r="AD358" i="15"/>
  <c r="AD359" i="15"/>
  <c r="AD360" i="15"/>
  <c r="AD361" i="15"/>
  <c r="X362" i="15"/>
  <c r="AD362" i="15"/>
  <c r="X363" i="15"/>
  <c r="H363" i="15" s="1"/>
  <c r="U363" i="15" s="1"/>
  <c r="AD363" i="15"/>
  <c r="X364" i="15"/>
  <c r="H364" i="15" s="1"/>
  <c r="U364" i="15" s="1"/>
  <c r="AD364" i="15"/>
  <c r="X365" i="15"/>
  <c r="H365" i="15" s="1"/>
  <c r="U365" i="15" s="1"/>
  <c r="AD365" i="15"/>
  <c r="X366" i="15"/>
  <c r="H366" i="15" s="1"/>
  <c r="U366" i="15" s="1"/>
  <c r="AD366" i="15"/>
  <c r="X367" i="15"/>
  <c r="AD367" i="15"/>
  <c r="X368" i="15"/>
  <c r="AD368" i="15"/>
  <c r="X369" i="15"/>
  <c r="AD369" i="15"/>
  <c r="X370" i="15"/>
  <c r="AD370" i="15"/>
  <c r="X371" i="15"/>
  <c r="H371" i="15" s="1"/>
  <c r="U371" i="15" s="1"/>
  <c r="AD371" i="15"/>
  <c r="AD372" i="15"/>
  <c r="X373" i="15"/>
  <c r="H373" i="15" s="1"/>
  <c r="U373" i="15" s="1"/>
  <c r="AD373" i="15"/>
  <c r="AD374" i="15"/>
  <c r="AD375" i="15"/>
  <c r="AD376" i="15"/>
  <c r="AD377" i="15"/>
  <c r="AD378" i="15"/>
  <c r="AD379" i="15"/>
  <c r="X380" i="15"/>
  <c r="H380" i="15" s="1"/>
  <c r="U380" i="15" s="1"/>
  <c r="AD380" i="15"/>
  <c r="AD381" i="15"/>
  <c r="AD382" i="15"/>
  <c r="X383" i="15"/>
  <c r="H383" i="15" s="1"/>
  <c r="U383" i="15" s="1"/>
  <c r="AD383" i="15"/>
  <c r="AD384" i="15"/>
  <c r="X385" i="15"/>
  <c r="AD385" i="15"/>
  <c r="X386" i="15"/>
  <c r="H386" i="15" s="1"/>
  <c r="U386" i="15" s="1"/>
  <c r="AD386" i="15"/>
  <c r="X387" i="15"/>
  <c r="H387" i="15" s="1"/>
  <c r="U387" i="15" s="1"/>
  <c r="AD387" i="15"/>
  <c r="AD388" i="15"/>
  <c r="X389" i="15"/>
  <c r="H389" i="15" s="1"/>
  <c r="U389" i="15" s="1"/>
  <c r="AD389" i="15"/>
  <c r="X390" i="15"/>
  <c r="H390" i="15" s="1"/>
  <c r="U390" i="15" s="1"/>
  <c r="AD390" i="15"/>
  <c r="AD391" i="15"/>
  <c r="AD392" i="15"/>
  <c r="AD393" i="15"/>
  <c r="X394" i="15"/>
  <c r="H394" i="15" s="1"/>
  <c r="U394" i="15" s="1"/>
  <c r="AD394" i="15"/>
  <c r="X395" i="15"/>
  <c r="H395" i="15" s="1"/>
  <c r="U395" i="15" s="1"/>
  <c r="AD395" i="15"/>
  <c r="AD397" i="15"/>
  <c r="AD398" i="15"/>
  <c r="AD399" i="15"/>
  <c r="AD400" i="15"/>
  <c r="AD401" i="15"/>
  <c r="X402" i="15"/>
  <c r="H402" i="15" s="1"/>
  <c r="U402" i="15" s="1"/>
  <c r="AD402" i="15"/>
  <c r="AD403" i="15"/>
  <c r="X404" i="15"/>
  <c r="AD404" i="15"/>
  <c r="X405" i="15"/>
  <c r="AD405" i="15"/>
  <c r="X406" i="15"/>
  <c r="AD406" i="15"/>
  <c r="X407" i="15"/>
  <c r="AD407" i="15"/>
  <c r="AD408" i="15"/>
  <c r="X409" i="15"/>
  <c r="H409" i="15" s="1"/>
  <c r="U409" i="15" s="1"/>
  <c r="AD409" i="15"/>
  <c r="X410" i="15"/>
  <c r="H410" i="15" s="1"/>
  <c r="U410" i="15" s="1"/>
  <c r="AD410" i="15"/>
  <c r="X411" i="15"/>
  <c r="H411" i="15" s="1"/>
  <c r="U411" i="15" s="1"/>
  <c r="AD411" i="15"/>
  <c r="X412" i="15"/>
  <c r="H412" i="15" s="1"/>
  <c r="U412" i="15" s="1"/>
  <c r="AD412" i="15"/>
  <c r="X413" i="15"/>
  <c r="H413" i="15" s="1"/>
  <c r="U413" i="15" s="1"/>
  <c r="AD413" i="15"/>
  <c r="X414" i="15"/>
  <c r="H414" i="15" s="1"/>
  <c r="U414" i="15" s="1"/>
  <c r="AD414" i="15"/>
  <c r="X415" i="15"/>
  <c r="H415" i="15" s="1"/>
  <c r="U415" i="15" s="1"/>
  <c r="AD415" i="15"/>
  <c r="X416" i="15"/>
  <c r="H416" i="15" s="1"/>
  <c r="U416" i="15" s="1"/>
  <c r="AD416" i="15"/>
  <c r="X417" i="15"/>
  <c r="H417" i="15" s="1"/>
  <c r="U417" i="15" s="1"/>
  <c r="AD417" i="15"/>
  <c r="X418" i="15"/>
  <c r="H418" i="15" s="1"/>
  <c r="U418" i="15" s="1"/>
  <c r="AD418" i="15"/>
  <c r="X419" i="15"/>
  <c r="H419" i="15" s="1"/>
  <c r="U419" i="15" s="1"/>
  <c r="AD419" i="15"/>
  <c r="X420" i="15"/>
  <c r="H420" i="15" s="1"/>
  <c r="U420" i="15" s="1"/>
  <c r="AD420" i="15"/>
  <c r="AD421" i="15"/>
  <c r="AD422" i="15"/>
  <c r="AD423" i="15"/>
  <c r="AD424" i="15"/>
  <c r="AD425" i="15"/>
  <c r="AD426" i="15"/>
  <c r="AD427" i="15"/>
  <c r="AD428" i="15"/>
  <c r="AD429" i="15"/>
  <c r="X430" i="15"/>
  <c r="AD430" i="15"/>
  <c r="AD431" i="15"/>
  <c r="AD432" i="15"/>
  <c r="AD433" i="15"/>
  <c r="X434" i="15"/>
  <c r="AD434" i="15"/>
  <c r="X435" i="15"/>
  <c r="H435" i="15" s="1"/>
  <c r="U435" i="15" s="1"/>
  <c r="AD435" i="15"/>
  <c r="X436" i="15"/>
  <c r="H436" i="15" s="1"/>
  <c r="U436" i="15" s="1"/>
  <c r="AD436" i="15"/>
  <c r="X437" i="15"/>
  <c r="H437" i="15" s="1"/>
  <c r="U437" i="15" s="1"/>
  <c r="AD437" i="15"/>
  <c r="X438" i="15"/>
  <c r="H438" i="15" s="1"/>
  <c r="U438" i="15" s="1"/>
  <c r="AD438" i="15"/>
  <c r="X439" i="15"/>
  <c r="H439" i="15" s="1"/>
  <c r="U439" i="15" s="1"/>
  <c r="AD439" i="15"/>
  <c r="X440" i="15"/>
  <c r="H440" i="15" s="1"/>
  <c r="U440" i="15" s="1"/>
  <c r="AD440" i="15"/>
  <c r="X441" i="15"/>
  <c r="H441" i="15" s="1"/>
  <c r="U441" i="15" s="1"/>
  <c r="AD441" i="15"/>
  <c r="X442" i="15"/>
  <c r="AD442" i="15"/>
  <c r="AD443" i="15"/>
  <c r="X444" i="15"/>
  <c r="H444" i="15" s="1"/>
  <c r="U444" i="15" s="1"/>
  <c r="AD444" i="15"/>
  <c r="AD445" i="15"/>
  <c r="X446" i="15"/>
  <c r="AD446" i="15"/>
  <c r="X447" i="15"/>
  <c r="AD447" i="15"/>
  <c r="X448" i="15"/>
  <c r="AD448" i="15"/>
  <c r="AD449" i="15"/>
  <c r="AD450" i="15"/>
  <c r="AD451" i="15"/>
  <c r="AD452" i="15"/>
  <c r="AD453" i="15"/>
  <c r="AD454" i="15"/>
  <c r="AD455" i="15"/>
  <c r="X460" i="15"/>
  <c r="H460" i="15" s="1"/>
  <c r="U460" i="15" s="1"/>
  <c r="AD460" i="15"/>
  <c r="AD461" i="15"/>
  <c r="AD462" i="15"/>
  <c r="AD463" i="15"/>
  <c r="X464" i="15"/>
  <c r="H464" i="15" s="1"/>
  <c r="U464" i="15" s="1"/>
  <c r="AD464" i="15"/>
  <c r="AD465" i="15"/>
  <c r="AD467" i="15"/>
  <c r="AD468" i="15"/>
  <c r="X469" i="15"/>
  <c r="AD469" i="15"/>
  <c r="X470" i="15"/>
  <c r="H470" i="15" s="1"/>
  <c r="U470" i="15" s="1"/>
  <c r="AD470" i="15"/>
  <c r="X471" i="15"/>
  <c r="H471" i="15" s="1"/>
  <c r="U471" i="15" s="1"/>
  <c r="AD471" i="15"/>
  <c r="X472" i="15"/>
  <c r="H472" i="15" s="1"/>
  <c r="U472" i="15" s="1"/>
  <c r="AD472" i="15"/>
  <c r="X473" i="15"/>
  <c r="H473" i="15" s="1"/>
  <c r="U473" i="15" s="1"/>
  <c r="AD473" i="15"/>
  <c r="X474" i="15"/>
  <c r="H474" i="15" s="1"/>
  <c r="U474" i="15" s="1"/>
  <c r="AD474" i="15"/>
  <c r="X475" i="15"/>
  <c r="H475" i="15" s="1"/>
  <c r="U475" i="15" s="1"/>
  <c r="AD475" i="15"/>
  <c r="AD476" i="15"/>
  <c r="X477" i="15"/>
  <c r="H477" i="15" s="1"/>
  <c r="U477" i="15" s="1"/>
  <c r="AD477" i="15"/>
  <c r="X478" i="15"/>
  <c r="H478" i="15" s="1"/>
  <c r="U478" i="15" s="1"/>
  <c r="AD478" i="15"/>
  <c r="X479" i="15"/>
  <c r="H479" i="15" s="1"/>
  <c r="U479" i="15" s="1"/>
  <c r="AD479" i="15"/>
  <c r="X480" i="15"/>
  <c r="H480" i="15" s="1"/>
  <c r="U480" i="15" s="1"/>
  <c r="AD480" i="15"/>
  <c r="X481" i="15"/>
  <c r="H481" i="15" s="1"/>
  <c r="U481" i="15" s="1"/>
  <c r="AD481" i="15"/>
  <c r="X482" i="15"/>
  <c r="H482" i="15" s="1"/>
  <c r="U482" i="15" s="1"/>
  <c r="AD482" i="15"/>
  <c r="AD483" i="15"/>
  <c r="X484" i="15"/>
  <c r="H484" i="15" s="1"/>
  <c r="U484" i="15" s="1"/>
  <c r="AD484" i="15"/>
  <c r="X485" i="15"/>
  <c r="H485" i="15" s="1"/>
  <c r="U485" i="15" s="1"/>
  <c r="AD485" i="15"/>
  <c r="X486" i="15"/>
  <c r="H486" i="15" s="1"/>
  <c r="U486" i="15" s="1"/>
  <c r="AD486" i="15"/>
  <c r="X487" i="15"/>
  <c r="H487" i="15" s="1"/>
  <c r="U487" i="15" s="1"/>
  <c r="AD487" i="15"/>
  <c r="X488" i="15"/>
  <c r="H488" i="15" s="1"/>
  <c r="U488" i="15" s="1"/>
  <c r="AD488" i="15"/>
  <c r="AD489" i="15"/>
  <c r="AD490" i="15"/>
  <c r="AD491" i="15"/>
  <c r="AD492" i="15"/>
  <c r="AD493" i="15"/>
  <c r="AD494" i="15"/>
  <c r="AD495" i="15"/>
  <c r="AD496" i="15"/>
  <c r="AD497" i="15"/>
  <c r="X498" i="15"/>
  <c r="H498" i="15" s="1"/>
  <c r="U498" i="15" s="1"/>
  <c r="AD498" i="15"/>
  <c r="X499" i="15"/>
  <c r="H499" i="15" s="1"/>
  <c r="U499" i="15" s="1"/>
  <c r="AD499" i="15"/>
  <c r="X500" i="15"/>
  <c r="AD500" i="15"/>
  <c r="X501" i="15"/>
  <c r="H501" i="15" s="1"/>
  <c r="U501" i="15" s="1"/>
  <c r="AD501" i="15"/>
  <c r="AD502" i="15"/>
  <c r="X503" i="15"/>
  <c r="H503" i="15" s="1"/>
  <c r="U503" i="15" s="1"/>
  <c r="AD503" i="15"/>
  <c r="X504" i="15"/>
  <c r="AD504" i="15"/>
  <c r="AD505" i="15"/>
  <c r="AD506" i="15"/>
  <c r="X507" i="15"/>
  <c r="AD507" i="15"/>
  <c r="AD508" i="15"/>
  <c r="X509" i="15"/>
  <c r="AD509" i="15"/>
  <c r="AD510" i="15"/>
  <c r="AD511" i="15"/>
  <c r="AD512" i="15"/>
  <c r="X513" i="15"/>
  <c r="AD513" i="15"/>
  <c r="X514" i="15"/>
  <c r="AD514" i="15"/>
  <c r="X515" i="15"/>
  <c r="AD515" i="15"/>
  <c r="AD516" i="15"/>
  <c r="X517" i="15"/>
  <c r="AD517" i="15"/>
  <c r="X518" i="15"/>
  <c r="H518" i="15" s="1"/>
  <c r="U518" i="15" s="1"/>
  <c r="AD518" i="15"/>
  <c r="X519" i="15"/>
  <c r="H519" i="15" s="1"/>
  <c r="U519" i="15" s="1"/>
  <c r="AD519" i="15"/>
  <c r="X520" i="15"/>
  <c r="H520" i="15" s="1"/>
  <c r="U520" i="15" s="1"/>
  <c r="AD520" i="15"/>
  <c r="X521" i="15"/>
  <c r="H521" i="15" s="1"/>
  <c r="U521" i="15" s="1"/>
  <c r="AD521" i="15"/>
  <c r="X522" i="15"/>
  <c r="H522" i="15" s="1"/>
  <c r="U522" i="15" s="1"/>
  <c r="AD522" i="15"/>
  <c r="X523" i="15"/>
  <c r="H523" i="15" s="1"/>
  <c r="U523" i="15" s="1"/>
  <c r="AD523" i="15"/>
  <c r="X524" i="15"/>
  <c r="H524" i="15" s="1"/>
  <c r="U524" i="15" s="1"/>
  <c r="AD524" i="15"/>
  <c r="X525" i="15"/>
  <c r="H525" i="15" s="1"/>
  <c r="U525" i="15" s="1"/>
  <c r="AD525" i="15"/>
  <c r="X526" i="15"/>
  <c r="AD526" i="15"/>
  <c r="AD527" i="15"/>
  <c r="AD528" i="15"/>
  <c r="X529" i="15"/>
  <c r="AD529" i="15"/>
  <c r="X530" i="15"/>
  <c r="H530" i="15" s="1"/>
  <c r="U530" i="15" s="1"/>
  <c r="AD530" i="15"/>
  <c r="AD531" i="15"/>
  <c r="X532" i="15"/>
  <c r="AD532" i="15"/>
  <c r="X533" i="15"/>
  <c r="AD533" i="15"/>
  <c r="X534" i="15"/>
  <c r="AD534" i="15"/>
  <c r="AD535" i="15"/>
  <c r="AD536" i="15"/>
  <c r="AD537" i="15"/>
  <c r="AD538" i="15"/>
  <c r="AD539" i="15"/>
  <c r="X540" i="15"/>
  <c r="AD540" i="15"/>
  <c r="AD541" i="15"/>
  <c r="AD542" i="15"/>
  <c r="X543" i="15"/>
  <c r="H543" i="15" s="1"/>
  <c r="U543" i="15" s="1"/>
  <c r="AD543" i="15"/>
  <c r="AD544" i="15"/>
  <c r="AD545" i="15"/>
  <c r="AD546" i="15"/>
  <c r="X547" i="15"/>
  <c r="AD547" i="15"/>
  <c r="X548" i="15"/>
  <c r="H548" i="15" s="1"/>
  <c r="U548" i="15" s="1"/>
  <c r="AD548" i="15"/>
  <c r="X549" i="15"/>
  <c r="H549" i="15" s="1"/>
  <c r="U549" i="15" s="1"/>
  <c r="AD549" i="15"/>
  <c r="X550" i="15"/>
  <c r="H550" i="15" s="1"/>
  <c r="U550" i="15" s="1"/>
  <c r="AD550" i="15"/>
  <c r="X551" i="15"/>
  <c r="H551" i="15" s="1"/>
  <c r="U551" i="15" s="1"/>
  <c r="AD551" i="15"/>
  <c r="X552" i="15"/>
  <c r="H552" i="15" s="1"/>
  <c r="U552" i="15" s="1"/>
  <c r="AD552" i="15"/>
  <c r="X553" i="15"/>
  <c r="H553" i="15" s="1"/>
  <c r="U553" i="15" s="1"/>
  <c r="AD553" i="15"/>
  <c r="X554" i="15"/>
  <c r="H554" i="15" s="1"/>
  <c r="U554" i="15" s="1"/>
  <c r="AD554" i="15"/>
  <c r="X555" i="15"/>
  <c r="H555" i="15" s="1"/>
  <c r="U555" i="15" s="1"/>
  <c r="AD555" i="15"/>
  <c r="X556" i="15"/>
  <c r="H556" i="15" s="1"/>
  <c r="U556" i="15" s="1"/>
  <c r="AD556" i="15"/>
  <c r="X557" i="15"/>
  <c r="H557" i="15" s="1"/>
  <c r="U557" i="15" s="1"/>
  <c r="AD557" i="15"/>
  <c r="X558" i="15"/>
  <c r="H558" i="15" s="1"/>
  <c r="U558" i="15" s="1"/>
  <c r="AD558" i="15"/>
  <c r="X559" i="15"/>
  <c r="H559" i="15" s="1"/>
  <c r="U559" i="15" s="1"/>
  <c r="AD559" i="15"/>
  <c r="AD560" i="15"/>
  <c r="AD561" i="15"/>
  <c r="X562" i="15"/>
  <c r="AD562" i="15"/>
  <c r="X563" i="15"/>
  <c r="H563" i="15" s="1"/>
  <c r="U563" i="15" s="1"/>
  <c r="AD563" i="15"/>
  <c r="X564" i="15"/>
  <c r="AD564" i="15"/>
  <c r="X565" i="15"/>
  <c r="H565" i="15" s="1"/>
  <c r="U565" i="15" s="1"/>
  <c r="AD565" i="15"/>
  <c r="AD566" i="15"/>
  <c r="X567" i="15"/>
  <c r="AD567" i="15"/>
  <c r="X568" i="15"/>
  <c r="AD568" i="15"/>
  <c r="AD569" i="15"/>
  <c r="AD570" i="15"/>
  <c r="X571" i="15"/>
  <c r="AD571" i="15"/>
  <c r="X572" i="15"/>
  <c r="AD572" i="15"/>
  <c r="X573" i="15"/>
  <c r="AD573" i="15"/>
  <c r="X574" i="15"/>
  <c r="H574" i="15" s="1"/>
  <c r="U574" i="15" s="1"/>
  <c r="AD574" i="15"/>
  <c r="X575" i="15"/>
  <c r="H575" i="15" s="1"/>
  <c r="U575" i="15" s="1"/>
  <c r="AD575" i="15"/>
  <c r="X576" i="15"/>
  <c r="H576" i="15" s="1"/>
  <c r="U576" i="15" s="1"/>
  <c r="AD576" i="15"/>
  <c r="X577" i="15"/>
  <c r="H577" i="15" s="1"/>
  <c r="U577" i="15" s="1"/>
  <c r="AD577" i="15"/>
  <c r="X578" i="15"/>
  <c r="H578" i="15" s="1"/>
  <c r="U578" i="15" s="1"/>
  <c r="AD578" i="15"/>
  <c r="X579" i="15"/>
  <c r="H579" i="15" s="1"/>
  <c r="U579" i="15" s="1"/>
  <c r="AD579" i="15"/>
  <c r="AD580" i="15"/>
  <c r="X581" i="15"/>
  <c r="H581" i="15" s="1"/>
  <c r="U581" i="15" s="1"/>
  <c r="AD581" i="15"/>
  <c r="X582" i="15"/>
  <c r="H582" i="15" s="1"/>
  <c r="U582" i="15" s="1"/>
  <c r="AD582" i="15"/>
  <c r="AD583" i="15"/>
  <c r="AD584" i="15"/>
  <c r="AD585" i="15"/>
  <c r="AD586" i="15"/>
  <c r="AD587" i="15"/>
  <c r="AD588" i="15"/>
  <c r="AD589" i="15"/>
  <c r="AD590" i="15"/>
  <c r="AD591" i="15"/>
  <c r="AD592" i="15"/>
  <c r="AD593" i="15"/>
  <c r="X594" i="15"/>
  <c r="AD594" i="15"/>
  <c r="AD595" i="15"/>
  <c r="AD596" i="15"/>
  <c r="AD597" i="15"/>
  <c r="AD598" i="15"/>
  <c r="AD599" i="15"/>
  <c r="AD600" i="15"/>
  <c r="X601" i="15"/>
  <c r="AD601" i="15"/>
  <c r="X602" i="15"/>
  <c r="H602" i="15" s="1"/>
  <c r="U602" i="15" s="1"/>
  <c r="AD602" i="15"/>
  <c r="X603" i="15"/>
  <c r="H603" i="15" s="1"/>
  <c r="U603" i="15" s="1"/>
  <c r="AD603" i="15"/>
  <c r="AD604" i="15"/>
  <c r="AD605" i="15"/>
  <c r="X606" i="15"/>
  <c r="AD606" i="15"/>
  <c r="X607" i="15"/>
  <c r="H607" i="15" s="1"/>
  <c r="U607" i="15" s="1"/>
  <c r="AD607" i="15"/>
  <c r="X608" i="15"/>
  <c r="H608" i="15" s="1"/>
  <c r="U608" i="15" s="1"/>
  <c r="AD608" i="15"/>
  <c r="X609" i="15"/>
  <c r="AD609" i="15"/>
  <c r="AD610" i="15"/>
  <c r="X611" i="15"/>
  <c r="H611" i="15" s="1"/>
  <c r="U611" i="15" s="1"/>
  <c r="AD611" i="15"/>
  <c r="X612" i="15"/>
  <c r="H612" i="15" s="1"/>
  <c r="U612" i="15" s="1"/>
  <c r="AD612" i="15"/>
  <c r="X613" i="15"/>
  <c r="AD613" i="15"/>
  <c r="X614" i="15"/>
  <c r="AD614" i="15"/>
  <c r="X615" i="15"/>
  <c r="AD615" i="15"/>
  <c r="AD616" i="15"/>
  <c r="X617" i="15"/>
  <c r="AD617" i="15"/>
  <c r="AD618" i="15"/>
  <c r="X619" i="15"/>
  <c r="AD619" i="15"/>
  <c r="X620" i="15"/>
  <c r="H620" i="15" s="1"/>
  <c r="U620" i="15" s="1"/>
  <c r="AD620" i="15"/>
  <c r="X621" i="15"/>
  <c r="AD621" i="15"/>
  <c r="X622" i="15"/>
  <c r="H622" i="15" s="1"/>
  <c r="U622" i="15" s="1"/>
  <c r="AD622" i="15"/>
  <c r="X623" i="15"/>
  <c r="H623" i="15" s="1"/>
  <c r="U623" i="15" s="1"/>
  <c r="AD623" i="15"/>
  <c r="X624" i="15"/>
  <c r="H624" i="15" s="1"/>
  <c r="U624" i="15" s="1"/>
  <c r="AD624" i="15"/>
  <c r="AD625" i="15"/>
  <c r="X626" i="15"/>
  <c r="AD626" i="15"/>
  <c r="X627" i="15"/>
  <c r="AD627" i="15"/>
  <c r="X628" i="15"/>
  <c r="AD628" i="15"/>
  <c r="X629" i="15"/>
  <c r="H629" i="15" s="1"/>
  <c r="U629" i="15" s="1"/>
  <c r="AD629" i="15"/>
  <c r="AD630" i="15"/>
  <c r="AD631" i="15"/>
  <c r="AD632" i="15"/>
  <c r="AD633" i="15"/>
  <c r="X634" i="15"/>
  <c r="H634" i="15" s="1"/>
  <c r="U634" i="15" s="1"/>
  <c r="AD634" i="15"/>
  <c r="X635" i="15"/>
  <c r="AD635" i="15"/>
  <c r="X636" i="15"/>
  <c r="H636" i="15" s="1"/>
  <c r="U636" i="15" s="1"/>
  <c r="AD636" i="15"/>
  <c r="X637" i="15"/>
  <c r="H637" i="15" s="1"/>
  <c r="U637" i="15" s="1"/>
  <c r="AD637" i="15"/>
  <c r="X638" i="15"/>
  <c r="H638" i="15" s="1"/>
  <c r="U638" i="15" s="1"/>
  <c r="AD638" i="15"/>
  <c r="X639" i="15"/>
  <c r="H639" i="15" s="1"/>
  <c r="U639" i="15" s="1"/>
  <c r="AD639" i="15"/>
  <c r="X640" i="15"/>
  <c r="H640" i="15" s="1"/>
  <c r="U640" i="15" s="1"/>
  <c r="AD640" i="15"/>
  <c r="X641" i="15"/>
  <c r="H641" i="15" s="1"/>
  <c r="U641" i="15" s="1"/>
  <c r="AD641" i="15"/>
  <c r="AD642" i="15"/>
  <c r="X643" i="15"/>
  <c r="H643" i="15" s="1"/>
  <c r="U643" i="15" s="1"/>
  <c r="AD643" i="15"/>
  <c r="X644" i="15"/>
  <c r="H644" i="15" s="1"/>
  <c r="U644" i="15" s="1"/>
  <c r="AD644" i="15"/>
  <c r="X645" i="15"/>
  <c r="H645" i="15" s="1"/>
  <c r="U645" i="15" s="1"/>
  <c r="AD645" i="15"/>
  <c r="AD646" i="15"/>
  <c r="AD647" i="15"/>
  <c r="AD648" i="15"/>
  <c r="AD649" i="15"/>
  <c r="AD650" i="15"/>
  <c r="AD651" i="15"/>
  <c r="AD652" i="15"/>
  <c r="X653" i="15"/>
  <c r="AD653" i="15"/>
  <c r="AD654" i="15"/>
  <c r="AD655" i="15"/>
  <c r="AD656" i="15"/>
  <c r="X657" i="15"/>
  <c r="AD657" i="15"/>
  <c r="X658" i="15"/>
  <c r="H658" i="15" s="1"/>
  <c r="U658" i="15" s="1"/>
  <c r="AD658" i="15"/>
  <c r="X659" i="15"/>
  <c r="H659" i="15" s="1"/>
  <c r="U659" i="15" s="1"/>
  <c r="AD659" i="15"/>
  <c r="X660" i="15"/>
  <c r="H660" i="15" s="1"/>
  <c r="U660" i="15" s="1"/>
  <c r="AD660" i="15"/>
  <c r="X661" i="15"/>
  <c r="H661" i="15" s="1"/>
  <c r="U661" i="15" s="1"/>
  <c r="AD661" i="15"/>
  <c r="X662" i="15"/>
  <c r="H662" i="15" s="1"/>
  <c r="U662" i="15" s="1"/>
  <c r="AD662" i="15"/>
  <c r="X663" i="15"/>
  <c r="H663" i="15" s="1"/>
  <c r="U663" i="15" s="1"/>
  <c r="AD663" i="15"/>
  <c r="X664" i="15"/>
  <c r="H664" i="15" s="1"/>
  <c r="U664" i="15" s="1"/>
  <c r="AD664" i="15"/>
  <c r="X665" i="15"/>
  <c r="H665" i="15" s="1"/>
  <c r="U665" i="15" s="1"/>
  <c r="AD665" i="15"/>
  <c r="X666" i="15"/>
  <c r="H666" i="15" s="1"/>
  <c r="U666" i="15" s="1"/>
  <c r="AD666" i="15"/>
  <c r="X667" i="15"/>
  <c r="AD667" i="15"/>
  <c r="X668" i="15"/>
  <c r="H668" i="15" s="1"/>
  <c r="U668" i="15" s="1"/>
  <c r="AD668" i="15"/>
  <c r="X669" i="15"/>
  <c r="AD669" i="15"/>
  <c r="X670" i="15"/>
  <c r="H670" i="15" s="1"/>
  <c r="U670" i="15" s="1"/>
  <c r="AD670" i="15"/>
  <c r="X671" i="15"/>
  <c r="H671" i="15" s="1"/>
  <c r="U671" i="15" s="1"/>
  <c r="AD671" i="15"/>
  <c r="X672" i="15"/>
  <c r="H672" i="15" s="1"/>
  <c r="U672" i="15" s="1"/>
  <c r="AD672" i="15"/>
  <c r="X673" i="15"/>
  <c r="H673" i="15" s="1"/>
  <c r="U673" i="15" s="1"/>
  <c r="AD673" i="15"/>
  <c r="X674" i="15"/>
  <c r="H674" i="15" s="1"/>
  <c r="U674" i="15" s="1"/>
  <c r="AD674" i="15"/>
  <c r="X675" i="15"/>
  <c r="H675" i="15" s="1"/>
  <c r="U675" i="15" s="1"/>
  <c r="AD675" i="15"/>
  <c r="X676" i="15"/>
  <c r="H676" i="15" s="1"/>
  <c r="U676" i="15" s="1"/>
  <c r="AD676" i="15"/>
  <c r="X677" i="15"/>
  <c r="H677" i="15" s="1"/>
  <c r="U677" i="15" s="1"/>
  <c r="AD677" i="15"/>
  <c r="X678" i="15"/>
  <c r="H678" i="15" s="1"/>
  <c r="U678" i="15" s="1"/>
  <c r="AD678" i="15"/>
  <c r="X679" i="15"/>
  <c r="AD679" i="15"/>
  <c r="X680" i="15"/>
  <c r="H680" i="15" s="1"/>
  <c r="U680" i="15" s="1"/>
  <c r="AD680" i="15"/>
  <c r="X681" i="15"/>
  <c r="AD681" i="15"/>
  <c r="X682" i="15"/>
  <c r="AD682" i="15"/>
  <c r="X683" i="15"/>
  <c r="AD683" i="15"/>
  <c r="X684" i="15"/>
  <c r="H684" i="15" s="1"/>
  <c r="U684" i="15" s="1"/>
  <c r="AD684" i="15"/>
  <c r="AD685" i="15"/>
  <c r="AD686" i="15"/>
  <c r="X687" i="15"/>
  <c r="H687" i="15" s="1"/>
  <c r="U687" i="15" s="1"/>
  <c r="AD687" i="15"/>
  <c r="X688" i="15"/>
  <c r="H688" i="15" s="1"/>
  <c r="U688" i="15" s="1"/>
  <c r="AD688" i="15"/>
  <c r="X689" i="15"/>
  <c r="H689" i="15" s="1"/>
  <c r="U689" i="15" s="1"/>
  <c r="AD689" i="15"/>
  <c r="X694" i="15"/>
  <c r="H694" i="15" s="1"/>
  <c r="U694" i="15" s="1"/>
  <c r="AD694" i="15"/>
  <c r="X695" i="15"/>
  <c r="AD695" i="15"/>
  <c r="X696" i="15"/>
  <c r="H696" i="15" s="1"/>
  <c r="U696" i="15" s="1"/>
  <c r="AD696" i="15"/>
  <c r="AD697" i="15"/>
  <c r="AD698" i="15"/>
  <c r="X699" i="15"/>
  <c r="H699" i="15" s="1"/>
  <c r="U699" i="15" s="1"/>
  <c r="AD699" i="15"/>
  <c r="X700" i="15"/>
  <c r="H700" i="15" s="1"/>
  <c r="U700" i="15" s="1"/>
  <c r="AD700" i="15"/>
  <c r="X701" i="15"/>
  <c r="H701" i="15" s="1"/>
  <c r="U701" i="15" s="1"/>
  <c r="AD701" i="15"/>
  <c r="X706" i="15"/>
  <c r="H706" i="15" s="1"/>
  <c r="U706" i="15" s="1"/>
  <c r="AD706" i="15"/>
  <c r="X707" i="15"/>
  <c r="AD707" i="15"/>
  <c r="X708" i="15"/>
  <c r="H708" i="15" s="1"/>
  <c r="U708" i="15" s="1"/>
  <c r="AD708" i="15"/>
  <c r="AD709" i="15"/>
  <c r="AD710" i="15"/>
  <c r="X711" i="15"/>
  <c r="H711" i="15" s="1"/>
  <c r="U711" i="15" s="1"/>
  <c r="AD711" i="15"/>
  <c r="X712" i="15"/>
  <c r="H712" i="15" s="1"/>
  <c r="U712" i="15" s="1"/>
  <c r="AD712" i="15"/>
  <c r="X718" i="15"/>
  <c r="H718" i="15" s="1"/>
  <c r="U718" i="15" s="1"/>
  <c r="AD718" i="15"/>
  <c r="X719" i="15"/>
  <c r="AD719" i="15"/>
  <c r="AD720" i="15"/>
  <c r="AD721" i="15"/>
  <c r="X722" i="15"/>
  <c r="H722" i="15" s="1"/>
  <c r="U722" i="15" s="1"/>
  <c r="AD722" i="15"/>
  <c r="X723" i="15"/>
  <c r="H723" i="15" s="1"/>
  <c r="U723" i="15" s="1"/>
  <c r="AD723" i="15"/>
  <c r="X724" i="15"/>
  <c r="H724" i="15" s="1"/>
  <c r="U724" i="15" s="1"/>
  <c r="AD724" i="15"/>
  <c r="X725" i="15"/>
  <c r="H725" i="15" s="1"/>
  <c r="U725" i="15" s="1"/>
  <c r="AD725" i="15"/>
  <c r="X731" i="15"/>
  <c r="H731" i="15" s="1"/>
  <c r="U731" i="15" s="1"/>
  <c r="AD731" i="15"/>
  <c r="X732" i="15"/>
  <c r="AD732" i="15"/>
  <c r="X733" i="15"/>
  <c r="H733" i="15" s="1"/>
  <c r="U733" i="15" s="1"/>
  <c r="AD733" i="15"/>
  <c r="AD734" i="15"/>
  <c r="X735" i="15"/>
  <c r="H735" i="15" s="1"/>
  <c r="U735" i="15" s="1"/>
  <c r="AD735" i="15"/>
  <c r="X736" i="15"/>
  <c r="H736" i="15" s="1"/>
  <c r="U736" i="15" s="1"/>
  <c r="AD736" i="15"/>
  <c r="X737" i="15"/>
  <c r="H737" i="15" s="1"/>
  <c r="U737" i="15" s="1"/>
  <c r="AD737" i="15"/>
  <c r="X738" i="15"/>
  <c r="H738" i="15" s="1"/>
  <c r="U738" i="15" s="1"/>
  <c r="AD738" i="15"/>
  <c r="X746" i="15"/>
  <c r="H746" i="15" s="1"/>
  <c r="U746" i="15" s="1"/>
  <c r="AD746" i="15"/>
  <c r="X747" i="15"/>
  <c r="AD747" i="15"/>
  <c r="X748" i="15"/>
  <c r="H748" i="15" s="1"/>
  <c r="U748" i="15" s="1"/>
  <c r="AD748" i="15"/>
  <c r="AD749" i="15"/>
  <c r="X750" i="15"/>
  <c r="H750" i="15" s="1"/>
  <c r="U750" i="15" s="1"/>
  <c r="AD750" i="15"/>
  <c r="X751" i="15"/>
  <c r="H751" i="15" s="1"/>
  <c r="U751" i="15" s="1"/>
  <c r="AD751" i="15"/>
  <c r="X752" i="15"/>
  <c r="H752" i="15" s="1"/>
  <c r="U752" i="15" s="1"/>
  <c r="AD752" i="15"/>
  <c r="X759" i="15"/>
  <c r="H759" i="15" s="1"/>
  <c r="U759" i="15" s="1"/>
  <c r="AD759" i="15"/>
  <c r="X760" i="15"/>
  <c r="AD760" i="15"/>
  <c r="X761" i="15"/>
  <c r="H761" i="15" s="1"/>
  <c r="U761" i="15" s="1"/>
  <c r="AD761" i="15"/>
  <c r="AD762" i="15"/>
  <c r="X763" i="15"/>
  <c r="H763" i="15" s="1"/>
  <c r="U763" i="15" s="1"/>
  <c r="AD763" i="15"/>
  <c r="X764" i="15"/>
  <c r="H764" i="15" s="1"/>
  <c r="U764" i="15" s="1"/>
  <c r="AD764" i="15"/>
  <c r="X765" i="15"/>
  <c r="H765" i="15" s="1"/>
  <c r="U765" i="15" s="1"/>
  <c r="AD765" i="15"/>
  <c r="X766" i="15"/>
  <c r="H766" i="15" s="1"/>
  <c r="U766" i="15" s="1"/>
  <c r="AD766" i="15"/>
  <c r="X771" i="15"/>
  <c r="H771" i="15" s="1"/>
  <c r="U771" i="15" s="1"/>
  <c r="AD771" i="15"/>
  <c r="X772" i="15"/>
  <c r="AD772" i="15"/>
  <c r="X773" i="15"/>
  <c r="H773" i="15" s="1"/>
  <c r="U773" i="15" s="1"/>
  <c r="AD773" i="15"/>
  <c r="AD774" i="15"/>
  <c r="X775" i="15"/>
  <c r="H775" i="15" s="1"/>
  <c r="U775" i="15" s="1"/>
  <c r="AD775" i="15"/>
  <c r="X776" i="15"/>
  <c r="H776" i="15" s="1"/>
  <c r="U776" i="15" s="1"/>
  <c r="AD776" i="15"/>
  <c r="AD777" i="15"/>
  <c r="AD778" i="15"/>
  <c r="AD779" i="15"/>
  <c r="AD780" i="15"/>
  <c r="AD781" i="15"/>
  <c r="AD782" i="15"/>
  <c r="AD783" i="15"/>
  <c r="X785" i="15"/>
  <c r="H785" i="15" s="1"/>
  <c r="U785" i="15" s="1"/>
  <c r="AD785" i="15"/>
  <c r="X786" i="15"/>
  <c r="H786" i="15" s="1"/>
  <c r="U786" i="15" s="1"/>
  <c r="AD786" i="15"/>
  <c r="X787" i="15"/>
  <c r="AD787" i="15"/>
  <c r="AD788" i="15"/>
  <c r="X789" i="15"/>
  <c r="H789" i="15" s="1"/>
  <c r="U789" i="15" s="1"/>
  <c r="AD789" i="15"/>
  <c r="X790" i="15"/>
  <c r="H790" i="15" s="1"/>
  <c r="U790" i="15" s="1"/>
  <c r="AD790" i="15"/>
  <c r="AD791" i="15"/>
  <c r="AD792" i="15"/>
  <c r="AD793" i="15"/>
  <c r="AD794" i="15"/>
  <c r="X798" i="15"/>
  <c r="H798" i="15" s="1"/>
  <c r="U798" i="15" s="1"/>
  <c r="AD798" i="15"/>
  <c r="AD799" i="15"/>
  <c r="AD800" i="15"/>
  <c r="AD801" i="15"/>
  <c r="X802" i="15"/>
  <c r="AD802" i="15"/>
  <c r="AD803" i="15"/>
  <c r="X804" i="15"/>
  <c r="H804" i="15" s="1"/>
  <c r="U804" i="15" s="1"/>
  <c r="AD804" i="15"/>
  <c r="X805" i="15"/>
  <c r="H805" i="15" s="1"/>
  <c r="U805" i="15" s="1"/>
  <c r="AD805" i="15"/>
  <c r="AD806" i="15"/>
  <c r="AD807" i="15"/>
  <c r="AD808" i="15"/>
  <c r="X813" i="15"/>
  <c r="H813" i="15" s="1"/>
  <c r="U813" i="15" s="1"/>
  <c r="AD813" i="15"/>
  <c r="AD814" i="15"/>
  <c r="AD815" i="15"/>
  <c r="AD816" i="15"/>
  <c r="X817" i="15"/>
  <c r="AD817" i="15"/>
  <c r="X818" i="15"/>
  <c r="H818" i="15" s="1"/>
  <c r="U818" i="15" s="1"/>
  <c r="AD818" i="15"/>
  <c r="X819" i="15"/>
  <c r="H819" i="15" s="1"/>
  <c r="U819" i="15" s="1"/>
  <c r="AD819" i="15"/>
  <c r="X822" i="15"/>
  <c r="AD822" i="15"/>
  <c r="X823" i="15"/>
  <c r="H823" i="15" s="1"/>
  <c r="U823" i="15" s="1"/>
  <c r="AD823" i="15"/>
  <c r="X824" i="15"/>
  <c r="H824" i="15" s="1"/>
  <c r="U824" i="15" s="1"/>
  <c r="AD824" i="15"/>
  <c r="X825" i="15"/>
  <c r="H825" i="15" s="1"/>
  <c r="U825" i="15" s="1"/>
  <c r="AD825" i="15"/>
  <c r="X828" i="15"/>
  <c r="AD828" i="15"/>
  <c r="X829" i="15"/>
  <c r="H829" i="15" s="1"/>
  <c r="U829" i="15" s="1"/>
  <c r="AD829" i="15"/>
  <c r="X830" i="15"/>
  <c r="H830" i="15" s="1"/>
  <c r="U830" i="15" s="1"/>
  <c r="AD830" i="15"/>
  <c r="X833" i="15"/>
  <c r="AD833" i="15"/>
  <c r="X834" i="15"/>
  <c r="H834" i="15" s="1"/>
  <c r="U834" i="15" s="1"/>
  <c r="AD834" i="15"/>
  <c r="X835" i="15"/>
  <c r="H835" i="15" s="1"/>
  <c r="U835" i="15" s="1"/>
  <c r="AD835" i="15"/>
  <c r="X838" i="15"/>
  <c r="AD838" i="15"/>
  <c r="X839" i="15"/>
  <c r="AD839" i="15"/>
  <c r="X840" i="15"/>
  <c r="AD840" i="15"/>
  <c r="X841" i="15"/>
  <c r="H841" i="15" s="1"/>
  <c r="U841" i="15" s="1"/>
  <c r="AD841" i="15"/>
  <c r="X842" i="15"/>
  <c r="H842" i="15" s="1"/>
  <c r="U842" i="15" s="1"/>
  <c r="AD842" i="15"/>
  <c r="X843" i="15"/>
  <c r="H843" i="15" s="1"/>
  <c r="U843" i="15" s="1"/>
  <c r="AD843" i="15"/>
  <c r="X844" i="15"/>
  <c r="H844" i="15" s="1"/>
  <c r="U844" i="15" s="1"/>
  <c r="AD844" i="15"/>
  <c r="X845" i="15"/>
  <c r="H845" i="15" s="1"/>
  <c r="U845" i="15" s="1"/>
  <c r="AD845" i="15"/>
  <c r="X846" i="15"/>
  <c r="H846" i="15" s="1"/>
  <c r="U846" i="15" s="1"/>
  <c r="AD846" i="15"/>
  <c r="X847" i="15"/>
  <c r="H847" i="15" s="1"/>
  <c r="U847" i="15" s="1"/>
  <c r="AD847" i="15"/>
  <c r="X848" i="15"/>
  <c r="AD848" i="15"/>
  <c r="AD849" i="15"/>
  <c r="AD850" i="15"/>
  <c r="X851" i="15"/>
  <c r="AD851" i="15"/>
  <c r="X852" i="15"/>
  <c r="H852" i="15" s="1"/>
  <c r="U852" i="15" s="1"/>
  <c r="AD852" i="15"/>
  <c r="X853" i="15"/>
  <c r="H853" i="15" s="1"/>
  <c r="U853" i="15" s="1"/>
  <c r="AD853" i="15"/>
  <c r="X854" i="15"/>
  <c r="H854" i="15" s="1"/>
  <c r="U854" i="15" s="1"/>
  <c r="AD854" i="15"/>
  <c r="AD855" i="15"/>
  <c r="X856" i="15"/>
  <c r="AD856" i="15"/>
  <c r="AD857" i="15"/>
  <c r="AD858" i="15"/>
  <c r="AD859" i="15"/>
  <c r="AD860" i="15"/>
  <c r="AD861" i="15"/>
  <c r="AD862" i="15"/>
  <c r="AD863" i="15"/>
  <c r="AD864" i="15"/>
  <c r="AD865" i="15"/>
  <c r="AD866" i="15"/>
  <c r="X867" i="15"/>
  <c r="AD867" i="15"/>
  <c r="X868" i="15"/>
  <c r="AD868" i="15"/>
  <c r="X869" i="15"/>
  <c r="AD869" i="15"/>
  <c r="X870" i="15"/>
  <c r="H870" i="15" s="1"/>
  <c r="U870" i="15" s="1"/>
  <c r="AD870" i="15"/>
  <c r="AD871" i="15"/>
  <c r="X872" i="15"/>
  <c r="H872" i="15" s="1"/>
  <c r="U872" i="15" s="1"/>
  <c r="AD872" i="15"/>
  <c r="AD875" i="15"/>
  <c r="X876" i="15"/>
  <c r="AD876" i="15"/>
  <c r="AD877" i="15"/>
  <c r="AD878" i="15"/>
  <c r="X879" i="15"/>
  <c r="AD879" i="15"/>
  <c r="X880" i="15"/>
  <c r="H880" i="15" s="1"/>
  <c r="U880" i="15" s="1"/>
  <c r="AD880" i="15"/>
  <c r="X881" i="15"/>
  <c r="H881" i="15" s="1"/>
  <c r="U881" i="15" s="1"/>
  <c r="AD881" i="15"/>
  <c r="X882" i="15"/>
  <c r="H882" i="15" s="1"/>
  <c r="U882" i="15" s="1"/>
  <c r="AD882" i="15"/>
  <c r="AD883" i="15"/>
  <c r="X884" i="15"/>
  <c r="H884" i="15" s="1"/>
  <c r="U884" i="15" s="1"/>
  <c r="AD884" i="15"/>
  <c r="X885" i="15"/>
  <c r="H885" i="15" s="1"/>
  <c r="U885" i="15" s="1"/>
  <c r="AD885" i="15"/>
  <c r="X886" i="15"/>
  <c r="AD886" i="15"/>
  <c r="X887" i="15"/>
  <c r="AD887" i="15"/>
  <c r="X888" i="15"/>
  <c r="AD888" i="15"/>
  <c r="X889" i="15"/>
  <c r="AD889" i="15"/>
  <c r="AD890" i="15"/>
  <c r="X897" i="15"/>
  <c r="AD897" i="15"/>
  <c r="AD898" i="15"/>
  <c r="AD899" i="15"/>
  <c r="X900" i="15"/>
  <c r="AD900" i="15"/>
  <c r="AD901" i="15"/>
  <c r="AD902" i="15"/>
  <c r="AD903" i="15"/>
  <c r="AD904" i="15"/>
  <c r="AD905" i="15"/>
  <c r="AD906" i="15"/>
  <c r="AD907" i="15"/>
  <c r="AD908" i="15"/>
  <c r="AD911" i="15"/>
  <c r="AD912" i="15"/>
  <c r="AD913" i="15"/>
  <c r="X922" i="15"/>
  <c r="AD922" i="15"/>
  <c r="X923" i="15"/>
  <c r="H923" i="15" s="1"/>
  <c r="U923" i="15" s="1"/>
  <c r="AD923" i="15"/>
  <c r="X924" i="15"/>
  <c r="H924" i="15" s="1"/>
  <c r="U924" i="15" s="1"/>
  <c r="AD924" i="15"/>
  <c r="X925" i="15"/>
  <c r="H925" i="15" s="1"/>
  <c r="U925" i="15" s="1"/>
  <c r="AD925" i="15"/>
  <c r="X926" i="15"/>
  <c r="H926" i="15" s="1"/>
  <c r="U926" i="15" s="1"/>
  <c r="AD926" i="15"/>
  <c r="X927" i="15"/>
  <c r="AD927" i="15"/>
  <c r="AD928" i="15"/>
  <c r="X929" i="15"/>
  <c r="H929" i="15" s="1"/>
  <c r="U929" i="15" s="1"/>
  <c r="AD929" i="15"/>
  <c r="X930" i="15"/>
  <c r="H930" i="15" s="1"/>
  <c r="U930" i="15" s="1"/>
  <c r="AD930" i="15"/>
  <c r="AD931" i="15"/>
  <c r="X932" i="15"/>
  <c r="H932" i="15" s="1"/>
  <c r="U932" i="15" s="1"/>
  <c r="AD932" i="15"/>
  <c r="X933" i="15"/>
  <c r="H933" i="15" s="1"/>
  <c r="U933" i="15" s="1"/>
  <c r="AD933" i="15"/>
  <c r="AD934" i="15"/>
  <c r="AD935" i="15"/>
  <c r="AD955" i="15"/>
  <c r="AD956" i="15"/>
  <c r="X957" i="15"/>
  <c r="AD957" i="15"/>
  <c r="X958" i="15"/>
  <c r="AD958" i="15"/>
  <c r="X959" i="15"/>
  <c r="H959" i="15" s="1"/>
  <c r="AD959" i="15"/>
  <c r="X960" i="15"/>
  <c r="H960" i="15" s="1"/>
  <c r="AD960" i="15"/>
  <c r="X961" i="15"/>
  <c r="H961" i="15" s="1"/>
  <c r="AD961" i="15"/>
  <c r="X962" i="15"/>
  <c r="AD962" i="15"/>
  <c r="X963" i="15"/>
  <c r="H963" i="15" s="1"/>
  <c r="AD963" i="15"/>
  <c r="X967" i="15"/>
  <c r="H967" i="15" s="1"/>
  <c r="AD967" i="15"/>
  <c r="X968" i="15"/>
  <c r="H968" i="15" s="1"/>
  <c r="AD968" i="15"/>
  <c r="X971" i="15"/>
  <c r="AD971" i="15"/>
  <c r="X972" i="15"/>
  <c r="AD972" i="15"/>
  <c r="AD973" i="15"/>
  <c r="AD974" i="15"/>
  <c r="AD975" i="15"/>
  <c r="X976" i="15"/>
  <c r="AD976" i="15"/>
  <c r="X977" i="15"/>
  <c r="AD977" i="15"/>
  <c r="AD978" i="15"/>
  <c r="AD979" i="15"/>
  <c r="X981" i="15"/>
  <c r="AD981" i="15"/>
  <c r="X982" i="15"/>
  <c r="AD982" i="15"/>
  <c r="X983" i="15"/>
  <c r="AD983" i="15"/>
  <c r="X984" i="15"/>
  <c r="H984" i="15" s="1"/>
  <c r="U984" i="15" s="1"/>
  <c r="AD984" i="15"/>
  <c r="X985" i="15"/>
  <c r="AD985" i="15"/>
  <c r="AD986" i="15"/>
  <c r="AD987" i="15"/>
  <c r="AD988" i="15"/>
  <c r="X989" i="15"/>
  <c r="AD989" i="15"/>
  <c r="X990" i="15"/>
  <c r="H990" i="15" s="1"/>
  <c r="U990" i="15" s="1"/>
  <c r="AD990" i="15"/>
  <c r="X991" i="15"/>
  <c r="H991" i="15" s="1"/>
  <c r="U991" i="15" s="1"/>
  <c r="AD991" i="15"/>
  <c r="X992" i="15"/>
  <c r="H992" i="15" s="1"/>
  <c r="U992" i="15" s="1"/>
  <c r="AD992" i="15"/>
  <c r="AD993" i="15"/>
  <c r="AD994" i="15"/>
  <c r="AD995" i="15"/>
  <c r="AD996" i="15"/>
  <c r="AD997" i="15"/>
  <c r="AD998" i="15"/>
  <c r="AD999" i="15"/>
  <c r="X1005" i="15"/>
  <c r="AD1005" i="15"/>
  <c r="X1006" i="15"/>
  <c r="AD1006" i="15"/>
  <c r="AD1007" i="15"/>
  <c r="AD1008" i="15"/>
  <c r="C993" i="15"/>
  <c r="H962" i="15"/>
  <c r="F881" i="15"/>
  <c r="T881" i="15" s="1"/>
  <c r="F880" i="15"/>
  <c r="T880" i="15" s="1"/>
  <c r="C855" i="15"/>
  <c r="F484" i="15"/>
  <c r="T484" i="15" s="1"/>
  <c r="F480" i="15"/>
  <c r="T480" i="15" s="1"/>
  <c r="F479" i="15"/>
  <c r="T479" i="15" s="1"/>
  <c r="F478" i="15"/>
  <c r="T478" i="15" s="1"/>
  <c r="H258" i="15"/>
  <c r="U258" i="15" s="1"/>
  <c r="AF16" i="15"/>
  <c r="AF17" i="15"/>
  <c r="AF20" i="15"/>
  <c r="AF21" i="15"/>
  <c r="AF22" i="15"/>
  <c r="AF23" i="15"/>
  <c r="AF24" i="15"/>
  <c r="AF25" i="15"/>
  <c r="AF26" i="15"/>
  <c r="AF27" i="15"/>
  <c r="AF28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7" i="15"/>
  <c r="AF188" i="15"/>
  <c r="AF189" i="15"/>
  <c r="AF190" i="15"/>
  <c r="AF191" i="15"/>
  <c r="AF192" i="15"/>
  <c r="AF193" i="15"/>
  <c r="AF197" i="15"/>
  <c r="AF198" i="15"/>
  <c r="AF199" i="15"/>
  <c r="AF200" i="15"/>
  <c r="AF201" i="15"/>
  <c r="AF202" i="15"/>
  <c r="AF203" i="15"/>
  <c r="AF204" i="15"/>
  <c r="AF205" i="15"/>
  <c r="AF367" i="15"/>
  <c r="AF368" i="15"/>
  <c r="AF369" i="15"/>
  <c r="AF370" i="15"/>
  <c r="AF371" i="15"/>
  <c r="AF372" i="15"/>
  <c r="AF373" i="15"/>
  <c r="AF374" i="15"/>
  <c r="AF375" i="15"/>
  <c r="AF376" i="15"/>
  <c r="AF377" i="15"/>
  <c r="AF378" i="15"/>
  <c r="AF379" i="15"/>
  <c r="AF380" i="15"/>
  <c r="AF381" i="15"/>
  <c r="AF382" i="15"/>
  <c r="AF383" i="15"/>
  <c r="AF384" i="15"/>
  <c r="AF385" i="15"/>
  <c r="AF386" i="15"/>
  <c r="AF387" i="15"/>
  <c r="AF388" i="15"/>
  <c r="AF389" i="15"/>
  <c r="AF390" i="15"/>
  <c r="AF391" i="15"/>
  <c r="AF392" i="15"/>
  <c r="AF393" i="15"/>
  <c r="AF394" i="15"/>
  <c r="AF395" i="15"/>
  <c r="AF396" i="15"/>
  <c r="AF397" i="15"/>
  <c r="AF398" i="15"/>
  <c r="AF399" i="15"/>
  <c r="AF400" i="15"/>
  <c r="AF401" i="15"/>
  <c r="AF402" i="15"/>
  <c r="AF403" i="15"/>
  <c r="AF404" i="15"/>
  <c r="AF405" i="15"/>
  <c r="AF406" i="15"/>
  <c r="AF407" i="15"/>
  <c r="AF408" i="15"/>
  <c r="AF409" i="15"/>
  <c r="AF410" i="15"/>
  <c r="AF411" i="15"/>
  <c r="AF412" i="15"/>
  <c r="AF413" i="15"/>
  <c r="AF414" i="15"/>
  <c r="AF415" i="15"/>
  <c r="AF416" i="15"/>
  <c r="AF417" i="15"/>
  <c r="AF418" i="15"/>
  <c r="AF419" i="15"/>
  <c r="AF420" i="15"/>
  <c r="AF421" i="15"/>
  <c r="AF422" i="15"/>
  <c r="AF423" i="15"/>
  <c r="AF424" i="15"/>
  <c r="AF425" i="15"/>
  <c r="AF426" i="15"/>
  <c r="AF427" i="15"/>
  <c r="AF428" i="15"/>
  <c r="AF429" i="15"/>
  <c r="AF430" i="15"/>
  <c r="AF431" i="15"/>
  <c r="AF432" i="15"/>
  <c r="AF433" i="15"/>
  <c r="AF434" i="15"/>
  <c r="AF435" i="15"/>
  <c r="AF436" i="15"/>
  <c r="AF437" i="15"/>
  <c r="AF438" i="15"/>
  <c r="AF439" i="15"/>
  <c r="AF440" i="15"/>
  <c r="AF441" i="15"/>
  <c r="AF442" i="15"/>
  <c r="AF443" i="15"/>
  <c r="AF444" i="15"/>
  <c r="AF445" i="15"/>
  <c r="AF446" i="15"/>
  <c r="AF447" i="15"/>
  <c r="AF448" i="15"/>
  <c r="AF449" i="15"/>
  <c r="AF450" i="15"/>
  <c r="AF451" i="15"/>
  <c r="AF452" i="15"/>
  <c r="AF453" i="15"/>
  <c r="AF454" i="15"/>
  <c r="AF455" i="15"/>
  <c r="AF460" i="15"/>
  <c r="AF461" i="15"/>
  <c r="AF462" i="15"/>
  <c r="AF463" i="15"/>
  <c r="AF464" i="15"/>
  <c r="AF465" i="15"/>
  <c r="AF467" i="15"/>
  <c r="AF468" i="15"/>
  <c r="AF469" i="15"/>
  <c r="AF470" i="15"/>
  <c r="AF471" i="15"/>
  <c r="AF472" i="15"/>
  <c r="AF473" i="15"/>
  <c r="AF474" i="15"/>
  <c r="AF475" i="15"/>
  <c r="AF476" i="15"/>
  <c r="AF477" i="15"/>
  <c r="AF481" i="15"/>
  <c r="AF482" i="15"/>
  <c r="AF483" i="15"/>
  <c r="AF485" i="15"/>
  <c r="AF486" i="15"/>
  <c r="AF487" i="15"/>
  <c r="AF488" i="15"/>
  <c r="AF489" i="15"/>
  <c r="AF490" i="15"/>
  <c r="AF491" i="15"/>
  <c r="AF492" i="15"/>
  <c r="AF493" i="15"/>
  <c r="AF494" i="15"/>
  <c r="AF495" i="15"/>
  <c r="AF496" i="15"/>
  <c r="AF497" i="15"/>
  <c r="AF498" i="15"/>
  <c r="AF499" i="15"/>
  <c r="AF500" i="15"/>
  <c r="AF501" i="15"/>
  <c r="AF502" i="15"/>
  <c r="AF503" i="15"/>
  <c r="AF504" i="15"/>
  <c r="AF505" i="15"/>
  <c r="AF506" i="15"/>
  <c r="AF507" i="15"/>
  <c r="AF508" i="15"/>
  <c r="AF509" i="15"/>
  <c r="AF510" i="15"/>
  <c r="AF511" i="15"/>
  <c r="AF512" i="15"/>
  <c r="AF513" i="15"/>
  <c r="AF514" i="15"/>
  <c r="AF515" i="15"/>
  <c r="AF516" i="15"/>
  <c r="AF517" i="15"/>
  <c r="AF518" i="15"/>
  <c r="AF519" i="15"/>
  <c r="AF520" i="15"/>
  <c r="AF521" i="15"/>
  <c r="AF522" i="15"/>
  <c r="AF523" i="15"/>
  <c r="AF524" i="15"/>
  <c r="AF525" i="15"/>
  <c r="AF526" i="15"/>
  <c r="AF527" i="15"/>
  <c r="AF528" i="15"/>
  <c r="AF529" i="15"/>
  <c r="AF530" i="15"/>
  <c r="AF531" i="15"/>
  <c r="AF532" i="15"/>
  <c r="AF533" i="15"/>
  <c r="AF534" i="15"/>
  <c r="AF535" i="15"/>
  <c r="AF536" i="15"/>
  <c r="AF537" i="15"/>
  <c r="AF538" i="15"/>
  <c r="AF539" i="15"/>
  <c r="AF540" i="15"/>
  <c r="AF541" i="15"/>
  <c r="AF542" i="15"/>
  <c r="AF543" i="15"/>
  <c r="AF544" i="15"/>
  <c r="AF545" i="15"/>
  <c r="AF546" i="15"/>
  <c r="AF547" i="15"/>
  <c r="AF548" i="15"/>
  <c r="AF549" i="15"/>
  <c r="AF550" i="15"/>
  <c r="AF551" i="15"/>
  <c r="AF552" i="15"/>
  <c r="AF553" i="15"/>
  <c r="AF554" i="15"/>
  <c r="AF555" i="15"/>
  <c r="AF556" i="15"/>
  <c r="AF557" i="15"/>
  <c r="AF558" i="15"/>
  <c r="AF559" i="15"/>
  <c r="AF560" i="15"/>
  <c r="AF561" i="15"/>
  <c r="AF562" i="15"/>
  <c r="AF563" i="15"/>
  <c r="AF564" i="15"/>
  <c r="AF565" i="15"/>
  <c r="AF566" i="15"/>
  <c r="AF567" i="15"/>
  <c r="AF568" i="15"/>
  <c r="AF569" i="15"/>
  <c r="AF570" i="15"/>
  <c r="AF571" i="15"/>
  <c r="AF572" i="15"/>
  <c r="AF573" i="15"/>
  <c r="AF574" i="15"/>
  <c r="AF575" i="15"/>
  <c r="AF576" i="15"/>
  <c r="AF577" i="15"/>
  <c r="AF578" i="15"/>
  <c r="AF579" i="15"/>
  <c r="AF580" i="15"/>
  <c r="AF581" i="15"/>
  <c r="AF582" i="15"/>
  <c r="AF583" i="15"/>
  <c r="AF584" i="15"/>
  <c r="AF585" i="15"/>
  <c r="AF586" i="15"/>
  <c r="AF587" i="15"/>
  <c r="AF588" i="15"/>
  <c r="AF589" i="15"/>
  <c r="AF590" i="15"/>
  <c r="AF591" i="15"/>
  <c r="AF592" i="15"/>
  <c r="AF593" i="15"/>
  <c r="AF594" i="15"/>
  <c r="AF595" i="15"/>
  <c r="AF596" i="15"/>
  <c r="AF597" i="15"/>
  <c r="AF598" i="15"/>
  <c r="AF599" i="15"/>
  <c r="AF600" i="15"/>
  <c r="AF601" i="15"/>
  <c r="AF602" i="15"/>
  <c r="AF603" i="15"/>
  <c r="AF604" i="15"/>
  <c r="AF605" i="15"/>
  <c r="AF606" i="15"/>
  <c r="AF607" i="15"/>
  <c r="AF608" i="15"/>
  <c r="AF609" i="15"/>
  <c r="AF610" i="15"/>
  <c r="AF611" i="15"/>
  <c r="AF612" i="15"/>
  <c r="AF613" i="15"/>
  <c r="AF614" i="15"/>
  <c r="AF615" i="15"/>
  <c r="AF616" i="15"/>
  <c r="AF617" i="15"/>
  <c r="AF618" i="15"/>
  <c r="AF619" i="15"/>
  <c r="AF620" i="15"/>
  <c r="AF621" i="15"/>
  <c r="AF622" i="15"/>
  <c r="AF623" i="15"/>
  <c r="AF624" i="15"/>
  <c r="AF625" i="15"/>
  <c r="AF626" i="15"/>
  <c r="AF627" i="15"/>
  <c r="AF628" i="15"/>
  <c r="AF629" i="15"/>
  <c r="AF630" i="15"/>
  <c r="AF631" i="15"/>
  <c r="AF632" i="15"/>
  <c r="AF633" i="15"/>
  <c r="AF634" i="15"/>
  <c r="AF635" i="15"/>
  <c r="AF636" i="15"/>
  <c r="AF637" i="15"/>
  <c r="AF638" i="15"/>
  <c r="AF639" i="15"/>
  <c r="AF640" i="15"/>
  <c r="AF641" i="15"/>
  <c r="AF642" i="15"/>
  <c r="AF643" i="15"/>
  <c r="AF644" i="15"/>
  <c r="AF645" i="15"/>
  <c r="AF646" i="15"/>
  <c r="AF647" i="15"/>
  <c r="AF648" i="15"/>
  <c r="AF649" i="15"/>
  <c r="AF650" i="15"/>
  <c r="AF651" i="15"/>
  <c r="AF652" i="15"/>
  <c r="AF653" i="15"/>
  <c r="AF654" i="15"/>
  <c r="AF655" i="15"/>
  <c r="AF656" i="15"/>
  <c r="AF657" i="15"/>
  <c r="AF658" i="15"/>
  <c r="AF659" i="15"/>
  <c r="AF660" i="15"/>
  <c r="AF661" i="15"/>
  <c r="AF662" i="15"/>
  <c r="AF663" i="15"/>
  <c r="AF664" i="15"/>
  <c r="AF665" i="15"/>
  <c r="AF666" i="15"/>
  <c r="AF667" i="15"/>
  <c r="AF668" i="15"/>
  <c r="AF669" i="15"/>
  <c r="AF670" i="15"/>
  <c r="AF671" i="15"/>
  <c r="AF672" i="15"/>
  <c r="AF673" i="15"/>
  <c r="AF674" i="15"/>
  <c r="AF675" i="15"/>
  <c r="AF676" i="15"/>
  <c r="AF677" i="15"/>
  <c r="AF678" i="15"/>
  <c r="AF679" i="15"/>
  <c r="AF680" i="15"/>
  <c r="AF681" i="15"/>
  <c r="AF683" i="15"/>
  <c r="AF838" i="15"/>
  <c r="AF839" i="15"/>
  <c r="AF840" i="15"/>
  <c r="AF841" i="15"/>
  <c r="AF842" i="15"/>
  <c r="AF843" i="15"/>
  <c r="AF844" i="15"/>
  <c r="AF845" i="15"/>
  <c r="AF846" i="15"/>
  <c r="AF847" i="15"/>
  <c r="AF848" i="15"/>
  <c r="AF849" i="15"/>
  <c r="AF850" i="15"/>
  <c r="AF851" i="15"/>
  <c r="AF852" i="15"/>
  <c r="AF853" i="15"/>
  <c r="AF854" i="15"/>
  <c r="AF855" i="15"/>
  <c r="AF856" i="15"/>
  <c r="AF857" i="15"/>
  <c r="AF858" i="15"/>
  <c r="AF859" i="15"/>
  <c r="AF860" i="15"/>
  <c r="AF861" i="15"/>
  <c r="AF862" i="15"/>
  <c r="AF863" i="15"/>
  <c r="AF864" i="15"/>
  <c r="AF865" i="15"/>
  <c r="AF866" i="15"/>
  <c r="AF867" i="15"/>
  <c r="AF868" i="15"/>
  <c r="AF869" i="15"/>
  <c r="AF870" i="15"/>
  <c r="AF871" i="15"/>
  <c r="AF872" i="15"/>
  <c r="AF875" i="15"/>
  <c r="AF876" i="15"/>
  <c r="AF877" i="15"/>
  <c r="AF878" i="15"/>
  <c r="AF879" i="15"/>
  <c r="AF882" i="15"/>
  <c r="AF883" i="15"/>
  <c r="AF884" i="15"/>
  <c r="AF885" i="15"/>
  <c r="AF886" i="15"/>
  <c r="AF887" i="15"/>
  <c r="AF888" i="15"/>
  <c r="AF889" i="15"/>
  <c r="AF890" i="15"/>
  <c r="AF897" i="15"/>
  <c r="AF898" i="15"/>
  <c r="AF899" i="15"/>
  <c r="AF900" i="15"/>
  <c r="AF901" i="15"/>
  <c r="AF902" i="15"/>
  <c r="AF903" i="15"/>
  <c r="AF904" i="15"/>
  <c r="AF905" i="15"/>
  <c r="AF906" i="15"/>
  <c r="AF907" i="15"/>
  <c r="AF908" i="15"/>
  <c r="AF911" i="15"/>
  <c r="AF912" i="15"/>
  <c r="AF913" i="15"/>
  <c r="AF922" i="15"/>
  <c r="AF923" i="15"/>
  <c r="AF924" i="15"/>
  <c r="AF925" i="15"/>
  <c r="AF926" i="15"/>
  <c r="AF927" i="15"/>
  <c r="AF928" i="15"/>
  <c r="AF929" i="15"/>
  <c r="AF930" i="15"/>
  <c r="AF931" i="15"/>
  <c r="AF932" i="15"/>
  <c r="AF933" i="15"/>
  <c r="AF934" i="15"/>
  <c r="AF935" i="15"/>
  <c r="AF955" i="15"/>
  <c r="AF956" i="15"/>
  <c r="AF957" i="15"/>
  <c r="AF958" i="15"/>
  <c r="AF959" i="15"/>
  <c r="AF960" i="15"/>
  <c r="AF961" i="15"/>
  <c r="AF962" i="15"/>
  <c r="AF963" i="15"/>
  <c r="AF967" i="15"/>
  <c r="AF968" i="15"/>
  <c r="AF971" i="15"/>
  <c r="AF972" i="15"/>
  <c r="AF973" i="15"/>
  <c r="AF974" i="15"/>
  <c r="AF975" i="15"/>
  <c r="AF976" i="15"/>
  <c r="AF977" i="15"/>
  <c r="AF978" i="15"/>
  <c r="AF979" i="15"/>
  <c r="AF981" i="15"/>
  <c r="AF982" i="15"/>
  <c r="AF983" i="15"/>
  <c r="AF984" i="15"/>
  <c r="AF985" i="15"/>
  <c r="AF986" i="15"/>
  <c r="AF987" i="15"/>
  <c r="AF988" i="15"/>
  <c r="AF989" i="15"/>
  <c r="AF990" i="15"/>
  <c r="AF991" i="15"/>
  <c r="AF992" i="15"/>
  <c r="AF993" i="15"/>
  <c r="AF994" i="15"/>
  <c r="AF995" i="15"/>
  <c r="AF996" i="15"/>
  <c r="AF997" i="15"/>
  <c r="AF998" i="15"/>
  <c r="AF999" i="15"/>
  <c r="AF1005" i="15"/>
  <c r="AF1006" i="15"/>
  <c r="AF1007" i="15"/>
  <c r="AF15" i="15"/>
  <c r="T39" i="1" l="1"/>
  <c r="Q172" i="15"/>
  <c r="U172" i="15" s="1"/>
  <c r="Q958" i="15"/>
  <c r="U958" i="15" s="1"/>
  <c r="S39" i="1"/>
  <c r="S35" i="1" s="1"/>
  <c r="AC478" i="15"/>
  <c r="AC484" i="15"/>
  <c r="AC881" i="15"/>
  <c r="AC880" i="15"/>
  <c r="AC480" i="15"/>
  <c r="AC479" i="15"/>
  <c r="I959" i="15"/>
  <c r="AC959" i="15"/>
  <c r="I852" i="15"/>
  <c r="AC852" i="15"/>
  <c r="I798" i="15"/>
  <c r="AC798" i="15"/>
  <c r="I733" i="15"/>
  <c r="AC733" i="15"/>
  <c r="I688" i="15"/>
  <c r="AC688" i="15"/>
  <c r="I623" i="15"/>
  <c r="AC623" i="15"/>
  <c r="I371" i="15"/>
  <c r="AC371" i="15"/>
  <c r="I225" i="15"/>
  <c r="AC225" i="15"/>
  <c r="I174" i="15"/>
  <c r="AC174" i="15"/>
  <c r="I744" i="15"/>
  <c r="AC744" i="15"/>
  <c r="I773" i="15"/>
  <c r="AC773" i="15"/>
  <c r="I746" i="15"/>
  <c r="AC746" i="15"/>
  <c r="I629" i="15"/>
  <c r="AC629" i="15"/>
  <c r="I577" i="15"/>
  <c r="AC577" i="15"/>
  <c r="I438" i="15"/>
  <c r="AC438" i="15"/>
  <c r="I416" i="15"/>
  <c r="AC416" i="15"/>
  <c r="I272" i="15"/>
  <c r="AC272" i="15"/>
  <c r="I984" i="15"/>
  <c r="AC984" i="15"/>
  <c r="I930" i="15"/>
  <c r="AC930" i="15"/>
  <c r="I882" i="15"/>
  <c r="AC882" i="15"/>
  <c r="I870" i="15"/>
  <c r="AC870" i="15"/>
  <c r="I785" i="15"/>
  <c r="AC785" i="15"/>
  <c r="I764" i="15"/>
  <c r="AC764" i="15"/>
  <c r="I738" i="15"/>
  <c r="AC738" i="15"/>
  <c r="I638" i="15"/>
  <c r="AC638" i="15"/>
  <c r="I634" i="15"/>
  <c r="AC634" i="15"/>
  <c r="I576" i="15"/>
  <c r="AC576" i="15"/>
  <c r="I523" i="15"/>
  <c r="AC523" i="15"/>
  <c r="I519" i="15"/>
  <c r="AC519" i="15"/>
  <c r="I499" i="15"/>
  <c r="AC499" i="15"/>
  <c r="I482" i="15"/>
  <c r="AC482" i="15"/>
  <c r="I441" i="15"/>
  <c r="AC441" i="15"/>
  <c r="I437" i="15"/>
  <c r="AC437" i="15"/>
  <c r="I419" i="15"/>
  <c r="AC419" i="15"/>
  <c r="I415" i="15"/>
  <c r="AC415" i="15"/>
  <c r="I411" i="15"/>
  <c r="AC411" i="15"/>
  <c r="I402" i="15"/>
  <c r="AC402" i="15"/>
  <c r="I389" i="15"/>
  <c r="AC389" i="15"/>
  <c r="I329" i="15"/>
  <c r="AC329" i="15"/>
  <c r="I325" i="15"/>
  <c r="AC325" i="15"/>
  <c r="I320" i="15"/>
  <c r="AC320" i="15"/>
  <c r="I316" i="15"/>
  <c r="AC316" i="15"/>
  <c r="I312" i="15"/>
  <c r="AC312" i="15"/>
  <c r="I308" i="15"/>
  <c r="AC308" i="15"/>
  <c r="I293" i="15"/>
  <c r="AC293" i="15"/>
  <c r="I289" i="15"/>
  <c r="AC289" i="15"/>
  <c r="I285" i="15"/>
  <c r="AC285" i="15"/>
  <c r="I275" i="15"/>
  <c r="AC275" i="15"/>
  <c r="I267" i="15"/>
  <c r="AC267" i="15"/>
  <c r="I263" i="15"/>
  <c r="AC263" i="15"/>
  <c r="I256" i="15"/>
  <c r="AC256" i="15"/>
  <c r="I251" i="15"/>
  <c r="AC251" i="15"/>
  <c r="I216" i="15"/>
  <c r="AC216" i="15"/>
  <c r="I212" i="15"/>
  <c r="AC212" i="15"/>
  <c r="I180" i="15"/>
  <c r="AC180" i="15"/>
  <c r="I165" i="15"/>
  <c r="AC165" i="15"/>
  <c r="I132" i="15"/>
  <c r="AC132" i="15"/>
  <c r="I112" i="15"/>
  <c r="AC112" i="15"/>
  <c r="I102" i="15"/>
  <c r="AC102" i="15"/>
  <c r="I98" i="15"/>
  <c r="AC98" i="15"/>
  <c r="I93" i="15"/>
  <c r="AC93" i="15"/>
  <c r="I89" i="15"/>
  <c r="AC89" i="15"/>
  <c r="I61" i="15"/>
  <c r="AC61" i="15"/>
  <c r="I52" i="15"/>
  <c r="AC52" i="15"/>
  <c r="I48" i="15"/>
  <c r="AC48" i="15"/>
  <c r="I810" i="15"/>
  <c r="AC810" i="15"/>
  <c r="I832" i="15"/>
  <c r="AC832" i="15"/>
  <c r="I827" i="15"/>
  <c r="AC827" i="15"/>
  <c r="I963" i="15"/>
  <c r="AC963" i="15"/>
  <c r="I843" i="15"/>
  <c r="AC843" i="15"/>
  <c r="I759" i="15"/>
  <c r="AC759" i="15"/>
  <c r="I663" i="15"/>
  <c r="AC663" i="15"/>
  <c r="I486" i="15"/>
  <c r="AC486" i="15"/>
  <c r="I394" i="15"/>
  <c r="AC394" i="15"/>
  <c r="I235" i="15"/>
  <c r="AC235" i="15"/>
  <c r="I740" i="15"/>
  <c r="AC740" i="15"/>
  <c r="I929" i="15"/>
  <c r="AC929" i="15"/>
  <c r="I813" i="15"/>
  <c r="AC813" i="15"/>
  <c r="I748" i="15"/>
  <c r="AC748" i="15"/>
  <c r="I637" i="15"/>
  <c r="AC637" i="15"/>
  <c r="I579" i="15"/>
  <c r="AC579" i="15"/>
  <c r="I575" i="15"/>
  <c r="AC575" i="15"/>
  <c r="I522" i="15"/>
  <c r="AC522" i="15"/>
  <c r="I518" i="15"/>
  <c r="AC518" i="15"/>
  <c r="I498" i="15"/>
  <c r="AC498" i="15"/>
  <c r="I481" i="15"/>
  <c r="AC481" i="15"/>
  <c r="I477" i="15"/>
  <c r="AC477" i="15"/>
  <c r="I440" i="15"/>
  <c r="AC440" i="15"/>
  <c r="I436" i="15"/>
  <c r="AC436" i="15"/>
  <c r="I418" i="15"/>
  <c r="AC418" i="15"/>
  <c r="I414" i="15"/>
  <c r="AC414" i="15"/>
  <c r="I410" i="15"/>
  <c r="AC410" i="15"/>
  <c r="I383" i="15"/>
  <c r="AC383" i="15"/>
  <c r="I328" i="15"/>
  <c r="AC328" i="15"/>
  <c r="I324" i="15"/>
  <c r="AC324" i="15"/>
  <c r="I319" i="15"/>
  <c r="AC319" i="15"/>
  <c r="I315" i="15"/>
  <c r="AC315" i="15"/>
  <c r="I311" i="15"/>
  <c r="AC311" i="15"/>
  <c r="I307" i="15"/>
  <c r="AC307" i="15"/>
  <c r="I302" i="15"/>
  <c r="AC302" i="15"/>
  <c r="I296" i="15"/>
  <c r="AC296" i="15"/>
  <c r="I292" i="15"/>
  <c r="AC292" i="15"/>
  <c r="I288" i="15"/>
  <c r="AC288" i="15"/>
  <c r="I274" i="15"/>
  <c r="AC274" i="15"/>
  <c r="I270" i="15"/>
  <c r="AC270" i="15"/>
  <c r="I266" i="15"/>
  <c r="AC266" i="15"/>
  <c r="I255" i="15"/>
  <c r="AC255" i="15"/>
  <c r="I250" i="15"/>
  <c r="AC250" i="15"/>
  <c r="I219" i="15"/>
  <c r="AC219" i="15"/>
  <c r="I215" i="15"/>
  <c r="AC215" i="15"/>
  <c r="I179" i="15"/>
  <c r="AC179" i="15"/>
  <c r="I135" i="15"/>
  <c r="AC135" i="15"/>
  <c r="I131" i="15"/>
  <c r="AC131" i="15"/>
  <c r="I125" i="15"/>
  <c r="AC125" i="15"/>
  <c r="I111" i="15"/>
  <c r="AC111" i="15"/>
  <c r="I101" i="15"/>
  <c r="AC101" i="15"/>
  <c r="I97" i="15"/>
  <c r="AC97" i="15"/>
  <c r="I92" i="15"/>
  <c r="AC92" i="15"/>
  <c r="I88" i="15"/>
  <c r="AC88" i="15"/>
  <c r="I60" i="15"/>
  <c r="AC60" i="15"/>
  <c r="I51" i="15"/>
  <c r="AC51" i="15"/>
  <c r="I47" i="15"/>
  <c r="AC47" i="15"/>
  <c r="I41" i="15"/>
  <c r="AC41" i="15"/>
  <c r="I616" i="15"/>
  <c r="AC616" i="15"/>
  <c r="I811" i="15"/>
  <c r="AC811" i="15"/>
  <c r="I836" i="15"/>
  <c r="AC836" i="15"/>
  <c r="I820" i="15"/>
  <c r="AC820" i="15"/>
  <c r="I755" i="15"/>
  <c r="AC755" i="15"/>
  <c r="I543" i="15"/>
  <c r="AC543" i="15"/>
  <c r="I258" i="15"/>
  <c r="AC258" i="15"/>
  <c r="I846" i="15"/>
  <c r="AC846" i="15"/>
  <c r="I818" i="15"/>
  <c r="AC818" i="15"/>
  <c r="I775" i="15"/>
  <c r="AC775" i="15"/>
  <c r="I752" i="15"/>
  <c r="AC752" i="15"/>
  <c r="I723" i="15"/>
  <c r="AC723" i="15"/>
  <c r="I718" i="15"/>
  <c r="AC718" i="15"/>
  <c r="I708" i="15"/>
  <c r="AC708" i="15"/>
  <c r="I700" i="15"/>
  <c r="AC700" i="15"/>
  <c r="I687" i="15"/>
  <c r="AC687" i="15"/>
  <c r="I678" i="15"/>
  <c r="AC678" i="15"/>
  <c r="I674" i="15"/>
  <c r="AC674" i="15"/>
  <c r="I670" i="15"/>
  <c r="AC670" i="15"/>
  <c r="I666" i="15"/>
  <c r="AC666" i="15"/>
  <c r="I662" i="15"/>
  <c r="AC662" i="15"/>
  <c r="I658" i="15"/>
  <c r="AC658" i="15"/>
  <c r="I645" i="15"/>
  <c r="AC645" i="15"/>
  <c r="I622" i="15"/>
  <c r="AC622" i="15"/>
  <c r="I565" i="15"/>
  <c r="AC565" i="15"/>
  <c r="I556" i="15"/>
  <c r="AC556" i="15"/>
  <c r="I552" i="15"/>
  <c r="AC552" i="15"/>
  <c r="I548" i="15"/>
  <c r="AC548" i="15"/>
  <c r="I485" i="15"/>
  <c r="AC485" i="15"/>
  <c r="I472" i="15"/>
  <c r="AC472" i="15"/>
  <c r="I460" i="15"/>
  <c r="AC460" i="15"/>
  <c r="I444" i="15"/>
  <c r="AC444" i="15"/>
  <c r="I387" i="15"/>
  <c r="AC387" i="15"/>
  <c r="I366" i="15"/>
  <c r="AC366" i="15"/>
  <c r="I249" i="15"/>
  <c r="AC249" i="15"/>
  <c r="I238" i="15"/>
  <c r="AC238" i="15"/>
  <c r="I234" i="15"/>
  <c r="AC234" i="15"/>
  <c r="I73" i="15"/>
  <c r="AC73" i="15"/>
  <c r="I69" i="15"/>
  <c r="AC69" i="15"/>
  <c r="I55" i="15"/>
  <c r="AC55" i="15"/>
  <c r="I259" i="15"/>
  <c r="AC259" i="15"/>
  <c r="I690" i="15"/>
  <c r="AC690" i="15"/>
  <c r="I702" i="15"/>
  <c r="AC702" i="15"/>
  <c r="I713" i="15"/>
  <c r="AC713" i="15"/>
  <c r="I717" i="15"/>
  <c r="AC717" i="15"/>
  <c r="I729" i="15"/>
  <c r="AC729" i="15"/>
  <c r="I741" i="15"/>
  <c r="AC741" i="15"/>
  <c r="I745" i="15"/>
  <c r="AC745" i="15"/>
  <c r="I756" i="15"/>
  <c r="AC756" i="15"/>
  <c r="I768" i="15"/>
  <c r="AC768" i="15"/>
  <c r="I795" i="15"/>
  <c r="AC795" i="15"/>
  <c r="I899" i="15"/>
  <c r="AC899" i="15"/>
  <c r="I847" i="15"/>
  <c r="AC847" i="15"/>
  <c r="I789" i="15"/>
  <c r="AC789" i="15"/>
  <c r="I701" i="15"/>
  <c r="AC701" i="15"/>
  <c r="I549" i="15"/>
  <c r="AC549" i="15"/>
  <c r="I363" i="15"/>
  <c r="AC363" i="15"/>
  <c r="I239" i="15"/>
  <c r="AC239" i="15"/>
  <c r="I74" i="15"/>
  <c r="AC74" i="15"/>
  <c r="I728" i="15"/>
  <c r="AC728" i="15"/>
  <c r="I771" i="15"/>
  <c r="AC771" i="15"/>
  <c r="I641" i="15"/>
  <c r="AC641" i="15"/>
  <c r="I962" i="15"/>
  <c r="AC962" i="15"/>
  <c r="I933" i="15"/>
  <c r="AC933" i="15"/>
  <c r="I885" i="15"/>
  <c r="AC885" i="15"/>
  <c r="I842" i="15"/>
  <c r="AC842" i="15"/>
  <c r="I824" i="15"/>
  <c r="AC824" i="15"/>
  <c r="I766" i="15"/>
  <c r="AC766" i="15"/>
  <c r="I736" i="15"/>
  <c r="AC736" i="15"/>
  <c r="I640" i="15"/>
  <c r="AC640" i="15"/>
  <c r="I636" i="15"/>
  <c r="AC636" i="15"/>
  <c r="I608" i="15"/>
  <c r="AC608" i="15"/>
  <c r="I603" i="15"/>
  <c r="AC603" i="15"/>
  <c r="I578" i="15"/>
  <c r="AC578" i="15"/>
  <c r="I574" i="15"/>
  <c r="AC574" i="15"/>
  <c r="I530" i="15"/>
  <c r="AC530" i="15"/>
  <c r="I525" i="15"/>
  <c r="AC525" i="15"/>
  <c r="I521" i="15"/>
  <c r="AC521" i="15"/>
  <c r="I501" i="15"/>
  <c r="AC501" i="15"/>
  <c r="I439" i="15"/>
  <c r="AC439" i="15"/>
  <c r="I435" i="15"/>
  <c r="AC435" i="15"/>
  <c r="I417" i="15"/>
  <c r="AC417" i="15"/>
  <c r="I413" i="15"/>
  <c r="AC413" i="15"/>
  <c r="I409" i="15"/>
  <c r="AC409" i="15"/>
  <c r="I331" i="15"/>
  <c r="AC331" i="15"/>
  <c r="I327" i="15"/>
  <c r="AC327" i="15"/>
  <c r="I323" i="15"/>
  <c r="AC323" i="15"/>
  <c r="I318" i="15"/>
  <c r="AC318" i="15"/>
  <c r="I314" i="15"/>
  <c r="AC314" i="15"/>
  <c r="I310" i="15"/>
  <c r="AC310" i="15"/>
  <c r="I306" i="15"/>
  <c r="AC306" i="15"/>
  <c r="I295" i="15"/>
  <c r="AC295" i="15"/>
  <c r="I291" i="15"/>
  <c r="AC291" i="15"/>
  <c r="I287" i="15"/>
  <c r="AC287" i="15"/>
  <c r="I273" i="15"/>
  <c r="AC273" i="15"/>
  <c r="I269" i="15"/>
  <c r="AC269" i="15"/>
  <c r="I265" i="15"/>
  <c r="AC265" i="15"/>
  <c r="I223" i="15"/>
  <c r="AC223" i="15"/>
  <c r="I218" i="15"/>
  <c r="AC218" i="15"/>
  <c r="I214" i="15"/>
  <c r="AC214" i="15"/>
  <c r="I190" i="15"/>
  <c r="AC190" i="15"/>
  <c r="I178" i="15"/>
  <c r="AC178" i="15"/>
  <c r="I134" i="15"/>
  <c r="AC134" i="15"/>
  <c r="I130" i="15"/>
  <c r="AC130" i="15"/>
  <c r="I124" i="15"/>
  <c r="AC124" i="15"/>
  <c r="I114" i="15"/>
  <c r="AC114" i="15"/>
  <c r="I110" i="15"/>
  <c r="AC110" i="15"/>
  <c r="I104" i="15"/>
  <c r="AC104" i="15"/>
  <c r="I100" i="15"/>
  <c r="AC100" i="15"/>
  <c r="I96" i="15"/>
  <c r="AC96" i="15"/>
  <c r="I91" i="15"/>
  <c r="AC91" i="15"/>
  <c r="I87" i="15"/>
  <c r="AC87" i="15"/>
  <c r="I59" i="15"/>
  <c r="AC59" i="15"/>
  <c r="I50" i="15"/>
  <c r="AC50" i="15"/>
  <c r="I40" i="15"/>
  <c r="AC40" i="15"/>
  <c r="I812" i="15"/>
  <c r="AC812" i="15"/>
  <c r="I837" i="15"/>
  <c r="AC837" i="15"/>
  <c r="I821" i="15"/>
  <c r="AC821" i="15"/>
  <c r="I925" i="15"/>
  <c r="AC925" i="15"/>
  <c r="I804" i="15"/>
  <c r="AC804" i="15"/>
  <c r="I696" i="15"/>
  <c r="AC696" i="15"/>
  <c r="I659" i="15"/>
  <c r="AC659" i="15"/>
  <c r="I557" i="15"/>
  <c r="AC557" i="15"/>
  <c r="I473" i="15"/>
  <c r="AC473" i="15"/>
  <c r="I279" i="15"/>
  <c r="AC279" i="15"/>
  <c r="I231" i="15"/>
  <c r="AC231" i="15"/>
  <c r="I693" i="15"/>
  <c r="AC693" i="15"/>
  <c r="I796" i="15"/>
  <c r="AC796" i="15"/>
  <c r="I763" i="15"/>
  <c r="AC763" i="15"/>
  <c r="I737" i="15"/>
  <c r="AC737" i="15"/>
  <c r="I992" i="15"/>
  <c r="AC992" i="15"/>
  <c r="I924" i="15"/>
  <c r="AC924" i="15"/>
  <c r="I830" i="15"/>
  <c r="AC830" i="15"/>
  <c r="I991" i="15"/>
  <c r="AC991" i="15"/>
  <c r="I968" i="15"/>
  <c r="AC968" i="15"/>
  <c r="I961" i="15"/>
  <c r="AC961" i="15"/>
  <c r="I932" i="15"/>
  <c r="AC932" i="15"/>
  <c r="I923" i="15"/>
  <c r="AC923" i="15"/>
  <c r="I884" i="15"/>
  <c r="AC884" i="15"/>
  <c r="I872" i="15"/>
  <c r="AC872" i="15"/>
  <c r="I854" i="15"/>
  <c r="AC854" i="15"/>
  <c r="I845" i="15"/>
  <c r="AC845" i="15"/>
  <c r="I841" i="15"/>
  <c r="AC841" i="15"/>
  <c r="I835" i="15"/>
  <c r="AC835" i="15"/>
  <c r="I829" i="15"/>
  <c r="AC829" i="15"/>
  <c r="I823" i="15"/>
  <c r="AC823" i="15"/>
  <c r="I761" i="15"/>
  <c r="AC761" i="15"/>
  <c r="I751" i="15"/>
  <c r="AC751" i="15"/>
  <c r="I731" i="15"/>
  <c r="AC731" i="15"/>
  <c r="I722" i="15"/>
  <c r="AC722" i="15"/>
  <c r="I712" i="15"/>
  <c r="AC712" i="15"/>
  <c r="I699" i="15"/>
  <c r="AC699" i="15"/>
  <c r="I694" i="15"/>
  <c r="AC694" i="15"/>
  <c r="I677" i="15"/>
  <c r="AC677" i="15"/>
  <c r="I673" i="15"/>
  <c r="AC673" i="15"/>
  <c r="I665" i="15"/>
  <c r="AC665" i="15"/>
  <c r="I661" i="15"/>
  <c r="AC661" i="15"/>
  <c r="I644" i="15"/>
  <c r="AC644" i="15"/>
  <c r="I612" i="15"/>
  <c r="AC612" i="15"/>
  <c r="I582" i="15"/>
  <c r="AC582" i="15"/>
  <c r="I559" i="15"/>
  <c r="AC559" i="15"/>
  <c r="I555" i="15"/>
  <c r="AC555" i="15"/>
  <c r="I551" i="15"/>
  <c r="AC551" i="15"/>
  <c r="I488" i="15"/>
  <c r="AC488" i="15"/>
  <c r="I475" i="15"/>
  <c r="AC475" i="15"/>
  <c r="I471" i="15"/>
  <c r="AC471" i="15"/>
  <c r="I386" i="15"/>
  <c r="AC386" i="15"/>
  <c r="I365" i="15"/>
  <c r="AC365" i="15"/>
  <c r="I281" i="15"/>
  <c r="AC281" i="15"/>
  <c r="I253" i="15"/>
  <c r="AC253" i="15"/>
  <c r="I237" i="15"/>
  <c r="AC237" i="15"/>
  <c r="I233" i="15"/>
  <c r="AC233" i="15"/>
  <c r="I228" i="15"/>
  <c r="AC228" i="15"/>
  <c r="I173" i="15"/>
  <c r="AC173" i="15"/>
  <c r="I76" i="15"/>
  <c r="AC76" i="15"/>
  <c r="I72" i="15"/>
  <c r="AC72" i="15"/>
  <c r="I68" i="15"/>
  <c r="AC68" i="15"/>
  <c r="I28" i="15"/>
  <c r="U28" i="15" s="1"/>
  <c r="AC28" i="15"/>
  <c r="I303" i="15"/>
  <c r="AC303" i="15"/>
  <c r="I691" i="15"/>
  <c r="AC691" i="15"/>
  <c r="I703" i="15"/>
  <c r="AC703" i="15"/>
  <c r="I714" i="15"/>
  <c r="AC714" i="15"/>
  <c r="I726" i="15"/>
  <c r="AC726" i="15"/>
  <c r="I730" i="15"/>
  <c r="AC730" i="15"/>
  <c r="I742" i="15"/>
  <c r="AC742" i="15"/>
  <c r="I753" i="15"/>
  <c r="AC753" i="15"/>
  <c r="I757" i="15"/>
  <c r="AC757" i="15"/>
  <c r="I770" i="15"/>
  <c r="AC770" i="15"/>
  <c r="I797" i="15"/>
  <c r="AC797" i="15"/>
  <c r="I825" i="15"/>
  <c r="AC825" i="15"/>
  <c r="I776" i="15"/>
  <c r="AC776" i="15"/>
  <c r="I671" i="15"/>
  <c r="AC671" i="15"/>
  <c r="I503" i="15"/>
  <c r="AC503" i="15"/>
  <c r="I201" i="15"/>
  <c r="AC201" i="15"/>
  <c r="I70" i="15"/>
  <c r="AC70" i="15"/>
  <c r="I716" i="15"/>
  <c r="AC716" i="15"/>
  <c r="I786" i="15"/>
  <c r="AC786" i="15"/>
  <c r="I639" i="15"/>
  <c r="AC639" i="15"/>
  <c r="I602" i="15"/>
  <c r="AC602" i="15"/>
  <c r="I520" i="15"/>
  <c r="AC520" i="15"/>
  <c r="I420" i="15"/>
  <c r="AC420" i="15"/>
  <c r="I412" i="15"/>
  <c r="AC412" i="15"/>
  <c r="I390" i="15"/>
  <c r="AC390" i="15"/>
  <c r="I380" i="15"/>
  <c r="AC380" i="15"/>
  <c r="I373" i="15"/>
  <c r="AC373" i="15"/>
  <c r="I330" i="15"/>
  <c r="AC330" i="15"/>
  <c r="I326" i="15"/>
  <c r="AC326" i="15"/>
  <c r="I317" i="15"/>
  <c r="AC317" i="15"/>
  <c r="I313" i="15"/>
  <c r="AC313" i="15"/>
  <c r="I309" i="15"/>
  <c r="AC309" i="15"/>
  <c r="I294" i="15"/>
  <c r="AC294" i="15"/>
  <c r="I290" i="15"/>
  <c r="AC290" i="15"/>
  <c r="I286" i="15"/>
  <c r="AC286" i="15"/>
  <c r="I268" i="15"/>
  <c r="AC268" i="15"/>
  <c r="I257" i="15"/>
  <c r="AC257" i="15"/>
  <c r="I217" i="15"/>
  <c r="AC217" i="15"/>
  <c r="I213" i="15"/>
  <c r="AC213" i="15"/>
  <c r="I189" i="15"/>
  <c r="AC189" i="15"/>
  <c r="I177" i="15"/>
  <c r="AC177" i="15"/>
  <c r="I166" i="15"/>
  <c r="AC166" i="15"/>
  <c r="I133" i="15"/>
  <c r="AC133" i="15"/>
  <c r="I128" i="15"/>
  <c r="AC128" i="15"/>
  <c r="I123" i="15"/>
  <c r="AC123" i="15"/>
  <c r="I113" i="15"/>
  <c r="AC113" i="15"/>
  <c r="I109" i="15"/>
  <c r="AC109" i="15"/>
  <c r="I103" i="15"/>
  <c r="AC103" i="15"/>
  <c r="I99" i="15"/>
  <c r="AC99" i="15"/>
  <c r="I90" i="15"/>
  <c r="AC90" i="15"/>
  <c r="I86" i="15"/>
  <c r="AC86" i="15"/>
  <c r="I62" i="15"/>
  <c r="AC62" i="15"/>
  <c r="I58" i="15"/>
  <c r="AC58" i="15"/>
  <c r="I49" i="15"/>
  <c r="AC49" i="15"/>
  <c r="I39" i="15"/>
  <c r="AC39" i="15"/>
  <c r="I23" i="15"/>
  <c r="U23" i="15" s="1"/>
  <c r="AC23" i="15"/>
  <c r="I831" i="15"/>
  <c r="AC831" i="15"/>
  <c r="I826" i="15"/>
  <c r="AC826" i="15"/>
  <c r="I784" i="15"/>
  <c r="AC784" i="15"/>
  <c r="I819" i="15"/>
  <c r="AC819" i="15"/>
  <c r="I724" i="15"/>
  <c r="AC724" i="15"/>
  <c r="I675" i="15"/>
  <c r="AC675" i="15"/>
  <c r="I553" i="15"/>
  <c r="AC553" i="15"/>
  <c r="I245" i="15"/>
  <c r="AC245" i="15"/>
  <c r="I56" i="15"/>
  <c r="AC56" i="15"/>
  <c r="I705" i="15"/>
  <c r="AC705" i="15"/>
  <c r="I767" i="15"/>
  <c r="AC767" i="15"/>
  <c r="I765" i="15"/>
  <c r="AC765" i="15"/>
  <c r="I735" i="15"/>
  <c r="AC735" i="15"/>
  <c r="I607" i="15"/>
  <c r="AC607" i="15"/>
  <c r="I524" i="15"/>
  <c r="AC524" i="15"/>
  <c r="I464" i="15"/>
  <c r="AC464" i="15"/>
  <c r="I222" i="15"/>
  <c r="AC222" i="15"/>
  <c r="I990" i="15"/>
  <c r="AC990" i="15"/>
  <c r="I967" i="15"/>
  <c r="AC967" i="15"/>
  <c r="I960" i="15"/>
  <c r="AC960" i="15"/>
  <c r="I926" i="15"/>
  <c r="AC926" i="15"/>
  <c r="I853" i="15"/>
  <c r="AC853" i="15"/>
  <c r="I844" i="15"/>
  <c r="AC844" i="15"/>
  <c r="I834" i="15"/>
  <c r="AC834" i="15"/>
  <c r="I805" i="15"/>
  <c r="AC805" i="15"/>
  <c r="I790" i="15"/>
  <c r="AC790" i="15"/>
  <c r="I750" i="15"/>
  <c r="AC750" i="15"/>
  <c r="I725" i="15"/>
  <c r="AC725" i="15"/>
  <c r="I711" i="15"/>
  <c r="AC711" i="15"/>
  <c r="I706" i="15"/>
  <c r="AC706" i="15"/>
  <c r="I689" i="15"/>
  <c r="AC689" i="15"/>
  <c r="I684" i="15"/>
  <c r="AC684" i="15"/>
  <c r="I680" i="15"/>
  <c r="AC680" i="15"/>
  <c r="I676" i="15"/>
  <c r="AC676" i="15"/>
  <c r="I672" i="15"/>
  <c r="AC672" i="15"/>
  <c r="I668" i="15"/>
  <c r="AC668" i="15"/>
  <c r="I664" i="15"/>
  <c r="AC664" i="15"/>
  <c r="I660" i="15"/>
  <c r="AC660" i="15"/>
  <c r="I643" i="15"/>
  <c r="AC643" i="15"/>
  <c r="I624" i="15"/>
  <c r="AC624" i="15"/>
  <c r="I620" i="15"/>
  <c r="AC620" i="15"/>
  <c r="I611" i="15"/>
  <c r="AC611" i="15"/>
  <c r="I581" i="15"/>
  <c r="AC581" i="15"/>
  <c r="I563" i="15"/>
  <c r="AC563" i="15"/>
  <c r="I558" i="15"/>
  <c r="AC558" i="15"/>
  <c r="I554" i="15"/>
  <c r="AC554" i="15"/>
  <c r="I550" i="15"/>
  <c r="AC550" i="15"/>
  <c r="I487" i="15"/>
  <c r="AC487" i="15"/>
  <c r="I474" i="15"/>
  <c r="AC474" i="15"/>
  <c r="I470" i="15"/>
  <c r="AC470" i="15"/>
  <c r="I395" i="15"/>
  <c r="AC395" i="15"/>
  <c r="I364" i="15"/>
  <c r="AC364" i="15"/>
  <c r="I280" i="15"/>
  <c r="AC280" i="15"/>
  <c r="I246" i="15"/>
  <c r="AC246" i="15"/>
  <c r="I236" i="15"/>
  <c r="AC236" i="15"/>
  <c r="I232" i="15"/>
  <c r="AC232" i="15"/>
  <c r="I75" i="15"/>
  <c r="AC75" i="15"/>
  <c r="I71" i="15"/>
  <c r="AC71" i="15"/>
  <c r="I67" i="15"/>
  <c r="AC67" i="15"/>
  <c r="I27" i="15"/>
  <c r="AC27" i="15"/>
  <c r="I185" i="15"/>
  <c r="AC185" i="15"/>
  <c r="I396" i="15"/>
  <c r="AC396" i="15"/>
  <c r="I692" i="15"/>
  <c r="AC692" i="15"/>
  <c r="I704" i="15"/>
  <c r="AC704" i="15"/>
  <c r="I715" i="15"/>
  <c r="AC715" i="15"/>
  <c r="I727" i="15"/>
  <c r="AC727" i="15"/>
  <c r="I739" i="15"/>
  <c r="AC739" i="15"/>
  <c r="I743" i="15"/>
  <c r="AC743" i="15"/>
  <c r="I754" i="15"/>
  <c r="AC754" i="15"/>
  <c r="I758" i="15"/>
  <c r="AC758" i="15"/>
  <c r="I769" i="15"/>
  <c r="AC769" i="15"/>
  <c r="I457" i="15"/>
  <c r="AC457" i="15"/>
  <c r="AF880" i="15"/>
  <c r="AA880" i="15"/>
  <c r="AF881" i="15"/>
  <c r="AA881" i="15"/>
  <c r="AF484" i="15"/>
  <c r="AA484" i="15"/>
  <c r="AF478" i="15"/>
  <c r="AA478" i="15"/>
  <c r="AF479" i="15"/>
  <c r="AA479" i="15"/>
  <c r="AF480" i="15"/>
  <c r="AA480" i="15"/>
  <c r="H903" i="15"/>
  <c r="U903" i="15" s="1"/>
  <c r="H902" i="15"/>
  <c r="U902" i="15" s="1"/>
  <c r="H901" i="15"/>
  <c r="U901" i="15" s="1"/>
  <c r="H1075" i="1"/>
  <c r="I881" i="15"/>
  <c r="I478" i="15"/>
  <c r="I880" i="15"/>
  <c r="I479" i="15"/>
  <c r="I480" i="15"/>
  <c r="G2512" i="4"/>
  <c r="X583" i="15" s="1"/>
  <c r="G2505" i="4"/>
  <c r="X584" i="15" s="1"/>
  <c r="G2498" i="4"/>
  <c r="X596" i="15" s="1"/>
  <c r="G2491" i="4"/>
  <c r="X528" i="15" s="1"/>
  <c r="G2484" i="4"/>
  <c r="X527" i="15" s="1"/>
  <c r="G2477" i="4"/>
  <c r="G2470" i="4"/>
  <c r="X450" i="15" s="1"/>
  <c r="G2463" i="4"/>
  <c r="G2452" i="4"/>
  <c r="X193" i="15" s="1"/>
  <c r="G2443" i="4"/>
  <c r="X169" i="15" s="1"/>
  <c r="G2427" i="4"/>
  <c r="X156" i="15" s="1"/>
  <c r="G2414" i="4"/>
  <c r="X155" i="15" s="1"/>
  <c r="G2402" i="4"/>
  <c r="X151" i="15" s="1"/>
  <c r="G2391" i="4"/>
  <c r="X150" i="15" s="1"/>
  <c r="G2381" i="4"/>
  <c r="X149" i="15" s="1"/>
  <c r="G2370" i="4"/>
  <c r="X148" i="15" s="1"/>
  <c r="G2346" i="4"/>
  <c r="X80" i="15" s="1"/>
  <c r="G2354" i="4"/>
  <c r="X144" i="15" s="1"/>
  <c r="I484" i="15"/>
  <c r="U27" i="15" l="1"/>
  <c r="I172" i="15"/>
  <c r="I958" i="15"/>
  <c r="S66" i="15"/>
  <c r="I1075" i="1"/>
  <c r="U1075" i="1"/>
  <c r="AF1008" i="15"/>
  <c r="I902" i="15"/>
  <c r="AC902" i="15"/>
  <c r="I903" i="15"/>
  <c r="AC903" i="15"/>
  <c r="AA1009" i="15"/>
  <c r="I901" i="15"/>
  <c r="AC901" i="15"/>
  <c r="X855" i="15"/>
  <c r="X445" i="15"/>
  <c r="X531" i="15"/>
  <c r="X508" i="15"/>
  <c r="I1009" i="15" l="1"/>
  <c r="AA1010" i="15"/>
  <c r="AA1011" i="15" s="1"/>
  <c r="H596" i="15"/>
  <c r="U596" i="15" s="1"/>
  <c r="H584" i="15"/>
  <c r="U584" i="15" s="1"/>
  <c r="H583" i="15"/>
  <c r="U583" i="15" s="1"/>
  <c r="I583" i="15" l="1"/>
  <c r="AC583" i="15"/>
  <c r="I584" i="15"/>
  <c r="AC584" i="15"/>
  <c r="I596" i="15"/>
  <c r="AC596" i="15"/>
  <c r="H144" i="15"/>
  <c r="U144" i="15" s="1"/>
  <c r="H527" i="15"/>
  <c r="U527" i="15" s="1"/>
  <c r="H80" i="15"/>
  <c r="H151" i="15"/>
  <c r="U151" i="15" s="1"/>
  <c r="H150" i="15"/>
  <c r="U150" i="15" s="1"/>
  <c r="H149" i="15"/>
  <c r="U149" i="15" s="1"/>
  <c r="H148" i="15"/>
  <c r="U148" i="15" s="1"/>
  <c r="H155" i="15"/>
  <c r="U155" i="15" s="1"/>
  <c r="H169" i="15"/>
  <c r="U169" i="15" s="1"/>
  <c r="H193" i="15"/>
  <c r="I148" i="15" l="1"/>
  <c r="AC148" i="15"/>
  <c r="I150" i="15"/>
  <c r="AC150" i="15"/>
  <c r="I80" i="15"/>
  <c r="AC80" i="15"/>
  <c r="I527" i="15"/>
  <c r="AC527" i="15"/>
  <c r="I169" i="15"/>
  <c r="AC169" i="15"/>
  <c r="I149" i="15"/>
  <c r="AC149" i="15"/>
  <c r="I151" i="15"/>
  <c r="AC151" i="15"/>
  <c r="I193" i="15"/>
  <c r="AC193" i="15"/>
  <c r="I144" i="15"/>
  <c r="AC144" i="15"/>
  <c r="I155" i="15"/>
  <c r="AC155" i="15"/>
  <c r="H528" i="15"/>
  <c r="U528" i="15" s="1"/>
  <c r="H156" i="15"/>
  <c r="H855" i="15"/>
  <c r="U855" i="15" s="1"/>
  <c r="H445" i="15"/>
  <c r="U445" i="15" s="1"/>
  <c r="Q146" i="15" l="1"/>
  <c r="U146" i="15" s="1"/>
  <c r="U156" i="15"/>
  <c r="I528" i="15"/>
  <c r="AC528" i="15"/>
  <c r="I445" i="15"/>
  <c r="AC445" i="15"/>
  <c r="I855" i="15"/>
  <c r="AC855" i="15"/>
  <c r="I156" i="15"/>
  <c r="AC156" i="15"/>
  <c r="H531" i="15"/>
  <c r="U531" i="15" s="1"/>
  <c r="H508" i="15"/>
  <c r="U508" i="15" s="1"/>
  <c r="I146" i="15" l="1"/>
  <c r="I508" i="15"/>
  <c r="AC508" i="15"/>
  <c r="I531" i="15"/>
  <c r="AC531" i="15"/>
  <c r="H450" i="15"/>
  <c r="U450" i="15" s="1"/>
  <c r="I450" i="15" l="1"/>
  <c r="AC450" i="15"/>
  <c r="F329" i="4"/>
  <c r="G329" i="4" s="1"/>
  <c r="I329" i="4"/>
  <c r="F330" i="4"/>
  <c r="G330" i="4" s="1"/>
  <c r="I330" i="4"/>
  <c r="F331" i="4"/>
  <c r="G331" i="4" s="1"/>
  <c r="I331" i="4"/>
  <c r="F332" i="4"/>
  <c r="G332" i="4" s="1"/>
  <c r="I332" i="4"/>
  <c r="F333" i="4"/>
  <c r="G333" i="4" s="1"/>
  <c r="I333" i="4"/>
  <c r="F334" i="4"/>
  <c r="G334" i="4" s="1"/>
  <c r="I334" i="4"/>
  <c r="B334" i="4" s="1"/>
  <c r="F335" i="4"/>
  <c r="G335" i="4" s="1"/>
  <c r="I335" i="4"/>
  <c r="B335" i="4" s="1"/>
  <c r="F336" i="4"/>
  <c r="G336" i="4" s="1"/>
  <c r="I336" i="4"/>
  <c r="B336" i="4" s="1"/>
  <c r="G337" i="4" l="1"/>
  <c r="I274" i="4"/>
  <c r="B274" i="4" s="1"/>
  <c r="F274" i="4"/>
  <c r="G274" i="4" s="1"/>
  <c r="I260" i="4"/>
  <c r="B260" i="4" s="1"/>
  <c r="F260" i="4"/>
  <c r="G260" i="4" s="1"/>
  <c r="I246" i="4"/>
  <c r="B246" i="4" s="1"/>
  <c r="F246" i="4"/>
  <c r="G246" i="4" s="1"/>
  <c r="I212" i="4"/>
  <c r="B212" i="4" s="1"/>
  <c r="F212" i="4"/>
  <c r="G212" i="4" s="1"/>
  <c r="I202" i="4" l="1"/>
  <c r="I204" i="4" l="1"/>
  <c r="H339" i="1"/>
  <c r="F2337" i="4"/>
  <c r="G2337" i="4" s="1"/>
  <c r="G2338" i="4" s="1"/>
  <c r="I339" i="1" l="1"/>
  <c r="U339" i="1"/>
  <c r="X1263" i="1"/>
  <c r="H1263" i="1" s="1"/>
  <c r="X994" i="15"/>
  <c r="H994" i="15" s="1"/>
  <c r="U994" i="15" s="1"/>
  <c r="I2330" i="4"/>
  <c r="F2330" i="4"/>
  <c r="G2330" i="4" s="1"/>
  <c r="I2329" i="4"/>
  <c r="F2329" i="4"/>
  <c r="G2329" i="4" s="1"/>
  <c r="I2328" i="4"/>
  <c r="F2328" i="4"/>
  <c r="G2328" i="4" s="1"/>
  <c r="I2327" i="4"/>
  <c r="F2327" i="4"/>
  <c r="G2327" i="4" s="1"/>
  <c r="I2332" i="4"/>
  <c r="F2332" i="4"/>
  <c r="G2332" i="4" s="1"/>
  <c r="I2331" i="4"/>
  <c r="F2331" i="4"/>
  <c r="G2331" i="4" s="1"/>
  <c r="AB46" i="1"/>
  <c r="X46" i="1"/>
  <c r="H46" i="1" s="1"/>
  <c r="Q46" i="1" s="1"/>
  <c r="U46" i="1" s="1"/>
  <c r="I46" i="1" l="1"/>
  <c r="I1263" i="1"/>
  <c r="I994" i="15"/>
  <c r="AC994" i="15"/>
  <c r="G2333" i="4"/>
  <c r="B202" i="4"/>
  <c r="I201" i="4"/>
  <c r="B201" i="4" s="1"/>
  <c r="I1327" i="4"/>
  <c r="F1327" i="4"/>
  <c r="G1327" i="4" s="1"/>
  <c r="I1320" i="4"/>
  <c r="F1320" i="4"/>
  <c r="G1320" i="4" s="1"/>
  <c r="X240" i="1" l="1"/>
  <c r="X162" i="15"/>
  <c r="H162" i="15" s="1"/>
  <c r="I346" i="4"/>
  <c r="B346" i="4" s="1"/>
  <c r="F346" i="4"/>
  <c r="G346" i="4" s="1"/>
  <c r="I321" i="4"/>
  <c r="B321" i="4" s="1"/>
  <c r="F321" i="4"/>
  <c r="G321" i="4" s="1"/>
  <c r="I308" i="4"/>
  <c r="B308" i="4" s="1"/>
  <c r="F308" i="4"/>
  <c r="G308" i="4" s="1"/>
  <c r="I297" i="4"/>
  <c r="B297" i="4" s="1"/>
  <c r="F297" i="4"/>
  <c r="G297" i="4" s="1"/>
  <c r="I298" i="4"/>
  <c r="B298" i="4" s="1"/>
  <c r="F298" i="4"/>
  <c r="G298" i="4" s="1"/>
  <c r="I348" i="4"/>
  <c r="B348" i="4" s="1"/>
  <c r="F348" i="4"/>
  <c r="G348" i="4" s="1"/>
  <c r="I324" i="4"/>
  <c r="B324" i="4" s="1"/>
  <c r="F324" i="4"/>
  <c r="G324" i="4" s="1"/>
  <c r="I311" i="4"/>
  <c r="B311" i="4" s="1"/>
  <c r="F311" i="4"/>
  <c r="G311" i="4" s="1"/>
  <c r="Q161" i="15" l="1"/>
  <c r="U161" i="15" s="1"/>
  <c r="U162" i="15"/>
  <c r="I162" i="15"/>
  <c r="AC162" i="15"/>
  <c r="I2322" i="4"/>
  <c r="F2322" i="4"/>
  <c r="G2322" i="4" s="1"/>
  <c r="I2321" i="4"/>
  <c r="F2321" i="4"/>
  <c r="G2321" i="4" s="1"/>
  <c r="F2320" i="4"/>
  <c r="G2320" i="4" s="1"/>
  <c r="F2319" i="4"/>
  <c r="G2319" i="4" s="1"/>
  <c r="I161" i="15" l="1"/>
  <c r="G2323" i="4"/>
  <c r="X1262" i="1" l="1"/>
  <c r="H1262" i="1" s="1"/>
  <c r="X993" i="15"/>
  <c r="H993" i="15" s="1"/>
  <c r="U993" i="15" s="1"/>
  <c r="AB240" i="1"/>
  <c r="H240" i="1"/>
  <c r="I347" i="4"/>
  <c r="B347" i="4" s="1"/>
  <c r="F347" i="4"/>
  <c r="G347" i="4" s="1"/>
  <c r="I312" i="4"/>
  <c r="B312" i="4" s="1"/>
  <c r="F312" i="4"/>
  <c r="G312" i="4" s="1"/>
  <c r="I1262" i="1" l="1"/>
  <c r="I240" i="1"/>
  <c r="Q239" i="1"/>
  <c r="U239" i="1" s="1"/>
  <c r="C26" i="9" s="1"/>
  <c r="I993" i="15"/>
  <c r="AC993" i="15"/>
  <c r="I2314" i="4"/>
  <c r="F2314" i="4"/>
  <c r="G2314" i="4" s="1"/>
  <c r="I2313" i="4"/>
  <c r="F2313" i="4"/>
  <c r="G2313" i="4" s="1"/>
  <c r="F2312" i="4"/>
  <c r="G2312" i="4" s="1"/>
  <c r="I2311" i="4"/>
  <c r="B2311" i="4" s="1"/>
  <c r="F2311" i="4"/>
  <c r="G2311" i="4" s="1"/>
  <c r="I2310" i="4"/>
  <c r="F2310" i="4"/>
  <c r="G2310" i="4" s="1"/>
  <c r="F2303" i="4"/>
  <c r="G2303" i="4" s="1"/>
  <c r="L26" i="9" l="1"/>
  <c r="K26" i="9"/>
  <c r="J26" i="9"/>
  <c r="AB27" i="9"/>
  <c r="O27" i="9" s="1"/>
  <c r="I239" i="1"/>
  <c r="G2306" i="4"/>
  <c r="X276" i="15" s="1"/>
  <c r="H276" i="15" s="1"/>
  <c r="U276" i="15" s="1"/>
  <c r="G2315" i="4"/>
  <c r="AB1194" i="1"/>
  <c r="X1107" i="1"/>
  <c r="AB1107" i="1"/>
  <c r="F621" i="1"/>
  <c r="F599" i="1"/>
  <c r="F597" i="1"/>
  <c r="X802" i="1"/>
  <c r="AB638" i="1"/>
  <c r="AB637" i="1"/>
  <c r="AB561" i="1"/>
  <c r="X561" i="1"/>
  <c r="AB560" i="1"/>
  <c r="X560" i="1"/>
  <c r="AB559" i="1"/>
  <c r="X559" i="1"/>
  <c r="P27" i="9" l="1"/>
  <c r="P26" i="9" s="1"/>
  <c r="O26" i="9"/>
  <c r="Z597" i="1"/>
  <c r="T597" i="1"/>
  <c r="Z599" i="1"/>
  <c r="T599" i="1"/>
  <c r="Z621" i="1"/>
  <c r="T621" i="1"/>
  <c r="I276" i="15"/>
  <c r="AC276" i="15"/>
  <c r="X355" i="1"/>
  <c r="H355" i="1" s="1"/>
  <c r="X272" i="1"/>
  <c r="X191" i="15"/>
  <c r="H191" i="15" s="1"/>
  <c r="F2298" i="4"/>
  <c r="G2298" i="4" s="1"/>
  <c r="G2299" i="4" s="1"/>
  <c r="F2293" i="4"/>
  <c r="G2293" i="4" s="1"/>
  <c r="G2294" i="4" s="1"/>
  <c r="F2288" i="4"/>
  <c r="G2288" i="4" s="1"/>
  <c r="G2289" i="4" s="1"/>
  <c r="F2283" i="4"/>
  <c r="G2283" i="4" s="1"/>
  <c r="G2284" i="4" s="1"/>
  <c r="I355" i="1" l="1"/>
  <c r="U355" i="1"/>
  <c r="I191" i="15"/>
  <c r="AC191" i="15"/>
  <c r="X572" i="1"/>
  <c r="X453" i="15"/>
  <c r="H453" i="15" s="1"/>
  <c r="U453" i="15" s="1"/>
  <c r="X571" i="1"/>
  <c r="X452" i="15"/>
  <c r="H452" i="15" s="1"/>
  <c r="U452" i="15" s="1"/>
  <c r="X574" i="1"/>
  <c r="H574" i="1" s="1"/>
  <c r="X455" i="15"/>
  <c r="H455" i="15" s="1"/>
  <c r="U455" i="15" s="1"/>
  <c r="X573" i="1"/>
  <c r="X454" i="15"/>
  <c r="H454" i="15" s="1"/>
  <c r="U454" i="15" s="1"/>
  <c r="I574" i="1" l="1"/>
  <c r="U574" i="1"/>
  <c r="I455" i="15"/>
  <c r="AC455" i="15"/>
  <c r="I452" i="15"/>
  <c r="AC452" i="15"/>
  <c r="I454" i="15"/>
  <c r="AC454" i="15"/>
  <c r="I453" i="15"/>
  <c r="AC453" i="15"/>
  <c r="I2276" i="4"/>
  <c r="F2276" i="4"/>
  <c r="G2276" i="4" s="1"/>
  <c r="I2278" i="4"/>
  <c r="F2278" i="4"/>
  <c r="G2278" i="4" s="1"/>
  <c r="I2277" i="4"/>
  <c r="F2277" i="4"/>
  <c r="G2277" i="4" s="1"/>
  <c r="I2271" i="4"/>
  <c r="F2271" i="4"/>
  <c r="G2271" i="4" s="1"/>
  <c r="F2270" i="4"/>
  <c r="G2270" i="4" s="1"/>
  <c r="X55" i="1"/>
  <c r="F2262" i="4"/>
  <c r="G2262" i="4" s="1"/>
  <c r="I2264" i="4"/>
  <c r="F2264" i="4"/>
  <c r="G2264" i="4" s="1"/>
  <c r="I2263" i="4"/>
  <c r="F2263" i="4"/>
  <c r="G2263" i="4" s="1"/>
  <c r="H572" i="1" l="1"/>
  <c r="H573" i="1"/>
  <c r="G2279" i="4"/>
  <c r="G2272" i="4"/>
  <c r="X751" i="1" s="1"/>
  <c r="H751" i="1" s="1"/>
  <c r="G2265" i="4"/>
  <c r="F1645" i="4"/>
  <c r="G1645" i="4" s="1"/>
  <c r="F1912" i="4"/>
  <c r="G1912" i="4" s="1"/>
  <c r="I573" i="1" l="1"/>
  <c r="U573" i="1"/>
  <c r="I572" i="1"/>
  <c r="U572" i="1"/>
  <c r="I751" i="1"/>
  <c r="U751" i="1"/>
  <c r="X582" i="1"/>
  <c r="X463" i="15"/>
  <c r="H463" i="15" s="1"/>
  <c r="U463" i="15" s="1"/>
  <c r="X210" i="1"/>
  <c r="H210" i="1" s="1"/>
  <c r="X139" i="15"/>
  <c r="H139" i="15" s="1"/>
  <c r="U139" i="15" s="1"/>
  <c r="I2256" i="4"/>
  <c r="F2256" i="4"/>
  <c r="G2256" i="4" s="1"/>
  <c r="F2255" i="4"/>
  <c r="G2255" i="4" s="1"/>
  <c r="F1703" i="4"/>
  <c r="G1703" i="4" s="1"/>
  <c r="F1700" i="4"/>
  <c r="G1700" i="4" s="1"/>
  <c r="I1702" i="4"/>
  <c r="F1702" i="4"/>
  <c r="G1702" i="4" s="1"/>
  <c r="I1701" i="4"/>
  <c r="F1701" i="4"/>
  <c r="G1701" i="4" s="1"/>
  <c r="I1698" i="4"/>
  <c r="F1698" i="4"/>
  <c r="G1698" i="4" s="1"/>
  <c r="I1697" i="4"/>
  <c r="F1697" i="4"/>
  <c r="G1697" i="4" s="1"/>
  <c r="F1691" i="4"/>
  <c r="G1691" i="4" s="1"/>
  <c r="F1688" i="4"/>
  <c r="G1688" i="4" s="1"/>
  <c r="I1686" i="4"/>
  <c r="F1686" i="4"/>
  <c r="G1686" i="4" s="1"/>
  <c r="I1685" i="4"/>
  <c r="F1685" i="4"/>
  <c r="G1685" i="4" s="1"/>
  <c r="I1690" i="4"/>
  <c r="F1690" i="4"/>
  <c r="G1690" i="4" s="1"/>
  <c r="I1689" i="4"/>
  <c r="F1689" i="4"/>
  <c r="G1689" i="4" s="1"/>
  <c r="F1679" i="4"/>
  <c r="G1679" i="4" s="1"/>
  <c r="F1676" i="4"/>
  <c r="G1676" i="4" s="1"/>
  <c r="I1674" i="4"/>
  <c r="F1674" i="4"/>
  <c r="G1674" i="4" s="1"/>
  <c r="I1673" i="4"/>
  <c r="F1673" i="4"/>
  <c r="G1673" i="4" s="1"/>
  <c r="I1677" i="4"/>
  <c r="F1677" i="4"/>
  <c r="G1677" i="4" s="1"/>
  <c r="I1678" i="4"/>
  <c r="F1678" i="4"/>
  <c r="G1678" i="4" s="1"/>
  <c r="I210" i="1" l="1"/>
  <c r="I139" i="15"/>
  <c r="AC139" i="15"/>
  <c r="I463" i="15"/>
  <c r="AC463" i="15"/>
  <c r="G2257" i="4"/>
  <c r="G1704" i="4"/>
  <c r="G1692" i="4"/>
  <c r="G1680" i="4"/>
  <c r="X1196" i="1" l="1"/>
  <c r="H1196" i="1" s="1"/>
  <c r="X928" i="15"/>
  <c r="H928" i="15" s="1"/>
  <c r="U928" i="15" s="1"/>
  <c r="X1181" i="1"/>
  <c r="H1181" i="1" s="1"/>
  <c r="X912" i="15"/>
  <c r="H912" i="15" s="1"/>
  <c r="U912" i="15" s="1"/>
  <c r="X1203" i="1"/>
  <c r="H1203" i="1" s="1"/>
  <c r="X935" i="15"/>
  <c r="H935" i="15" s="1"/>
  <c r="U935" i="15" s="1"/>
  <c r="X1199" i="1"/>
  <c r="H1199" i="1" s="1"/>
  <c r="X931" i="15"/>
  <c r="H931" i="15" s="1"/>
  <c r="U931" i="15" s="1"/>
  <c r="I1667" i="4"/>
  <c r="F1667" i="4"/>
  <c r="G1667" i="4" s="1"/>
  <c r="I1666" i="4"/>
  <c r="F1666" i="4"/>
  <c r="G1666" i="4" s="1"/>
  <c r="G1661" i="4"/>
  <c r="F1630" i="4"/>
  <c r="G1630" i="4" s="1"/>
  <c r="F1640" i="4"/>
  <c r="G1640" i="4" s="1"/>
  <c r="F1635" i="4"/>
  <c r="G1635" i="4" s="1"/>
  <c r="F1650" i="4"/>
  <c r="G1650" i="4" s="1"/>
  <c r="F1655" i="4"/>
  <c r="G1655" i="4" s="1"/>
  <c r="I1196" i="1" l="1"/>
  <c r="I1203" i="1"/>
  <c r="I1181" i="1"/>
  <c r="I1199" i="1"/>
  <c r="I931" i="15"/>
  <c r="AC931" i="15"/>
  <c r="I935" i="15"/>
  <c r="AC935" i="15"/>
  <c r="I912" i="15"/>
  <c r="AC912" i="15"/>
  <c r="I928" i="15"/>
  <c r="AC928" i="15"/>
  <c r="X1179" i="1"/>
  <c r="H1179" i="1" s="1"/>
  <c r="X911" i="15"/>
  <c r="H911" i="15" s="1"/>
  <c r="U911" i="15" s="1"/>
  <c r="G1668" i="4"/>
  <c r="I1179" i="1" l="1"/>
  <c r="I911" i="15"/>
  <c r="AC911" i="15"/>
  <c r="X1180" i="1"/>
  <c r="H1180" i="1" s="1"/>
  <c r="X913" i="15"/>
  <c r="H913" i="15" s="1"/>
  <c r="U913" i="15" s="1"/>
  <c r="G1656" i="4"/>
  <c r="G1651" i="4"/>
  <c r="G1641" i="4"/>
  <c r="G1646" i="4"/>
  <c r="X1174" i="1" s="1"/>
  <c r="G1636" i="4"/>
  <c r="G1631" i="4"/>
  <c r="X1171" i="1" s="1"/>
  <c r="I1180" i="1" l="1"/>
  <c r="I913" i="15"/>
  <c r="AC913" i="15"/>
  <c r="X1175" i="1"/>
  <c r="H1175" i="1" s="1"/>
  <c r="X907" i="15"/>
  <c r="H907" i="15" s="1"/>
  <c r="U907" i="15" s="1"/>
  <c r="H1174" i="1"/>
  <c r="H1171" i="1"/>
  <c r="X1173" i="1"/>
  <c r="X906" i="15"/>
  <c r="X1172" i="1"/>
  <c r="X904" i="15"/>
  <c r="X1176" i="1"/>
  <c r="X908" i="15"/>
  <c r="X1170" i="1"/>
  <c r="X1169" i="1"/>
  <c r="X1168" i="1"/>
  <c r="I1174" i="1" l="1"/>
  <c r="I1175" i="1"/>
  <c r="I1171" i="1"/>
  <c r="I907" i="15"/>
  <c r="AC907" i="15"/>
  <c r="H906" i="15"/>
  <c r="U906" i="15" s="1"/>
  <c r="X905" i="15"/>
  <c r="H905" i="15" s="1"/>
  <c r="U905" i="15" s="1"/>
  <c r="H908" i="15"/>
  <c r="U908" i="15" s="1"/>
  <c r="H904" i="15"/>
  <c r="U904" i="15" s="1"/>
  <c r="H1170" i="1"/>
  <c r="H1169" i="1"/>
  <c r="H1168" i="1"/>
  <c r="H1172" i="1"/>
  <c r="H1173" i="1"/>
  <c r="H1176" i="1"/>
  <c r="X1167" i="1"/>
  <c r="I1176" i="1" l="1"/>
  <c r="I1173" i="1"/>
  <c r="I1170" i="1"/>
  <c r="I1169" i="1"/>
  <c r="I1168" i="1"/>
  <c r="I1172" i="1"/>
  <c r="I904" i="15"/>
  <c r="AC904" i="15"/>
  <c r="I908" i="15"/>
  <c r="AC908" i="15"/>
  <c r="I905" i="15"/>
  <c r="AC905" i="15"/>
  <c r="I906" i="15"/>
  <c r="AC906" i="15"/>
  <c r="H1167" i="1"/>
  <c r="F2250" i="4"/>
  <c r="I2185" i="4"/>
  <c r="I2228" i="4"/>
  <c r="I2234" i="4"/>
  <c r="I2233" i="4"/>
  <c r="I2217" i="4"/>
  <c r="I2204" i="4"/>
  <c r="I2203" i="4"/>
  <c r="I2202" i="4"/>
  <c r="I2195" i="4"/>
  <c r="I2194" i="4"/>
  <c r="I2193" i="4"/>
  <c r="I2192" i="4"/>
  <c r="I2132" i="4"/>
  <c r="I2126" i="4"/>
  <c r="I2119" i="4"/>
  <c r="I2077" i="4"/>
  <c r="I2064" i="4"/>
  <c r="I2021" i="4"/>
  <c r="I1988" i="4"/>
  <c r="I1979" i="4"/>
  <c r="I1925" i="4"/>
  <c r="I1920" i="4"/>
  <c r="I1911" i="4"/>
  <c r="I1909" i="4"/>
  <c r="I1908" i="4"/>
  <c r="I1900" i="4"/>
  <c r="I1882" i="4"/>
  <c r="I1860" i="4"/>
  <c r="I1859" i="4"/>
  <c r="I1851" i="4"/>
  <c r="I1850" i="4"/>
  <c r="I1849" i="4"/>
  <c r="I1848" i="4"/>
  <c r="I2245" i="4"/>
  <c r="I2244" i="4"/>
  <c r="I2243" i="4"/>
  <c r="I2237" i="4"/>
  <c r="I2236" i="4"/>
  <c r="I2212" i="4"/>
  <c r="I2218" i="4"/>
  <c r="I2206" i="4"/>
  <c r="I2205" i="4"/>
  <c r="I2197" i="4"/>
  <c r="I2196" i="4"/>
  <c r="I2184" i="4"/>
  <c r="I2187" i="4"/>
  <c r="I2186" i="4"/>
  <c r="I2149" i="4"/>
  <c r="I2148" i="4"/>
  <c r="I2142" i="4"/>
  <c r="I2141" i="4"/>
  <c r="I2133" i="4"/>
  <c r="I2135" i="4"/>
  <c r="I2134" i="4"/>
  <c r="I2127" i="4"/>
  <c r="I2120" i="4"/>
  <c r="I2112" i="4"/>
  <c r="I2104" i="4"/>
  <c r="I2103" i="4"/>
  <c r="I2096" i="4"/>
  <c r="I2095" i="4"/>
  <c r="I2080" i="4"/>
  <c r="I2079" i="4"/>
  <c r="I2071" i="4"/>
  <c r="I2065" i="4"/>
  <c r="I2059" i="4"/>
  <c r="I2058" i="4"/>
  <c r="I2051" i="4"/>
  <c r="I2050" i="4"/>
  <c r="I2044" i="4"/>
  <c r="I2043" i="4"/>
  <c r="I2037" i="4"/>
  <c r="I2031" i="4"/>
  <c r="I2030" i="4"/>
  <c r="I2024" i="4"/>
  <c r="I2023" i="4"/>
  <c r="I2016" i="4"/>
  <c r="I2015" i="4"/>
  <c r="I2009" i="4"/>
  <c r="I2003" i="4"/>
  <c r="I2002" i="4"/>
  <c r="I1996" i="4"/>
  <c r="I1990" i="4"/>
  <c r="I1989" i="4"/>
  <c r="I1982" i="4"/>
  <c r="I1981" i="4"/>
  <c r="I1973" i="4"/>
  <c r="I1972" i="4"/>
  <c r="I1966" i="4"/>
  <c r="I1965" i="4"/>
  <c r="I1959" i="4"/>
  <c r="I1953" i="4"/>
  <c r="I1952" i="4"/>
  <c r="I1946" i="4"/>
  <c r="I1945" i="4"/>
  <c r="I1939" i="4"/>
  <c r="I1938" i="4"/>
  <c r="I1927" i="4"/>
  <c r="I1926" i="4"/>
  <c r="I1914" i="4"/>
  <c r="I1913" i="4"/>
  <c r="I1902" i="4"/>
  <c r="I1901" i="4"/>
  <c r="I1894" i="4"/>
  <c r="I1893" i="4"/>
  <c r="I1892" i="4"/>
  <c r="I1891" i="4"/>
  <c r="I1885" i="4"/>
  <c r="I1884" i="4"/>
  <c r="I1876" i="4"/>
  <c r="I1875" i="4"/>
  <c r="I1868" i="4"/>
  <c r="I1867" i="4"/>
  <c r="I1861" i="4"/>
  <c r="I1854" i="4"/>
  <c r="I1853" i="4"/>
  <c r="I1852" i="4"/>
  <c r="I1326" i="4"/>
  <c r="F1326" i="4"/>
  <c r="G1326" i="4" s="1"/>
  <c r="AB1099" i="1"/>
  <c r="F1101" i="1"/>
  <c r="AB1100" i="1"/>
  <c r="F1490" i="4"/>
  <c r="G1490" i="4" s="1"/>
  <c r="Z1101" i="1" l="1"/>
  <c r="T1101" i="1"/>
  <c r="I1167" i="1"/>
  <c r="G2250" i="4"/>
  <c r="G2251" i="4" s="1"/>
  <c r="X546" i="15" l="1"/>
  <c r="H546" i="15" s="1"/>
  <c r="U546" i="15" s="1"/>
  <c r="X663" i="1"/>
  <c r="H663" i="1" s="1"/>
  <c r="F326" i="1"/>
  <c r="F2242" i="4"/>
  <c r="G2242" i="4" s="1"/>
  <c r="F2243" i="4"/>
  <c r="G2243" i="4" s="1"/>
  <c r="F2244" i="4"/>
  <c r="G2244" i="4" s="1"/>
  <c r="F2245" i="4"/>
  <c r="G2245" i="4" s="1"/>
  <c r="F273" i="1"/>
  <c r="T273" i="1" s="1"/>
  <c r="Z326" i="1" l="1"/>
  <c r="T326" i="1"/>
  <c r="I663" i="1"/>
  <c r="U663" i="1"/>
  <c r="Z273" i="1"/>
  <c r="I546" i="15"/>
  <c r="AC546" i="15"/>
  <c r="G2246" i="4"/>
  <c r="X471" i="1" l="1"/>
  <c r="X388" i="15"/>
  <c r="H388" i="15" s="1"/>
  <c r="U388" i="15" s="1"/>
  <c r="F2233" i="4"/>
  <c r="G2233" i="4" s="1"/>
  <c r="F2234" i="4"/>
  <c r="G2234" i="4" s="1"/>
  <c r="F2235" i="4"/>
  <c r="G2235" i="4" s="1"/>
  <c r="F2236" i="4"/>
  <c r="G2236" i="4" s="1"/>
  <c r="F2237" i="4"/>
  <c r="G2237" i="4" s="1"/>
  <c r="B2237" i="4"/>
  <c r="F2228" i="4"/>
  <c r="G2228" i="4" s="1"/>
  <c r="F2223" i="4"/>
  <c r="G2223" i="4" s="1"/>
  <c r="F2224" i="4"/>
  <c r="G2224" i="4" s="1"/>
  <c r="F2225" i="4"/>
  <c r="G2225" i="4" s="1"/>
  <c r="F2226" i="4"/>
  <c r="G2226" i="4" s="1"/>
  <c r="F2227" i="4"/>
  <c r="G2227" i="4" s="1"/>
  <c r="F2211" i="4"/>
  <c r="G2211" i="4" s="1"/>
  <c r="F2212" i="4"/>
  <c r="G2212" i="4" s="1"/>
  <c r="B2212" i="4"/>
  <c r="F2217" i="4"/>
  <c r="G2217" i="4" s="1"/>
  <c r="F2218" i="4"/>
  <c r="G2218" i="4" s="1"/>
  <c r="B2218" i="4"/>
  <c r="F2192" i="4"/>
  <c r="G2192" i="4" s="1"/>
  <c r="B2192" i="4"/>
  <c r="F2193" i="4"/>
  <c r="G2193" i="4" s="1"/>
  <c r="B2193" i="4"/>
  <c r="F2194" i="4"/>
  <c r="G2194" i="4" s="1"/>
  <c r="B2194" i="4"/>
  <c r="F2195" i="4"/>
  <c r="G2195" i="4" s="1"/>
  <c r="B2195" i="4"/>
  <c r="F2196" i="4"/>
  <c r="G2196" i="4" s="1"/>
  <c r="F2197" i="4"/>
  <c r="G2197" i="4" s="1"/>
  <c r="F2202" i="4"/>
  <c r="G2202" i="4" s="1"/>
  <c r="B2202" i="4"/>
  <c r="F2203" i="4"/>
  <c r="G2203" i="4" s="1"/>
  <c r="B2203" i="4"/>
  <c r="F2204" i="4"/>
  <c r="G2204" i="4" s="1"/>
  <c r="B2204" i="4"/>
  <c r="F2205" i="4"/>
  <c r="G2205" i="4" s="1"/>
  <c r="F2206" i="4"/>
  <c r="G2206" i="4" s="1"/>
  <c r="F2184" i="4"/>
  <c r="G2184" i="4" s="1"/>
  <c r="B2184" i="4"/>
  <c r="F2185" i="4"/>
  <c r="G2185" i="4" s="1"/>
  <c r="B2185" i="4"/>
  <c r="F2186" i="4"/>
  <c r="G2186" i="4" s="1"/>
  <c r="B2186" i="4"/>
  <c r="F2187" i="4"/>
  <c r="G2187" i="4" s="1"/>
  <c r="B2187" i="4"/>
  <c r="F2154" i="4"/>
  <c r="F2159" i="4"/>
  <c r="F2164" i="4"/>
  <c r="F2169" i="4"/>
  <c r="F2174" i="4"/>
  <c r="F2179" i="4"/>
  <c r="F2140" i="4"/>
  <c r="G2140" i="4" s="1"/>
  <c r="F2141" i="4"/>
  <c r="G2141" i="4" s="1"/>
  <c r="F2142" i="4"/>
  <c r="G2142" i="4" s="1"/>
  <c r="F2147" i="4"/>
  <c r="G2147" i="4" s="1"/>
  <c r="F2148" i="4"/>
  <c r="G2148" i="4" s="1"/>
  <c r="F2149" i="4"/>
  <c r="G2149" i="4" s="1"/>
  <c r="F2132" i="4"/>
  <c r="G2132" i="4" s="1"/>
  <c r="F2133" i="4"/>
  <c r="G2133" i="4" s="1"/>
  <c r="F2134" i="4"/>
  <c r="G2134" i="4" s="1"/>
  <c r="F2135" i="4"/>
  <c r="G2135" i="4" s="1"/>
  <c r="F2101" i="4"/>
  <c r="G2101" i="4" s="1"/>
  <c r="F2102" i="4"/>
  <c r="G2102" i="4" s="1"/>
  <c r="F2103" i="4"/>
  <c r="G2103" i="4" s="1"/>
  <c r="F2104" i="4"/>
  <c r="G2104" i="4" s="1"/>
  <c r="F2110" i="4"/>
  <c r="G2110" i="4" s="1"/>
  <c r="F2111" i="4"/>
  <c r="G2111" i="4" s="1"/>
  <c r="F2112" i="4"/>
  <c r="G2112" i="4" s="1"/>
  <c r="F2118" i="4"/>
  <c r="G2118" i="4" s="1"/>
  <c r="F2119" i="4"/>
  <c r="G2119" i="4" s="1"/>
  <c r="F2120" i="4"/>
  <c r="G2120" i="4" s="1"/>
  <c r="F2125" i="4"/>
  <c r="G2125" i="4" s="1"/>
  <c r="F2126" i="4"/>
  <c r="G2126" i="4" s="1"/>
  <c r="F2127" i="4"/>
  <c r="G2127" i="4" s="1"/>
  <c r="F2076" i="4"/>
  <c r="G2076" i="4" s="1"/>
  <c r="F2077" i="4"/>
  <c r="G2077" i="4" s="1"/>
  <c r="F2078" i="4"/>
  <c r="G2078" i="4" s="1"/>
  <c r="F2079" i="4"/>
  <c r="G2079" i="4" s="1"/>
  <c r="F2080" i="4"/>
  <c r="G2080" i="4" s="1"/>
  <c r="F2085" i="4"/>
  <c r="F2091" i="4"/>
  <c r="G2091" i="4" s="1"/>
  <c r="F2092" i="4"/>
  <c r="G2092" i="4" s="1"/>
  <c r="F2093" i="4"/>
  <c r="G2093" i="4" s="1"/>
  <c r="F2094" i="4"/>
  <c r="G2094" i="4" s="1"/>
  <c r="F2095" i="4"/>
  <c r="G2095" i="4" s="1"/>
  <c r="F2096" i="4"/>
  <c r="G2096" i="4" s="1"/>
  <c r="F2064" i="4"/>
  <c r="G2064" i="4" s="1"/>
  <c r="F2065" i="4"/>
  <c r="G2065" i="4" s="1"/>
  <c r="F2070" i="4"/>
  <c r="G2070" i="4" s="1"/>
  <c r="F2071" i="4"/>
  <c r="G2071" i="4" s="1"/>
  <c r="F2056" i="4"/>
  <c r="G2056" i="4" s="1"/>
  <c r="F2057" i="4"/>
  <c r="G2057" i="4" s="1"/>
  <c r="F2058" i="4"/>
  <c r="G2058" i="4" s="1"/>
  <c r="F2059" i="4"/>
  <c r="G2059" i="4" s="1"/>
  <c r="F2042" i="4"/>
  <c r="G2042" i="4" s="1"/>
  <c r="F2043" i="4"/>
  <c r="G2043" i="4" s="1"/>
  <c r="F2044" i="4"/>
  <c r="G2044" i="4" s="1"/>
  <c r="F2049" i="4"/>
  <c r="G2049" i="4" s="1"/>
  <c r="F2050" i="4"/>
  <c r="G2050" i="4" s="1"/>
  <c r="F2051" i="4"/>
  <c r="G2051" i="4" s="1"/>
  <c r="F2036" i="4"/>
  <c r="G2036" i="4" s="1"/>
  <c r="F2037" i="4"/>
  <c r="G2037" i="4" s="1"/>
  <c r="F2029" i="4"/>
  <c r="G2029" i="4" s="1"/>
  <c r="F2030" i="4"/>
  <c r="G2030" i="4" s="1"/>
  <c r="B2030" i="4"/>
  <c r="F2031" i="4"/>
  <c r="G2031" i="4" s="1"/>
  <c r="B2031" i="4"/>
  <c r="F1971" i="4"/>
  <c r="G1971" i="4" s="1"/>
  <c r="F1972" i="4"/>
  <c r="G1972" i="4" s="1"/>
  <c r="F1973" i="4"/>
  <c r="G1973" i="4" s="1"/>
  <c r="F1978" i="4"/>
  <c r="G1978" i="4" s="1"/>
  <c r="F1979" i="4"/>
  <c r="G1979" i="4" s="1"/>
  <c r="F1980" i="4"/>
  <c r="G1980" i="4" s="1"/>
  <c r="F1981" i="4"/>
  <c r="G1981" i="4" s="1"/>
  <c r="F1982" i="4"/>
  <c r="G1982" i="4" s="1"/>
  <c r="B1982" i="4"/>
  <c r="F1987" i="4"/>
  <c r="G1987" i="4" s="1"/>
  <c r="F1988" i="4"/>
  <c r="G1988" i="4" s="1"/>
  <c r="F1989" i="4"/>
  <c r="G1989" i="4" s="1"/>
  <c r="F1990" i="4"/>
  <c r="G1990" i="4" s="1"/>
  <c r="B1990" i="4"/>
  <c r="G1995" i="4"/>
  <c r="F1996" i="4"/>
  <c r="G1996" i="4" s="1"/>
  <c r="F2001" i="4"/>
  <c r="G2001" i="4" s="1"/>
  <c r="F2002" i="4"/>
  <c r="G2002" i="4" s="1"/>
  <c r="F2003" i="4"/>
  <c r="G2003" i="4" s="1"/>
  <c r="F2008" i="4"/>
  <c r="G2008" i="4" s="1"/>
  <c r="F2009" i="4"/>
  <c r="G2009" i="4" s="1"/>
  <c r="F2014" i="4"/>
  <c r="G2014" i="4" s="1"/>
  <c r="F2015" i="4"/>
  <c r="G2015" i="4" s="1"/>
  <c r="F2016" i="4"/>
  <c r="G2016" i="4" s="1"/>
  <c r="B2016" i="4"/>
  <c r="F2021" i="4"/>
  <c r="G2021" i="4" s="1"/>
  <c r="F2022" i="4"/>
  <c r="G2022" i="4" s="1"/>
  <c r="F2023" i="4"/>
  <c r="G2023" i="4" s="1"/>
  <c r="F2024" i="4"/>
  <c r="G2024" i="4" s="1"/>
  <c r="B2024" i="4"/>
  <c r="F1919" i="4"/>
  <c r="G1919" i="4" s="1"/>
  <c r="F1920" i="4"/>
  <c r="G1920" i="4" s="1"/>
  <c r="F1925" i="4"/>
  <c r="G1925" i="4" s="1"/>
  <c r="F1926" i="4"/>
  <c r="G1926" i="4" s="1"/>
  <c r="F1927" i="4"/>
  <c r="G1927" i="4" s="1"/>
  <c r="G1932" i="4"/>
  <c r="G1933" i="4" s="1"/>
  <c r="F1937" i="4"/>
  <c r="G1937" i="4" s="1"/>
  <c r="F1938" i="4"/>
  <c r="G1938" i="4" s="1"/>
  <c r="F1939" i="4"/>
  <c r="G1939" i="4" s="1"/>
  <c r="F1944" i="4"/>
  <c r="G1944" i="4" s="1"/>
  <c r="F1945" i="4"/>
  <c r="G1945" i="4" s="1"/>
  <c r="F1946" i="4"/>
  <c r="G1946" i="4" s="1"/>
  <c r="B1946" i="4"/>
  <c r="F1951" i="4"/>
  <c r="G1951" i="4" s="1"/>
  <c r="F1952" i="4"/>
  <c r="G1952" i="4" s="1"/>
  <c r="F1953" i="4"/>
  <c r="G1953" i="4" s="1"/>
  <c r="F1958" i="4"/>
  <c r="G1958" i="4" s="1"/>
  <c r="F1959" i="4"/>
  <c r="G1959" i="4" s="1"/>
  <c r="F1964" i="4"/>
  <c r="G1964" i="4" s="1"/>
  <c r="F1965" i="4"/>
  <c r="G1965" i="4" s="1"/>
  <c r="F1966" i="4"/>
  <c r="G1966" i="4" s="1"/>
  <c r="B1966" i="4"/>
  <c r="F1908" i="4"/>
  <c r="G1908" i="4" s="1"/>
  <c r="F1909" i="4"/>
  <c r="G1909" i="4" s="1"/>
  <c r="B1909" i="4"/>
  <c r="F1911" i="4"/>
  <c r="G1911" i="4" s="1"/>
  <c r="B1911" i="4"/>
  <c r="F1913" i="4"/>
  <c r="G1913" i="4" s="1"/>
  <c r="F1914" i="4"/>
  <c r="G1914" i="4" s="1"/>
  <c r="F1899" i="4"/>
  <c r="G1899" i="4" s="1"/>
  <c r="F1900" i="4"/>
  <c r="G1900" i="4" s="1"/>
  <c r="F1901" i="4"/>
  <c r="G1901" i="4" s="1"/>
  <c r="F1902" i="4"/>
  <c r="G1902" i="4" s="1"/>
  <c r="F1890" i="4"/>
  <c r="G1890" i="4" s="1"/>
  <c r="F1891" i="4"/>
  <c r="G1891" i="4" s="1"/>
  <c r="F1892" i="4"/>
  <c r="G1892" i="4" s="1"/>
  <c r="F1893" i="4"/>
  <c r="G1893" i="4" s="1"/>
  <c r="F1894" i="4"/>
  <c r="G1894" i="4" s="1"/>
  <c r="F1866" i="4"/>
  <c r="G1866" i="4" s="1"/>
  <c r="F1867" i="4"/>
  <c r="G1867" i="4" s="1"/>
  <c r="F1868" i="4"/>
  <c r="G1868" i="4" s="1"/>
  <c r="F1874" i="4"/>
  <c r="G1874" i="4" s="1"/>
  <c r="F1875" i="4"/>
  <c r="G1875" i="4" s="1"/>
  <c r="F1876" i="4"/>
  <c r="G1876" i="4" s="1"/>
  <c r="F1882" i="4"/>
  <c r="G1882" i="4" s="1"/>
  <c r="F1883" i="4"/>
  <c r="G1883" i="4" s="1"/>
  <c r="F1884" i="4"/>
  <c r="G1884" i="4" s="1"/>
  <c r="F1885" i="4"/>
  <c r="G1885" i="4" s="1"/>
  <c r="F1859" i="4"/>
  <c r="G1859" i="4" s="1"/>
  <c r="F1860" i="4"/>
  <c r="G1860" i="4" s="1"/>
  <c r="F1861" i="4"/>
  <c r="G1861" i="4" s="1"/>
  <c r="G1843" i="4"/>
  <c r="G1844" i="4" s="1"/>
  <c r="F1848" i="4"/>
  <c r="G1848" i="4" s="1"/>
  <c r="F1849" i="4"/>
  <c r="G1849" i="4" s="1"/>
  <c r="F1850" i="4"/>
  <c r="G1850" i="4" s="1"/>
  <c r="F1851" i="4"/>
  <c r="G1851" i="4" s="1"/>
  <c r="F1852" i="4"/>
  <c r="G1852" i="4" s="1"/>
  <c r="F1853" i="4"/>
  <c r="G1853" i="4" s="1"/>
  <c r="F1854" i="4"/>
  <c r="G1854" i="4" s="1"/>
  <c r="I1821" i="4"/>
  <c r="B1821" i="4" s="1"/>
  <c r="F1821" i="4"/>
  <c r="G1821" i="4" s="1"/>
  <c r="I1822" i="4"/>
  <c r="F1822" i="4"/>
  <c r="G1822" i="4" s="1"/>
  <c r="I388" i="15" l="1"/>
  <c r="AC388" i="15"/>
  <c r="G2169" i="4"/>
  <c r="G2170" i="4" s="1"/>
  <c r="X859" i="15" s="1"/>
  <c r="H859" i="15" s="1"/>
  <c r="U859" i="15" s="1"/>
  <c r="G2174" i="4"/>
  <c r="G2175" i="4" s="1"/>
  <c r="X858" i="15" s="1"/>
  <c r="H858" i="15" s="1"/>
  <c r="U858" i="15" s="1"/>
  <c r="G2154" i="4"/>
  <c r="G2155" i="4" s="1"/>
  <c r="X956" i="15" s="1"/>
  <c r="H956" i="15" s="1"/>
  <c r="U956" i="15" s="1"/>
  <c r="G2085" i="4"/>
  <c r="G2086" i="4" s="1"/>
  <c r="G2164" i="4"/>
  <c r="G2165" i="4" s="1"/>
  <c r="X570" i="15" s="1"/>
  <c r="H570" i="15" s="1"/>
  <c r="U570" i="15" s="1"/>
  <c r="G2179" i="4"/>
  <c r="G2180" i="4" s="1"/>
  <c r="X860" i="15" s="1"/>
  <c r="H860" i="15" s="1"/>
  <c r="U860" i="15" s="1"/>
  <c r="G2159" i="4"/>
  <c r="G2160" i="4" s="1"/>
  <c r="X569" i="15" s="1"/>
  <c r="H569" i="15" s="1"/>
  <c r="U569" i="15" s="1"/>
  <c r="X541" i="15"/>
  <c r="H541" i="15" s="1"/>
  <c r="U541" i="15" s="1"/>
  <c r="X866" i="15"/>
  <c r="H866" i="15" s="1"/>
  <c r="U866" i="15" s="1"/>
  <c r="X451" i="15"/>
  <c r="H451" i="15" s="1"/>
  <c r="U451" i="15" s="1"/>
  <c r="G2238" i="4"/>
  <c r="G2229" i="4"/>
  <c r="X544" i="15" s="1"/>
  <c r="H544" i="15" s="1"/>
  <c r="U544" i="15" s="1"/>
  <c r="G2010" i="4"/>
  <c r="X461" i="15" s="1"/>
  <c r="H461" i="15" s="1"/>
  <c r="U461" i="15" s="1"/>
  <c r="G1997" i="4"/>
  <c r="G2150" i="4"/>
  <c r="X871" i="15" s="1"/>
  <c r="H871" i="15" s="1"/>
  <c r="U871" i="15" s="1"/>
  <c r="G2105" i="4"/>
  <c r="G2198" i="4"/>
  <c r="G1895" i="4"/>
  <c r="X720" i="15" s="1"/>
  <c r="H720" i="15" s="1"/>
  <c r="U720" i="15" s="1"/>
  <c r="G2032" i="4"/>
  <c r="G2060" i="4"/>
  <c r="G1967" i="4"/>
  <c r="X850" i="15" s="1"/>
  <c r="H850" i="15" s="1"/>
  <c r="U850" i="15" s="1"/>
  <c r="G1921" i="4"/>
  <c r="G2025" i="4"/>
  <c r="X605" i="15" s="1"/>
  <c r="H605" i="15" s="1"/>
  <c r="U605" i="15" s="1"/>
  <c r="G2017" i="4"/>
  <c r="X465" i="15" s="1"/>
  <c r="H465" i="15" s="1"/>
  <c r="U465" i="15" s="1"/>
  <c r="G2213" i="4"/>
  <c r="X996" i="15" s="1"/>
  <c r="H996" i="15" s="1"/>
  <c r="U996" i="15" s="1"/>
  <c r="G2066" i="4"/>
  <c r="X260" i="15" s="1"/>
  <c r="H260" i="15" s="1"/>
  <c r="U260" i="15" s="1"/>
  <c r="G2121" i="4"/>
  <c r="X192" i="15" s="1"/>
  <c r="H192" i="15" s="1"/>
  <c r="Q188" i="15" s="1"/>
  <c r="U188" i="15" s="1"/>
  <c r="G2113" i="4"/>
  <c r="G2136" i="4"/>
  <c r="X986" i="15" s="1"/>
  <c r="H986" i="15" s="1"/>
  <c r="U986" i="15" s="1"/>
  <c r="G2188" i="4"/>
  <c r="X78" i="15" s="1"/>
  <c r="H78" i="15" s="1"/>
  <c r="G2143" i="4"/>
  <c r="X865" i="15" s="1"/>
  <c r="H865" i="15" s="1"/>
  <c r="U865" i="15" s="1"/>
  <c r="G1869" i="4"/>
  <c r="G1903" i="4"/>
  <c r="X604" i="15" s="1"/>
  <c r="H604" i="15" s="1"/>
  <c r="U604" i="15" s="1"/>
  <c r="G1947" i="4"/>
  <c r="X857" i="15" s="1"/>
  <c r="H857" i="15" s="1"/>
  <c r="U857" i="15" s="1"/>
  <c r="G2045" i="4"/>
  <c r="X397" i="15" s="1"/>
  <c r="H397" i="15" s="1"/>
  <c r="U397" i="15" s="1"/>
  <c r="G2072" i="4"/>
  <c r="X261" i="15" s="1"/>
  <c r="H261" i="15" s="1"/>
  <c r="U261" i="15" s="1"/>
  <c r="G2219" i="4"/>
  <c r="X997" i="15" s="1"/>
  <c r="H997" i="15" s="1"/>
  <c r="U997" i="15" s="1"/>
  <c r="G2207" i="4"/>
  <c r="X631" i="15" s="1"/>
  <c r="H631" i="15" s="1"/>
  <c r="U631" i="15" s="1"/>
  <c r="G2128" i="4"/>
  <c r="X184" i="15" s="1"/>
  <c r="H184" i="15" s="1"/>
  <c r="G2081" i="4"/>
  <c r="X252" i="15" s="1"/>
  <c r="H252" i="15" s="1"/>
  <c r="U252" i="15" s="1"/>
  <c r="G2097" i="4"/>
  <c r="G2052" i="4"/>
  <c r="G2038" i="4"/>
  <c r="X399" i="15" s="1"/>
  <c r="H399" i="15" s="1"/>
  <c r="U399" i="15" s="1"/>
  <c r="G2004" i="4"/>
  <c r="X657" i="1" s="1"/>
  <c r="G1991" i="4"/>
  <c r="X505" i="15" s="1"/>
  <c r="H505" i="15" s="1"/>
  <c r="U505" i="15" s="1"/>
  <c r="G1974" i="4"/>
  <c r="X545" i="15" s="1"/>
  <c r="H545" i="15" s="1"/>
  <c r="U545" i="15" s="1"/>
  <c r="G1983" i="4"/>
  <c r="X506" i="15" s="1"/>
  <c r="H506" i="15" s="1"/>
  <c r="U506" i="15" s="1"/>
  <c r="G1954" i="4"/>
  <c r="X863" i="15" s="1"/>
  <c r="H863" i="15" s="1"/>
  <c r="U863" i="15" s="1"/>
  <c r="G1960" i="4"/>
  <c r="X864" i="15" s="1"/>
  <c r="H864" i="15" s="1"/>
  <c r="U864" i="15" s="1"/>
  <c r="G1940" i="4"/>
  <c r="G1928" i="4"/>
  <c r="X849" i="15" s="1"/>
  <c r="H849" i="15" s="1"/>
  <c r="U849" i="15" s="1"/>
  <c r="G1915" i="4"/>
  <c r="X934" i="15" s="1"/>
  <c r="H934" i="15" s="1"/>
  <c r="U934" i="15" s="1"/>
  <c r="G1886" i="4"/>
  <c r="X630" i="15" s="1"/>
  <c r="H630" i="15" s="1"/>
  <c r="U630" i="15" s="1"/>
  <c r="G1877" i="4"/>
  <c r="G1862" i="4"/>
  <c r="X254" i="15" s="1"/>
  <c r="H254" i="15" s="1"/>
  <c r="U254" i="15" s="1"/>
  <c r="G1855" i="4"/>
  <c r="I1836" i="4"/>
  <c r="F1836" i="4"/>
  <c r="G1836" i="4" s="1"/>
  <c r="F1349" i="4"/>
  <c r="G1349" i="4" s="1"/>
  <c r="G1350" i="4" s="1"/>
  <c r="I1837" i="4"/>
  <c r="F1837" i="4"/>
  <c r="G1837" i="4" s="1"/>
  <c r="I1829" i="4"/>
  <c r="F1829" i="4"/>
  <c r="G1829" i="4" s="1"/>
  <c r="I1772" i="4"/>
  <c r="F1772" i="4"/>
  <c r="G1772" i="4" s="1"/>
  <c r="I1773" i="4"/>
  <c r="F1773" i="4"/>
  <c r="G1773" i="4" s="1"/>
  <c r="I1767" i="4"/>
  <c r="F1767" i="4"/>
  <c r="G1767" i="4" s="1"/>
  <c r="G1768" i="4" s="1"/>
  <c r="I1762" i="4"/>
  <c r="F1762" i="4"/>
  <c r="G1762" i="4" s="1"/>
  <c r="F1761" i="4"/>
  <c r="G1761" i="4" s="1"/>
  <c r="I1756" i="4"/>
  <c r="F1756" i="4"/>
  <c r="G1756" i="4" s="1"/>
  <c r="I1755" i="4"/>
  <c r="F1755" i="4"/>
  <c r="G1755" i="4" s="1"/>
  <c r="I1750" i="4"/>
  <c r="F1750" i="4"/>
  <c r="G1750" i="4" s="1"/>
  <c r="F1749" i="4"/>
  <c r="G1749" i="4" s="1"/>
  <c r="I1732" i="4"/>
  <c r="F1732" i="4"/>
  <c r="G1732" i="4" s="1"/>
  <c r="I1731" i="4"/>
  <c r="F1731" i="4"/>
  <c r="G1731" i="4" s="1"/>
  <c r="I1730" i="4"/>
  <c r="F1730" i="4"/>
  <c r="F1567" i="4"/>
  <c r="G1567" i="4" s="1"/>
  <c r="I1569" i="4"/>
  <c r="F1569" i="4"/>
  <c r="G1569" i="4" s="1"/>
  <c r="I1568" i="4"/>
  <c r="B1568" i="4" s="1"/>
  <c r="F1568" i="4"/>
  <c r="G1568" i="4" s="1"/>
  <c r="F1560" i="4"/>
  <c r="G1560" i="4" s="1"/>
  <c r="I1562" i="4"/>
  <c r="F1562" i="4"/>
  <c r="G1562" i="4" s="1"/>
  <c r="I1561" i="4"/>
  <c r="B1561" i="4" s="1"/>
  <c r="F1561" i="4"/>
  <c r="G1561" i="4" s="1"/>
  <c r="F1390" i="4"/>
  <c r="G1390" i="4" s="1"/>
  <c r="F1389" i="4"/>
  <c r="G1389" i="4" s="1"/>
  <c r="H723" i="1"/>
  <c r="F1835" i="4"/>
  <c r="G1835" i="4" s="1"/>
  <c r="F1828" i="4"/>
  <c r="G1828" i="4" s="1"/>
  <c r="I190" i="4"/>
  <c r="F190" i="4"/>
  <c r="G190" i="4" s="1"/>
  <c r="I189" i="4"/>
  <c r="F189" i="4"/>
  <c r="G189" i="4" s="1"/>
  <c r="F188" i="4"/>
  <c r="G188" i="4" s="1"/>
  <c r="F187" i="4"/>
  <c r="G187" i="4" s="1"/>
  <c r="F186" i="4"/>
  <c r="G186" i="4" s="1"/>
  <c r="F196" i="4"/>
  <c r="G196" i="4" s="1"/>
  <c r="G197" i="4" s="1"/>
  <c r="X208" i="1" s="1"/>
  <c r="H208" i="1" s="1"/>
  <c r="Q568" i="15" l="1"/>
  <c r="U568" i="15" s="1"/>
  <c r="X978" i="15"/>
  <c r="H978" i="15" s="1"/>
  <c r="I978" i="15" s="1"/>
  <c r="X1248" i="1"/>
  <c r="X979" i="15"/>
  <c r="H979" i="15" s="1"/>
  <c r="I979" i="15" s="1"/>
  <c r="X1249" i="1"/>
  <c r="I723" i="1"/>
  <c r="U723" i="1"/>
  <c r="I208" i="1"/>
  <c r="I545" i="15"/>
  <c r="AC545" i="15"/>
  <c r="I631" i="15"/>
  <c r="AC631" i="15"/>
  <c r="I78" i="15"/>
  <c r="AC78" i="15"/>
  <c r="I860" i="15"/>
  <c r="AC860" i="15"/>
  <c r="I850" i="15"/>
  <c r="AC850" i="15"/>
  <c r="I261" i="15"/>
  <c r="AC261" i="15"/>
  <c r="I544" i="15"/>
  <c r="AC544" i="15"/>
  <c r="I505" i="15"/>
  <c r="AC505" i="15"/>
  <c r="I192" i="15"/>
  <c r="AC192" i="15"/>
  <c r="I956" i="15"/>
  <c r="AC956" i="15"/>
  <c r="I461" i="15"/>
  <c r="AC461" i="15"/>
  <c r="I397" i="15"/>
  <c r="AC397" i="15"/>
  <c r="I857" i="15"/>
  <c r="AC857" i="15"/>
  <c r="I260" i="15"/>
  <c r="AC260" i="15"/>
  <c r="I720" i="15"/>
  <c r="AC720" i="15"/>
  <c r="I451" i="15"/>
  <c r="AC451" i="15"/>
  <c r="I858" i="15"/>
  <c r="AC858" i="15"/>
  <c r="I997" i="15"/>
  <c r="AC997" i="15"/>
  <c r="I864" i="15"/>
  <c r="AC864" i="15"/>
  <c r="I604" i="15"/>
  <c r="AC604" i="15"/>
  <c r="I996" i="15"/>
  <c r="AC996" i="15"/>
  <c r="I866" i="15"/>
  <c r="AC866" i="15"/>
  <c r="I859" i="15"/>
  <c r="AC859" i="15"/>
  <c r="I630" i="15"/>
  <c r="AC630" i="15"/>
  <c r="I570" i="15"/>
  <c r="AC570" i="15"/>
  <c r="I399" i="15"/>
  <c r="AC399" i="15"/>
  <c r="I863" i="15"/>
  <c r="AC863" i="15"/>
  <c r="I252" i="15"/>
  <c r="AC252" i="15"/>
  <c r="I465" i="15"/>
  <c r="AC465" i="15"/>
  <c r="I541" i="15"/>
  <c r="AC541" i="15"/>
  <c r="I986" i="15"/>
  <c r="AC986" i="15"/>
  <c r="I934" i="15"/>
  <c r="AC934" i="15"/>
  <c r="I849" i="15"/>
  <c r="AC849" i="15"/>
  <c r="I254" i="15"/>
  <c r="AC254" i="15"/>
  <c r="I506" i="15"/>
  <c r="AC506" i="15"/>
  <c r="I184" i="15"/>
  <c r="AC184" i="15"/>
  <c r="I865" i="15"/>
  <c r="AC865" i="15"/>
  <c r="I605" i="15"/>
  <c r="AC605" i="15"/>
  <c r="I871" i="15"/>
  <c r="AC871" i="15"/>
  <c r="I569" i="15"/>
  <c r="AC569" i="15"/>
  <c r="X1041" i="1"/>
  <c r="H1041" i="1" s="1"/>
  <c r="X861" i="15"/>
  <c r="H861" i="15" s="1"/>
  <c r="U861" i="15" s="1"/>
  <c r="X709" i="15"/>
  <c r="H709" i="15" s="1"/>
  <c r="U709" i="15" s="1"/>
  <c r="X749" i="15"/>
  <c r="H749" i="15" s="1"/>
  <c r="U749" i="15" s="1"/>
  <c r="X685" i="15"/>
  <c r="H685" i="15" s="1"/>
  <c r="U685" i="15" s="1"/>
  <c r="X734" i="15"/>
  <c r="H734" i="15" s="1"/>
  <c r="U734" i="15" s="1"/>
  <c r="X697" i="15"/>
  <c r="H697" i="15" s="1"/>
  <c r="U697" i="15" s="1"/>
  <c r="X721" i="15"/>
  <c r="H721" i="15" s="1"/>
  <c r="U721" i="15" s="1"/>
  <c r="X774" i="15"/>
  <c r="H774" i="15" s="1"/>
  <c r="U774" i="15" s="1"/>
  <c r="X762" i="15"/>
  <c r="H762" i="15" s="1"/>
  <c r="U762" i="15" s="1"/>
  <c r="X1274" i="1"/>
  <c r="X1007" i="15"/>
  <c r="H1007" i="15" s="1"/>
  <c r="U1007" i="15" s="1"/>
  <c r="X710" i="15"/>
  <c r="H710" i="15" s="1"/>
  <c r="U710" i="15" s="1"/>
  <c r="X686" i="15"/>
  <c r="H686" i="15" s="1"/>
  <c r="U686" i="15" s="1"/>
  <c r="X698" i="15"/>
  <c r="H698" i="15" s="1"/>
  <c r="U698" i="15" s="1"/>
  <c r="X862" i="15"/>
  <c r="H862" i="15" s="1"/>
  <c r="U862" i="15" s="1"/>
  <c r="X449" i="15"/>
  <c r="H449" i="15" s="1"/>
  <c r="U449" i="15" s="1"/>
  <c r="X883" i="15"/>
  <c r="H883" i="15" s="1"/>
  <c r="U883" i="15" s="1"/>
  <c r="X875" i="15"/>
  <c r="H875" i="15" s="1"/>
  <c r="U875" i="15" s="1"/>
  <c r="X462" i="15"/>
  <c r="H462" i="15" s="1"/>
  <c r="U462" i="15" s="1"/>
  <c r="X542" i="15"/>
  <c r="H542" i="15" s="1"/>
  <c r="U542" i="15" s="1"/>
  <c r="G1838" i="4"/>
  <c r="G1830" i="4"/>
  <c r="G1774" i="4"/>
  <c r="G1763" i="4"/>
  <c r="G1757" i="4"/>
  <c r="G1751" i="4"/>
  <c r="G1730" i="4"/>
  <c r="G1570" i="4"/>
  <c r="X1110" i="1" s="1"/>
  <c r="H1110" i="1" s="1"/>
  <c r="G1563" i="4"/>
  <c r="X1109" i="1" s="1"/>
  <c r="H1109" i="1" s="1"/>
  <c r="G192" i="4"/>
  <c r="X207" i="1" s="1"/>
  <c r="H207" i="1" s="1"/>
  <c r="F1820" i="4"/>
  <c r="G1820" i="4" s="1"/>
  <c r="F1819" i="4"/>
  <c r="G1819" i="4" s="1"/>
  <c r="F1818" i="4"/>
  <c r="G1818" i="4" s="1"/>
  <c r="F1817" i="4"/>
  <c r="G1817" i="4" s="1"/>
  <c r="F1816" i="4"/>
  <c r="G1816" i="4" s="1"/>
  <c r="F1810" i="4"/>
  <c r="G1810" i="4" s="1"/>
  <c r="G1811" i="4" s="1"/>
  <c r="F1804" i="4"/>
  <c r="G1804" i="4" s="1"/>
  <c r="G1805" i="4" s="1"/>
  <c r="AB660" i="1"/>
  <c r="X660" i="1"/>
  <c r="H660" i="1" s="1"/>
  <c r="I1796" i="4"/>
  <c r="F1796" i="4"/>
  <c r="G1796" i="4" s="1"/>
  <c r="I1793" i="4"/>
  <c r="F1793" i="4"/>
  <c r="G1793" i="4" s="1"/>
  <c r="I1798" i="4"/>
  <c r="F1798" i="4"/>
  <c r="G1798" i="4" s="1"/>
  <c r="I1797" i="4"/>
  <c r="F1797" i="4"/>
  <c r="G1797" i="4" s="1"/>
  <c r="F1795" i="4"/>
  <c r="G1795" i="4" s="1"/>
  <c r="I1794" i="4"/>
  <c r="F1794" i="4"/>
  <c r="G1794" i="4" s="1"/>
  <c r="I1792" i="4"/>
  <c r="F1792" i="4"/>
  <c r="G1792" i="4" s="1"/>
  <c r="F1786" i="4"/>
  <c r="G1786" i="4" s="1"/>
  <c r="I1780" i="4"/>
  <c r="F1780" i="4"/>
  <c r="G1780" i="4" s="1"/>
  <c r="I1779" i="4"/>
  <c r="F1779" i="4"/>
  <c r="G1779" i="4" s="1"/>
  <c r="F1778" i="4"/>
  <c r="G1778" i="4" s="1"/>
  <c r="AC978" i="15" l="1"/>
  <c r="Q839" i="15"/>
  <c r="U839" i="15" s="1"/>
  <c r="I568" i="15"/>
  <c r="I188" i="15"/>
  <c r="Q979" i="15"/>
  <c r="U979" i="15" s="1"/>
  <c r="Q978" i="15"/>
  <c r="U978" i="15" s="1"/>
  <c r="AC979" i="15"/>
  <c r="I977" i="15"/>
  <c r="I207" i="1"/>
  <c r="I1041" i="1"/>
  <c r="U1041" i="1"/>
  <c r="I1110" i="1"/>
  <c r="U1110" i="1"/>
  <c r="I1109" i="1"/>
  <c r="U1109" i="1"/>
  <c r="I660" i="1"/>
  <c r="U660" i="1"/>
  <c r="I861" i="15"/>
  <c r="AC861" i="15"/>
  <c r="I862" i="15"/>
  <c r="AC862" i="15"/>
  <c r="I721" i="15"/>
  <c r="AC721" i="15"/>
  <c r="I697" i="15"/>
  <c r="AC697" i="15"/>
  <c r="I883" i="15"/>
  <c r="AC883" i="15"/>
  <c r="I774" i="15"/>
  <c r="AC774" i="15"/>
  <c r="I686" i="15"/>
  <c r="AC686" i="15"/>
  <c r="I734" i="15"/>
  <c r="AC734" i="15"/>
  <c r="I710" i="15"/>
  <c r="AC710" i="15"/>
  <c r="I685" i="15"/>
  <c r="AC685" i="15"/>
  <c r="I462" i="15"/>
  <c r="AC462" i="15"/>
  <c r="I1007" i="15"/>
  <c r="AC1007" i="15"/>
  <c r="I749" i="15"/>
  <c r="AC749" i="15"/>
  <c r="I762" i="15"/>
  <c r="AC762" i="15"/>
  <c r="I449" i="15"/>
  <c r="AC449" i="15"/>
  <c r="I698" i="15"/>
  <c r="AC698" i="15"/>
  <c r="I542" i="15"/>
  <c r="AC542" i="15"/>
  <c r="I875" i="15"/>
  <c r="AC875" i="15"/>
  <c r="I709" i="15"/>
  <c r="AC709" i="15"/>
  <c r="X662" i="1"/>
  <c r="H662" i="1" s="1"/>
  <c r="X516" i="15"/>
  <c r="H516" i="15" s="1"/>
  <c r="X456" i="15"/>
  <c r="H456" i="15" s="1"/>
  <c r="U456" i="15" s="1"/>
  <c r="X575" i="1"/>
  <c r="H575" i="1" s="1"/>
  <c r="X1267" i="1"/>
  <c r="H1267" i="1" s="1"/>
  <c r="X998" i="15"/>
  <c r="H998" i="15" s="1"/>
  <c r="U998" i="15" s="1"/>
  <c r="X626" i="1"/>
  <c r="H626" i="1" s="1"/>
  <c r="X502" i="15"/>
  <c r="H502" i="15" s="1"/>
  <c r="U502" i="15" s="1"/>
  <c r="X1264" i="1"/>
  <c r="H1264" i="1" s="1"/>
  <c r="X995" i="15"/>
  <c r="H995" i="15" s="1"/>
  <c r="U995" i="15" s="1"/>
  <c r="X585" i="1"/>
  <c r="H585" i="1" s="1"/>
  <c r="X468" i="15"/>
  <c r="H468" i="15" s="1"/>
  <c r="U468" i="15" s="1"/>
  <c r="X1275" i="1"/>
  <c r="X1008" i="15"/>
  <c r="H1008" i="15" s="1"/>
  <c r="X1268" i="1"/>
  <c r="H1268" i="1" s="1"/>
  <c r="X999" i="15"/>
  <c r="H999" i="15" s="1"/>
  <c r="U999" i="15" s="1"/>
  <c r="G1823" i="4"/>
  <c r="G1799" i="4"/>
  <c r="X1118" i="1" s="1"/>
  <c r="H1118" i="1" s="1"/>
  <c r="G1787" i="4"/>
  <c r="X1117" i="1" s="1"/>
  <c r="H1117" i="1" s="1"/>
  <c r="G1781" i="4"/>
  <c r="X1116" i="1" s="1"/>
  <c r="H1116" i="1" s="1"/>
  <c r="Q1006" i="15" l="1"/>
  <c r="U1006" i="15" s="1"/>
  <c r="U1008" i="15"/>
  <c r="Q514" i="15"/>
  <c r="U514" i="15" s="1"/>
  <c r="U516" i="15"/>
  <c r="Q977" i="15"/>
  <c r="S977" i="15"/>
  <c r="I662" i="1"/>
  <c r="U662" i="1"/>
  <c r="I1264" i="1"/>
  <c r="I1117" i="1"/>
  <c r="U1117" i="1"/>
  <c r="I575" i="1"/>
  <c r="U575" i="1"/>
  <c r="I1267" i="1"/>
  <c r="I1118" i="1"/>
  <c r="U1118" i="1"/>
  <c r="I585" i="1"/>
  <c r="U585" i="1"/>
  <c r="I1116" i="1"/>
  <c r="U1116" i="1"/>
  <c r="I1268" i="1"/>
  <c r="I626" i="1"/>
  <c r="U626" i="1"/>
  <c r="I839" i="15"/>
  <c r="I516" i="15"/>
  <c r="AC516" i="15"/>
  <c r="I502" i="15"/>
  <c r="AC502" i="15"/>
  <c r="I999" i="15"/>
  <c r="AC999" i="15"/>
  <c r="I1008" i="15"/>
  <c r="AC1008" i="15"/>
  <c r="I468" i="15"/>
  <c r="AC468" i="15"/>
  <c r="I998" i="15"/>
  <c r="AC998" i="15"/>
  <c r="I995" i="15"/>
  <c r="AC995" i="15"/>
  <c r="I456" i="15"/>
  <c r="AC456" i="15"/>
  <c r="X584" i="1"/>
  <c r="H584" i="1" s="1"/>
  <c r="X467" i="15"/>
  <c r="H467" i="15" s="1"/>
  <c r="U467" i="15" s="1"/>
  <c r="I1499" i="4"/>
  <c r="B1499" i="4" s="1"/>
  <c r="F1499" i="4"/>
  <c r="G1499" i="4" s="1"/>
  <c r="I1498" i="4"/>
  <c r="F1498" i="4"/>
  <c r="G1498" i="4" s="1"/>
  <c r="I1497" i="4"/>
  <c r="F1497" i="4"/>
  <c r="G1497" i="4" s="1"/>
  <c r="I1496" i="4"/>
  <c r="F1496" i="4"/>
  <c r="G1496" i="4" s="1"/>
  <c r="F1600" i="4"/>
  <c r="G1600" i="4" s="1"/>
  <c r="I1601" i="4"/>
  <c r="F1601" i="4"/>
  <c r="G1601" i="4" s="1"/>
  <c r="F1593" i="4"/>
  <c r="G1593" i="4" s="1"/>
  <c r="I1595" i="4"/>
  <c r="F1595" i="4"/>
  <c r="G1595" i="4" s="1"/>
  <c r="I1594" i="4"/>
  <c r="F1594" i="4"/>
  <c r="G1594" i="4" s="1"/>
  <c r="I1586" i="4"/>
  <c r="F1586" i="4"/>
  <c r="G1586" i="4" s="1"/>
  <c r="I1585" i="4"/>
  <c r="F1585" i="4"/>
  <c r="G1585" i="4" s="1"/>
  <c r="I1588" i="4"/>
  <c r="F1588" i="4"/>
  <c r="G1588" i="4" s="1"/>
  <c r="I1587" i="4"/>
  <c r="F1587" i="4"/>
  <c r="G1587" i="4" s="1"/>
  <c r="B1114" i="1"/>
  <c r="C1114" i="1"/>
  <c r="I1580" i="4"/>
  <c r="F1580" i="4"/>
  <c r="G1580" i="4" s="1"/>
  <c r="I1579" i="4"/>
  <c r="F1579" i="4"/>
  <c r="G1579" i="4" s="1"/>
  <c r="I1578" i="4"/>
  <c r="F1578" i="4"/>
  <c r="G1578" i="4" s="1"/>
  <c r="I1577" i="4"/>
  <c r="F1577" i="4"/>
  <c r="G1577" i="4" s="1"/>
  <c r="I1576" i="4"/>
  <c r="F1576" i="4"/>
  <c r="G1576" i="4" s="1"/>
  <c r="I1575" i="4"/>
  <c r="F1575" i="4"/>
  <c r="G1575" i="4" s="1"/>
  <c r="I1574" i="4"/>
  <c r="F1574" i="4"/>
  <c r="G1574" i="4" s="1"/>
  <c r="I1555" i="4"/>
  <c r="F1555" i="4"/>
  <c r="G1555" i="4" s="1"/>
  <c r="I1554" i="4"/>
  <c r="F1554" i="4"/>
  <c r="G1554" i="4" s="1"/>
  <c r="I1553" i="4"/>
  <c r="F1553" i="4"/>
  <c r="G1553" i="4" s="1"/>
  <c r="I1546" i="4"/>
  <c r="F1546" i="4"/>
  <c r="G1546" i="4" s="1"/>
  <c r="I1548" i="4"/>
  <c r="F1548" i="4"/>
  <c r="G1548" i="4" s="1"/>
  <c r="I1547" i="4"/>
  <c r="F1547" i="4"/>
  <c r="G1547" i="4" s="1"/>
  <c r="F1537" i="4"/>
  <c r="G1537" i="4" s="1"/>
  <c r="F1539" i="4"/>
  <c r="G1539" i="4" s="1"/>
  <c r="I1541" i="4"/>
  <c r="F1541" i="4"/>
  <c r="G1541" i="4" s="1"/>
  <c r="I1540" i="4"/>
  <c r="F1540" i="4"/>
  <c r="G1540" i="4" s="1"/>
  <c r="F1531" i="4"/>
  <c r="G1531" i="4" s="1"/>
  <c r="I1532" i="4"/>
  <c r="F1532" i="4"/>
  <c r="G1532" i="4" s="1"/>
  <c r="I1524" i="4"/>
  <c r="B1524" i="4" s="1"/>
  <c r="F1524" i="4"/>
  <c r="G1524" i="4" s="1"/>
  <c r="F1523" i="4"/>
  <c r="G1523" i="4" s="1"/>
  <c r="I1526" i="4"/>
  <c r="F1526" i="4"/>
  <c r="G1526" i="4" s="1"/>
  <c r="I1525" i="4"/>
  <c r="F1525" i="4"/>
  <c r="G1525" i="4" s="1"/>
  <c r="I1518" i="4"/>
  <c r="F1518" i="4"/>
  <c r="G1518" i="4" s="1"/>
  <c r="I1517" i="4"/>
  <c r="F1517" i="4"/>
  <c r="G1517" i="4" s="1"/>
  <c r="F1509" i="4"/>
  <c r="G1509" i="4" s="1"/>
  <c r="I1511" i="4"/>
  <c r="F1511" i="4"/>
  <c r="G1511" i="4" s="1"/>
  <c r="I1510" i="4"/>
  <c r="B1510" i="4" s="1"/>
  <c r="F1510" i="4"/>
  <c r="G1510" i="4" s="1"/>
  <c r="AB1201" i="1"/>
  <c r="X1201" i="1"/>
  <c r="H1201" i="1" s="1"/>
  <c r="AB1200" i="1"/>
  <c r="X1200" i="1"/>
  <c r="H1200" i="1" s="1"/>
  <c r="AB1198" i="1"/>
  <c r="X1198" i="1"/>
  <c r="H1198" i="1" s="1"/>
  <c r="AB1197" i="1"/>
  <c r="X1197" i="1"/>
  <c r="H1197" i="1" s="1"/>
  <c r="U977" i="15" l="1"/>
  <c r="I514" i="15"/>
  <c r="I1006" i="15"/>
  <c r="I1197" i="1"/>
  <c r="I584" i="1"/>
  <c r="U584" i="1"/>
  <c r="I1201" i="1"/>
  <c r="I1198" i="1"/>
  <c r="I1200" i="1"/>
  <c r="I467" i="15"/>
  <c r="AC467" i="15"/>
  <c r="G1505" i="4"/>
  <c r="X1074" i="1" s="1"/>
  <c r="H1074" i="1" s="1"/>
  <c r="U1074" i="1" s="1"/>
  <c r="G1500" i="4"/>
  <c r="X1072" i="1" s="1"/>
  <c r="H1072" i="1" s="1"/>
  <c r="G1491" i="4"/>
  <c r="X1070" i="1" s="1"/>
  <c r="H1070" i="1" s="1"/>
  <c r="G1602" i="4"/>
  <c r="G1596" i="4"/>
  <c r="G1589" i="4"/>
  <c r="X1120" i="1" s="1"/>
  <c r="H1120" i="1" s="1"/>
  <c r="G1581" i="4"/>
  <c r="X1113" i="1" s="1"/>
  <c r="H1113" i="1" s="1"/>
  <c r="G1556" i="4"/>
  <c r="X1101" i="1" s="1"/>
  <c r="G1549" i="4"/>
  <c r="X1100" i="1" s="1"/>
  <c r="H1100" i="1" s="1"/>
  <c r="G1542" i="4"/>
  <c r="X1095" i="1" s="1"/>
  <c r="H1095" i="1" s="1"/>
  <c r="G1533" i="4"/>
  <c r="X1088" i="1" s="1"/>
  <c r="H1088" i="1" s="1"/>
  <c r="G1527" i="4"/>
  <c r="X1087" i="1" s="1"/>
  <c r="H1087" i="1" s="1"/>
  <c r="G1519" i="4"/>
  <c r="X1085" i="1" s="1"/>
  <c r="H1085" i="1" s="1"/>
  <c r="G1512" i="4"/>
  <c r="X1084" i="1" s="1"/>
  <c r="H1084" i="1" s="1"/>
  <c r="I1113" i="1" l="1"/>
  <c r="U1113" i="1"/>
  <c r="I1100" i="1"/>
  <c r="U1100" i="1"/>
  <c r="I1072" i="1"/>
  <c r="U1072" i="1"/>
  <c r="I1085" i="1"/>
  <c r="U1085" i="1"/>
  <c r="I1084" i="1"/>
  <c r="U1084" i="1"/>
  <c r="I1070" i="1"/>
  <c r="U1070" i="1"/>
  <c r="I1120" i="1"/>
  <c r="U1120" i="1"/>
  <c r="I1095" i="1"/>
  <c r="U1095" i="1"/>
  <c r="I1088" i="1"/>
  <c r="U1088" i="1"/>
  <c r="I1087" i="1"/>
  <c r="U1087" i="1"/>
  <c r="H1101" i="1"/>
  <c r="I1074" i="1"/>
  <c r="X1165" i="1"/>
  <c r="H1165" i="1" s="1"/>
  <c r="X898" i="15"/>
  <c r="H898" i="15" s="1"/>
  <c r="U898" i="15" s="1"/>
  <c r="X1157" i="1"/>
  <c r="H1157" i="1" s="1"/>
  <c r="X890" i="15"/>
  <c r="H890" i="15" s="1"/>
  <c r="U890" i="15" s="1"/>
  <c r="AB1193" i="1"/>
  <c r="X1193" i="1"/>
  <c r="H1193" i="1" s="1"/>
  <c r="AB1192" i="1"/>
  <c r="X1192" i="1"/>
  <c r="H1192" i="1" s="1"/>
  <c r="C1112" i="1"/>
  <c r="AB1119" i="1"/>
  <c r="X1119" i="1"/>
  <c r="H1119" i="1" s="1"/>
  <c r="C1107" i="1"/>
  <c r="AB1092" i="1"/>
  <c r="X1092" i="1"/>
  <c r="H1092" i="1" s="1"/>
  <c r="AB1094" i="1"/>
  <c r="X1094" i="1"/>
  <c r="H1094" i="1" s="1"/>
  <c r="AB1093" i="1"/>
  <c r="X1093" i="1"/>
  <c r="H1093" i="1" s="1"/>
  <c r="AB1090" i="1"/>
  <c r="X1090" i="1"/>
  <c r="H1090" i="1" s="1"/>
  <c r="AB1089" i="1"/>
  <c r="X1089" i="1"/>
  <c r="H1089" i="1" s="1"/>
  <c r="AB1106" i="1"/>
  <c r="X1106" i="1"/>
  <c r="H1106" i="1" s="1"/>
  <c r="AB1105" i="1"/>
  <c r="X1105" i="1"/>
  <c r="H1105" i="1" s="1"/>
  <c r="AB1104" i="1"/>
  <c r="X1104" i="1"/>
  <c r="H1104" i="1" s="1"/>
  <c r="AB1103" i="1"/>
  <c r="X1103" i="1"/>
  <c r="H1103" i="1" s="1"/>
  <c r="AB1101" i="1"/>
  <c r="X1099" i="1"/>
  <c r="H1099" i="1" s="1"/>
  <c r="AB1098" i="1"/>
  <c r="X1098" i="1"/>
  <c r="H1098" i="1" s="1"/>
  <c r="AB1097" i="1"/>
  <c r="X1097" i="1"/>
  <c r="H1097" i="1" s="1"/>
  <c r="AB1079" i="1"/>
  <c r="X1079" i="1"/>
  <c r="H1079" i="1" s="1"/>
  <c r="AB1078" i="1"/>
  <c r="X1078" i="1"/>
  <c r="H1078" i="1" s="1"/>
  <c r="F1483" i="4"/>
  <c r="G1483" i="4" s="1"/>
  <c r="F1476" i="4"/>
  <c r="G1476" i="4" s="1"/>
  <c r="I1478" i="4"/>
  <c r="F1478" i="4"/>
  <c r="G1478" i="4" s="1"/>
  <c r="I1477" i="4"/>
  <c r="F1477" i="4"/>
  <c r="G1477" i="4" s="1"/>
  <c r="I1485" i="4"/>
  <c r="F1485" i="4"/>
  <c r="G1485" i="4" s="1"/>
  <c r="I1484" i="4"/>
  <c r="F1484" i="4"/>
  <c r="G1484" i="4" s="1"/>
  <c r="AB1060" i="1"/>
  <c r="X1060" i="1"/>
  <c r="H1060" i="1" s="1"/>
  <c r="F1065" i="1"/>
  <c r="AB1055" i="1"/>
  <c r="X1055" i="1"/>
  <c r="H1055" i="1" s="1"/>
  <c r="AB1061" i="1"/>
  <c r="X1061" i="1"/>
  <c r="H1061" i="1" s="1"/>
  <c r="AB1064" i="1"/>
  <c r="X1064" i="1"/>
  <c r="H1064" i="1" s="1"/>
  <c r="AB1063" i="1"/>
  <c r="X1063" i="1"/>
  <c r="H1063" i="1" s="1"/>
  <c r="AB1065" i="1"/>
  <c r="X1065" i="1"/>
  <c r="H1065" i="1" s="1"/>
  <c r="U1065" i="1" s="1"/>
  <c r="Q887" i="15" l="1"/>
  <c r="U887" i="15" s="1"/>
  <c r="Z1065" i="1"/>
  <c r="T1065" i="1"/>
  <c r="I1105" i="1"/>
  <c r="U1105" i="1"/>
  <c r="I1193" i="1"/>
  <c r="I1098" i="1"/>
  <c r="U1098" i="1"/>
  <c r="I1064" i="1"/>
  <c r="U1064" i="1"/>
  <c r="I1119" i="1"/>
  <c r="U1119" i="1"/>
  <c r="I1060" i="1"/>
  <c r="U1060" i="1"/>
  <c r="I1104" i="1"/>
  <c r="U1104" i="1"/>
  <c r="I1092" i="1"/>
  <c r="U1092" i="1"/>
  <c r="I1055" i="1"/>
  <c r="U1055" i="1"/>
  <c r="I1101" i="1"/>
  <c r="U1101" i="1"/>
  <c r="I1093" i="1"/>
  <c r="U1093" i="1"/>
  <c r="I1157" i="1"/>
  <c r="U1157" i="1"/>
  <c r="I1097" i="1"/>
  <c r="U1097" i="1"/>
  <c r="I1090" i="1"/>
  <c r="U1090" i="1"/>
  <c r="I1063" i="1"/>
  <c r="U1063" i="1"/>
  <c r="I1079" i="1"/>
  <c r="U1079" i="1"/>
  <c r="I1089" i="1"/>
  <c r="U1089" i="1"/>
  <c r="I1078" i="1"/>
  <c r="U1078" i="1"/>
  <c r="I1099" i="1"/>
  <c r="U1099" i="1"/>
  <c r="I1106" i="1"/>
  <c r="U1106" i="1"/>
  <c r="I1094" i="1"/>
  <c r="U1094" i="1"/>
  <c r="I1192" i="1"/>
  <c r="I1103" i="1"/>
  <c r="U1103" i="1"/>
  <c r="I1061" i="1"/>
  <c r="U1061" i="1"/>
  <c r="I1165" i="1"/>
  <c r="Q1165" i="1"/>
  <c r="U1165" i="1" s="1"/>
  <c r="I890" i="15"/>
  <c r="AC890" i="15"/>
  <c r="I898" i="15"/>
  <c r="AC898" i="15"/>
  <c r="I1065" i="1"/>
  <c r="G1479" i="4"/>
  <c r="G1486" i="4"/>
  <c r="I887" i="15" l="1"/>
  <c r="X1057" i="1"/>
  <c r="H1057" i="1" s="1"/>
  <c r="X877" i="15"/>
  <c r="H877" i="15" s="1"/>
  <c r="U877" i="15" s="1"/>
  <c r="X1058" i="1"/>
  <c r="H1058" i="1" s="1"/>
  <c r="X878" i="15"/>
  <c r="H878" i="15" s="1"/>
  <c r="U878" i="15" s="1"/>
  <c r="C1043" i="1"/>
  <c r="C1044" i="1"/>
  <c r="B1046" i="1"/>
  <c r="D1046" i="1"/>
  <c r="B1042" i="1"/>
  <c r="C1042" i="1"/>
  <c r="AB1026" i="1"/>
  <c r="X1026" i="1"/>
  <c r="H1026" i="1" s="1"/>
  <c r="AB1025" i="1"/>
  <c r="X1025" i="1"/>
  <c r="H1025" i="1" s="1"/>
  <c r="I1471" i="4"/>
  <c r="F1471" i="4"/>
  <c r="G1471" i="4" s="1"/>
  <c r="I1470" i="4"/>
  <c r="F1470" i="4"/>
  <c r="G1470" i="4" s="1"/>
  <c r="I1469" i="4"/>
  <c r="F1469" i="4"/>
  <c r="G1469" i="4" s="1"/>
  <c r="I1468" i="4"/>
  <c r="F1468" i="4"/>
  <c r="G1468" i="4" s="1"/>
  <c r="I1463" i="4"/>
  <c r="F1463" i="4"/>
  <c r="G1463" i="4" s="1"/>
  <c r="I1462" i="4"/>
  <c r="F1462" i="4"/>
  <c r="G1462" i="4" s="1"/>
  <c r="I1461" i="4"/>
  <c r="F1461" i="4"/>
  <c r="G1461" i="4" s="1"/>
  <c r="I1460" i="4"/>
  <c r="F1460" i="4"/>
  <c r="G1460" i="4" s="1"/>
  <c r="AB988" i="1"/>
  <c r="X988" i="1"/>
  <c r="H988" i="1" s="1"/>
  <c r="AB1003" i="1"/>
  <c r="X1003" i="1"/>
  <c r="H1003" i="1" s="1"/>
  <c r="AB1011" i="1"/>
  <c r="X1011" i="1"/>
  <c r="H1011" i="1" s="1"/>
  <c r="AB1010" i="1"/>
  <c r="X1010" i="1"/>
  <c r="H1010" i="1" s="1"/>
  <c r="AB1009" i="1"/>
  <c r="X1009" i="1"/>
  <c r="H1009" i="1" s="1"/>
  <c r="AB996" i="1"/>
  <c r="X996" i="1"/>
  <c r="H996" i="1" s="1"/>
  <c r="AB995" i="1"/>
  <c r="X995" i="1"/>
  <c r="H995" i="1" s="1"/>
  <c r="AB994" i="1"/>
  <c r="X994" i="1"/>
  <c r="H994" i="1" s="1"/>
  <c r="AB989" i="1"/>
  <c r="X989" i="1"/>
  <c r="H989" i="1" s="1"/>
  <c r="AB997" i="1"/>
  <c r="X997" i="1"/>
  <c r="H997" i="1" s="1"/>
  <c r="AB1004" i="1"/>
  <c r="X1004" i="1"/>
  <c r="H1004" i="1" s="1"/>
  <c r="AB1007" i="1"/>
  <c r="AB1006" i="1"/>
  <c r="AB1012" i="1"/>
  <c r="X1012" i="1"/>
  <c r="H1012" i="1" s="1"/>
  <c r="B1013" i="1"/>
  <c r="F1453" i="4"/>
  <c r="G1453" i="4" s="1"/>
  <c r="I1455" i="4"/>
  <c r="F1455" i="4"/>
  <c r="G1455" i="4" s="1"/>
  <c r="I1454" i="4"/>
  <c r="F1454" i="4"/>
  <c r="G1454" i="4" s="1"/>
  <c r="F1446" i="4"/>
  <c r="G1446" i="4" s="1"/>
  <c r="I1448" i="4"/>
  <c r="F1448" i="4"/>
  <c r="G1448" i="4" s="1"/>
  <c r="I1447" i="4"/>
  <c r="F1447" i="4"/>
  <c r="G1447" i="4" s="1"/>
  <c r="I1432" i="4"/>
  <c r="F1432" i="4"/>
  <c r="G1432" i="4" s="1"/>
  <c r="F1439" i="4"/>
  <c r="G1439" i="4" s="1"/>
  <c r="I1441" i="4"/>
  <c r="F1441" i="4"/>
  <c r="G1441" i="4" s="1"/>
  <c r="I1440" i="4"/>
  <c r="F1440" i="4"/>
  <c r="G1440" i="4" s="1"/>
  <c r="I1434" i="4"/>
  <c r="F1434" i="4"/>
  <c r="G1434" i="4" s="1"/>
  <c r="I1433" i="4"/>
  <c r="F1433" i="4"/>
  <c r="G1433" i="4" s="1"/>
  <c r="I1427" i="4"/>
  <c r="F1427" i="4"/>
  <c r="G1427" i="4" s="1"/>
  <c r="I1426" i="4"/>
  <c r="F1426" i="4"/>
  <c r="G1426" i="4" s="1"/>
  <c r="I1425" i="4"/>
  <c r="F1425" i="4"/>
  <c r="G1425" i="4" s="1"/>
  <c r="I1424" i="4"/>
  <c r="F1424" i="4"/>
  <c r="G1424" i="4" s="1"/>
  <c r="I1417" i="4"/>
  <c r="B1417" i="4" s="1"/>
  <c r="I1419" i="4"/>
  <c r="I1418" i="4"/>
  <c r="I1412" i="4"/>
  <c r="I1411" i="4"/>
  <c r="F1417" i="4"/>
  <c r="G1417" i="4" s="1"/>
  <c r="F1419" i="4"/>
  <c r="G1419" i="4" s="1"/>
  <c r="F1418" i="4"/>
  <c r="G1418" i="4" s="1"/>
  <c r="F1410" i="4"/>
  <c r="G1410" i="4" s="1"/>
  <c r="F1412" i="4"/>
  <c r="G1412" i="4" s="1"/>
  <c r="F1411" i="4"/>
  <c r="G1411" i="4" s="1"/>
  <c r="D1035" i="1"/>
  <c r="C1035" i="1"/>
  <c r="AB1050" i="1"/>
  <c r="X1050" i="1"/>
  <c r="H1050" i="1" s="1"/>
  <c r="AB1034" i="1"/>
  <c r="X1034" i="1"/>
  <c r="H1034" i="1" s="1"/>
  <c r="AB1033" i="1"/>
  <c r="X1033" i="1"/>
  <c r="H1033" i="1" s="1"/>
  <c r="AB1032" i="1"/>
  <c r="X1032" i="1"/>
  <c r="H1032" i="1" s="1"/>
  <c r="AB1031" i="1"/>
  <c r="X1031" i="1"/>
  <c r="H1031" i="1" s="1"/>
  <c r="AB1024" i="1"/>
  <c r="X1024" i="1"/>
  <c r="H1024" i="1" s="1"/>
  <c r="AB1023" i="1"/>
  <c r="X1023" i="1"/>
  <c r="H1023" i="1" s="1"/>
  <c r="AB1022" i="1"/>
  <c r="X1022" i="1"/>
  <c r="H1022" i="1" s="1"/>
  <c r="AB1021" i="1"/>
  <c r="X1021" i="1"/>
  <c r="H1021" i="1" s="1"/>
  <c r="AB1020" i="1"/>
  <c r="X1020" i="1"/>
  <c r="H1020" i="1" s="1"/>
  <c r="AB1019" i="1"/>
  <c r="X1019" i="1"/>
  <c r="H1019" i="1" s="1"/>
  <c r="AB984" i="1"/>
  <c r="X984" i="1"/>
  <c r="H984" i="1" s="1"/>
  <c r="AB983" i="1"/>
  <c r="X983" i="1"/>
  <c r="H983" i="1" s="1"/>
  <c r="AB982" i="1"/>
  <c r="X982" i="1"/>
  <c r="H982" i="1" s="1"/>
  <c r="AB985" i="1"/>
  <c r="X985" i="1"/>
  <c r="H985" i="1" s="1"/>
  <c r="AB981" i="1"/>
  <c r="X981" i="1"/>
  <c r="H981" i="1" s="1"/>
  <c r="AB979" i="1"/>
  <c r="X979" i="1"/>
  <c r="H979" i="1" s="1"/>
  <c r="AB970" i="1"/>
  <c r="X970" i="1"/>
  <c r="H970" i="1" s="1"/>
  <c r="AB976" i="1"/>
  <c r="X976" i="1"/>
  <c r="H976" i="1" s="1"/>
  <c r="AB975" i="1"/>
  <c r="X975" i="1"/>
  <c r="H975" i="1" s="1"/>
  <c r="AB974" i="1"/>
  <c r="X974" i="1"/>
  <c r="H974" i="1" s="1"/>
  <c r="AB977" i="1"/>
  <c r="X977" i="1"/>
  <c r="H977" i="1" s="1"/>
  <c r="AB973" i="1"/>
  <c r="X973" i="1"/>
  <c r="H973" i="1" s="1"/>
  <c r="AB966" i="1"/>
  <c r="X966" i="1"/>
  <c r="H966" i="1" s="1"/>
  <c r="AB961" i="1"/>
  <c r="X961" i="1"/>
  <c r="H961" i="1" s="1"/>
  <c r="AB968" i="1"/>
  <c r="X968" i="1"/>
  <c r="H968" i="1" s="1"/>
  <c r="AB967" i="1"/>
  <c r="X967" i="1"/>
  <c r="H967" i="1" s="1"/>
  <c r="AB963" i="1"/>
  <c r="X963" i="1"/>
  <c r="H963" i="1" s="1"/>
  <c r="AB962" i="1"/>
  <c r="X962" i="1"/>
  <c r="H962" i="1" s="1"/>
  <c r="AB965" i="1"/>
  <c r="X965" i="1"/>
  <c r="H965" i="1" s="1"/>
  <c r="AB960" i="1"/>
  <c r="X960" i="1"/>
  <c r="H960" i="1" s="1"/>
  <c r="AB955" i="1"/>
  <c r="X955" i="1"/>
  <c r="H955" i="1" s="1"/>
  <c r="AB951" i="1"/>
  <c r="X951" i="1"/>
  <c r="H951" i="1" s="1"/>
  <c r="AB956" i="1"/>
  <c r="X956" i="1"/>
  <c r="H956" i="1" s="1"/>
  <c r="AB958" i="1"/>
  <c r="X958" i="1"/>
  <c r="H958" i="1" s="1"/>
  <c r="AB957" i="1"/>
  <c r="X957" i="1"/>
  <c r="H957" i="1" s="1"/>
  <c r="AB953" i="1"/>
  <c r="X953" i="1"/>
  <c r="H953" i="1" s="1"/>
  <c r="AB952" i="1"/>
  <c r="X952" i="1"/>
  <c r="H952" i="1" s="1"/>
  <c r="AB950" i="1"/>
  <c r="X950" i="1"/>
  <c r="H950" i="1" s="1"/>
  <c r="AB946" i="1"/>
  <c r="X946" i="1"/>
  <c r="H946" i="1" s="1"/>
  <c r="AB948" i="1"/>
  <c r="X948" i="1"/>
  <c r="H948" i="1" s="1"/>
  <c r="AB947" i="1"/>
  <c r="X947" i="1"/>
  <c r="H947" i="1" s="1"/>
  <c r="AB938" i="1"/>
  <c r="X938" i="1"/>
  <c r="H938" i="1" s="1"/>
  <c r="AB937" i="1"/>
  <c r="X937" i="1"/>
  <c r="H937" i="1" s="1"/>
  <c r="AB935" i="1"/>
  <c r="X935" i="1"/>
  <c r="H935" i="1" s="1"/>
  <c r="B936" i="1"/>
  <c r="AB933" i="1"/>
  <c r="X933" i="1"/>
  <c r="H933" i="1" s="1"/>
  <c r="AB932" i="1"/>
  <c r="X932" i="1"/>
  <c r="H932" i="1" s="1"/>
  <c r="AB931" i="1"/>
  <c r="X931" i="1"/>
  <c r="H931" i="1" s="1"/>
  <c r="AB930" i="1"/>
  <c r="X930" i="1"/>
  <c r="H930" i="1" s="1"/>
  <c r="AB929" i="1"/>
  <c r="X929" i="1"/>
  <c r="H929" i="1" s="1"/>
  <c r="AB928" i="1"/>
  <c r="X928" i="1"/>
  <c r="H928" i="1" s="1"/>
  <c r="AB927" i="1"/>
  <c r="X927" i="1"/>
  <c r="H927" i="1" s="1"/>
  <c r="AB926" i="1"/>
  <c r="X926" i="1"/>
  <c r="H926" i="1" s="1"/>
  <c r="AB925" i="1"/>
  <c r="X925" i="1"/>
  <c r="H925" i="1" s="1"/>
  <c r="AB923" i="1"/>
  <c r="X923" i="1"/>
  <c r="H923" i="1" s="1"/>
  <c r="AB920" i="1"/>
  <c r="X920" i="1"/>
  <c r="H920" i="1" s="1"/>
  <c r="AB919" i="1"/>
  <c r="X919" i="1"/>
  <c r="H919" i="1" s="1"/>
  <c r="AB918" i="1"/>
  <c r="X918" i="1"/>
  <c r="H918" i="1" s="1"/>
  <c r="AB917" i="1"/>
  <c r="X917" i="1"/>
  <c r="H917" i="1" s="1"/>
  <c r="AB921" i="1"/>
  <c r="X921" i="1"/>
  <c r="H921" i="1" s="1"/>
  <c r="AB916" i="1"/>
  <c r="X916" i="1"/>
  <c r="H916" i="1" s="1"/>
  <c r="AB915" i="1"/>
  <c r="X915" i="1"/>
  <c r="H915" i="1" s="1"/>
  <c r="AB914" i="1"/>
  <c r="X914" i="1"/>
  <c r="H914" i="1" s="1"/>
  <c r="AB913" i="1"/>
  <c r="X913" i="1"/>
  <c r="H913" i="1" s="1"/>
  <c r="AB911" i="1"/>
  <c r="X911" i="1"/>
  <c r="H911" i="1" s="1"/>
  <c r="AB899" i="1"/>
  <c r="X899" i="1"/>
  <c r="H899" i="1" s="1"/>
  <c r="AB901" i="1"/>
  <c r="X901" i="1"/>
  <c r="H901" i="1" s="1"/>
  <c r="AB900" i="1"/>
  <c r="X900" i="1"/>
  <c r="H900" i="1" s="1"/>
  <c r="AB896" i="1"/>
  <c r="X896" i="1"/>
  <c r="H896" i="1" s="1"/>
  <c r="AB898" i="1"/>
  <c r="X898" i="1"/>
  <c r="H898" i="1" s="1"/>
  <c r="AB909" i="1"/>
  <c r="X909" i="1"/>
  <c r="H909" i="1" s="1"/>
  <c r="AB908" i="1"/>
  <c r="X908" i="1"/>
  <c r="H908" i="1" s="1"/>
  <c r="AB907" i="1"/>
  <c r="X907" i="1"/>
  <c r="H907" i="1" s="1"/>
  <c r="AB906" i="1"/>
  <c r="X906" i="1"/>
  <c r="H906" i="1" s="1"/>
  <c r="AB905" i="1"/>
  <c r="X905" i="1"/>
  <c r="H905" i="1" s="1"/>
  <c r="AB904" i="1"/>
  <c r="X904" i="1"/>
  <c r="H904" i="1" s="1"/>
  <c r="AB903" i="1"/>
  <c r="X903" i="1"/>
  <c r="H903" i="1" s="1"/>
  <c r="AB902" i="1"/>
  <c r="X902" i="1"/>
  <c r="H902" i="1" s="1"/>
  <c r="AB881" i="1"/>
  <c r="X881" i="1"/>
  <c r="H881" i="1" s="1"/>
  <c r="AB884" i="1"/>
  <c r="X884" i="1"/>
  <c r="H884" i="1" s="1"/>
  <c r="AB885" i="1"/>
  <c r="X885" i="1"/>
  <c r="H885" i="1" s="1"/>
  <c r="AB893" i="1"/>
  <c r="X893" i="1"/>
  <c r="H893" i="1" s="1"/>
  <c r="AB892" i="1"/>
  <c r="X892" i="1"/>
  <c r="H892" i="1" s="1"/>
  <c r="AB891" i="1"/>
  <c r="X891" i="1"/>
  <c r="H891" i="1" s="1"/>
  <c r="AB890" i="1"/>
  <c r="X890" i="1"/>
  <c r="H890" i="1" s="1"/>
  <c r="AB889" i="1"/>
  <c r="X889" i="1"/>
  <c r="H889" i="1" s="1"/>
  <c r="AB888" i="1"/>
  <c r="X888" i="1"/>
  <c r="H888" i="1" s="1"/>
  <c r="AB887" i="1"/>
  <c r="X887" i="1"/>
  <c r="H887" i="1" s="1"/>
  <c r="AB886" i="1"/>
  <c r="X886" i="1"/>
  <c r="H886" i="1" s="1"/>
  <c r="AB894" i="1"/>
  <c r="X894" i="1"/>
  <c r="H894" i="1" s="1"/>
  <c r="AB883" i="1"/>
  <c r="X883" i="1"/>
  <c r="H883" i="1" s="1"/>
  <c r="C868" i="1"/>
  <c r="AB873" i="1"/>
  <c r="X873" i="1"/>
  <c r="H873" i="1" s="1"/>
  <c r="AB878" i="1"/>
  <c r="X878" i="1"/>
  <c r="H878" i="1" s="1"/>
  <c r="AB877" i="1"/>
  <c r="X877" i="1"/>
  <c r="H877" i="1" s="1"/>
  <c r="AB876" i="1"/>
  <c r="X876" i="1"/>
  <c r="H876" i="1" s="1"/>
  <c r="AB875" i="1"/>
  <c r="X875" i="1"/>
  <c r="H875" i="1" s="1"/>
  <c r="AB874" i="1"/>
  <c r="X874" i="1"/>
  <c r="H874" i="1" s="1"/>
  <c r="AB879" i="1"/>
  <c r="X879" i="1"/>
  <c r="H879" i="1" s="1"/>
  <c r="AB872" i="1"/>
  <c r="X872" i="1"/>
  <c r="H872" i="1" s="1"/>
  <c r="AB871" i="1"/>
  <c r="X871" i="1"/>
  <c r="H871" i="1" s="1"/>
  <c r="AB870" i="1"/>
  <c r="X870" i="1"/>
  <c r="H870" i="1" s="1"/>
  <c r="AB860" i="1"/>
  <c r="X860" i="1"/>
  <c r="H860" i="1" s="1"/>
  <c r="AB865" i="1"/>
  <c r="X865" i="1"/>
  <c r="H865" i="1" s="1"/>
  <c r="AB864" i="1"/>
  <c r="X864" i="1"/>
  <c r="H864" i="1" s="1"/>
  <c r="AB863" i="1"/>
  <c r="X863" i="1"/>
  <c r="H863" i="1" s="1"/>
  <c r="AB862" i="1"/>
  <c r="X862" i="1"/>
  <c r="H862" i="1" s="1"/>
  <c r="AB861" i="1"/>
  <c r="X861" i="1"/>
  <c r="H861" i="1" s="1"/>
  <c r="AB866" i="1"/>
  <c r="X866" i="1"/>
  <c r="H866" i="1" s="1"/>
  <c r="AB859" i="1"/>
  <c r="X859" i="1"/>
  <c r="H859" i="1" s="1"/>
  <c r="AB858" i="1"/>
  <c r="X858" i="1"/>
  <c r="H858" i="1" s="1"/>
  <c r="AB856" i="1"/>
  <c r="X856" i="1"/>
  <c r="H856" i="1" s="1"/>
  <c r="AB853" i="1"/>
  <c r="X853" i="1"/>
  <c r="H853" i="1" s="1"/>
  <c r="AB852" i="1"/>
  <c r="X852" i="1"/>
  <c r="H852" i="1" s="1"/>
  <c r="AB851" i="1"/>
  <c r="X851" i="1"/>
  <c r="H851" i="1" s="1"/>
  <c r="AB850" i="1"/>
  <c r="X850" i="1"/>
  <c r="H850" i="1" s="1"/>
  <c r="AB849" i="1"/>
  <c r="X849" i="1"/>
  <c r="H849" i="1" s="1"/>
  <c r="AB854" i="1"/>
  <c r="X854" i="1"/>
  <c r="H854" i="1" s="1"/>
  <c r="D846" i="1"/>
  <c r="B846" i="1"/>
  <c r="C846" i="1"/>
  <c r="C844" i="1"/>
  <c r="C857" i="1" s="1"/>
  <c r="C869" i="1" s="1"/>
  <c r="C882" i="1" s="1"/>
  <c r="C897" i="1" s="1"/>
  <c r="C912" i="1" s="1"/>
  <c r="C924" i="1" s="1"/>
  <c r="C936" i="1" s="1"/>
  <c r="AB848" i="1"/>
  <c r="X848" i="1"/>
  <c r="H848" i="1" s="1"/>
  <c r="AB847" i="1"/>
  <c r="X847" i="1"/>
  <c r="H847" i="1" s="1"/>
  <c r="AB845" i="1"/>
  <c r="X845" i="1"/>
  <c r="H845" i="1" s="1"/>
  <c r="B844" i="1"/>
  <c r="B857" i="1" s="1"/>
  <c r="B869" i="1" s="1"/>
  <c r="B882" i="1" s="1"/>
  <c r="B897" i="1" s="1"/>
  <c r="B912" i="1" s="1"/>
  <c r="AB843" i="1"/>
  <c r="X843" i="1"/>
  <c r="H843" i="1" s="1"/>
  <c r="AB831" i="1"/>
  <c r="X831" i="1"/>
  <c r="H831" i="1" s="1"/>
  <c r="AB838" i="1"/>
  <c r="X838" i="1"/>
  <c r="H838" i="1" s="1"/>
  <c r="AB837" i="1"/>
  <c r="X837" i="1"/>
  <c r="H837" i="1" s="1"/>
  <c r="AB840" i="1"/>
  <c r="X840" i="1"/>
  <c r="H840" i="1" s="1"/>
  <c r="AB839" i="1"/>
  <c r="X839" i="1"/>
  <c r="H839" i="1" s="1"/>
  <c r="AB841" i="1"/>
  <c r="X841" i="1"/>
  <c r="H841" i="1" s="1"/>
  <c r="AB836" i="1"/>
  <c r="X836" i="1"/>
  <c r="H836" i="1" s="1"/>
  <c r="AB835" i="1"/>
  <c r="X835" i="1"/>
  <c r="H835" i="1" s="1"/>
  <c r="AB834" i="1"/>
  <c r="X834" i="1"/>
  <c r="H834" i="1" s="1"/>
  <c r="AB827" i="1"/>
  <c r="X827" i="1"/>
  <c r="H827" i="1" s="1"/>
  <c r="AB826" i="1"/>
  <c r="X826" i="1"/>
  <c r="H826" i="1" s="1"/>
  <c r="AB829" i="1"/>
  <c r="X829" i="1"/>
  <c r="H829" i="1" s="1"/>
  <c r="AB828" i="1"/>
  <c r="X828" i="1"/>
  <c r="H828" i="1" s="1"/>
  <c r="AB822" i="1"/>
  <c r="X822" i="1"/>
  <c r="H822" i="1" s="1"/>
  <c r="AB820" i="1"/>
  <c r="X820" i="1"/>
  <c r="H820" i="1" s="1"/>
  <c r="AB821" i="1"/>
  <c r="X821" i="1"/>
  <c r="H821" i="1" s="1"/>
  <c r="AB819" i="1"/>
  <c r="X819" i="1"/>
  <c r="H819" i="1" s="1"/>
  <c r="AB818" i="1"/>
  <c r="X818" i="1"/>
  <c r="H818" i="1" s="1"/>
  <c r="B817" i="1"/>
  <c r="B825" i="1" s="1"/>
  <c r="B816" i="1"/>
  <c r="B824" i="1" s="1"/>
  <c r="D817" i="1"/>
  <c r="D825" i="1" s="1"/>
  <c r="D816" i="1"/>
  <c r="D824" i="1" s="1"/>
  <c r="F1403" i="4"/>
  <c r="G1403" i="4" s="1"/>
  <c r="F1405" i="4"/>
  <c r="G1405" i="4" s="1"/>
  <c r="F1404" i="4"/>
  <c r="G1404" i="4" s="1"/>
  <c r="F1397" i="4"/>
  <c r="G1397" i="4" s="1"/>
  <c r="F1398" i="4"/>
  <c r="G1398" i="4" s="1"/>
  <c r="AB814" i="1"/>
  <c r="X814" i="1"/>
  <c r="H814" i="1" s="1"/>
  <c r="AB813" i="1"/>
  <c r="X813" i="1"/>
  <c r="H813" i="1" s="1"/>
  <c r="AB812" i="1"/>
  <c r="X812" i="1"/>
  <c r="H812" i="1" s="1"/>
  <c r="AB811" i="1"/>
  <c r="X811" i="1"/>
  <c r="H811" i="1" s="1"/>
  <c r="AB810" i="1"/>
  <c r="X810" i="1"/>
  <c r="H810" i="1" s="1"/>
  <c r="C770" i="1"/>
  <c r="C769" i="1"/>
  <c r="D770" i="1"/>
  <c r="D769" i="1"/>
  <c r="F1392" i="4"/>
  <c r="G1392" i="4" s="1"/>
  <c r="F1391" i="4"/>
  <c r="G1391" i="4" s="1"/>
  <c r="Q868" i="15" l="1"/>
  <c r="U868" i="15" s="1"/>
  <c r="I847" i="1"/>
  <c r="U847" i="1"/>
  <c r="I859" i="1"/>
  <c r="U859" i="1"/>
  <c r="I878" i="1"/>
  <c r="U878" i="1"/>
  <c r="I956" i="1"/>
  <c r="U956" i="1"/>
  <c r="I970" i="1"/>
  <c r="U970" i="1"/>
  <c r="I1024" i="1"/>
  <c r="U1024" i="1"/>
  <c r="I818" i="1"/>
  <c r="U818" i="1"/>
  <c r="I838" i="1"/>
  <c r="U838" i="1"/>
  <c r="I893" i="1"/>
  <c r="U893" i="1"/>
  <c r="I899" i="1"/>
  <c r="U899" i="1"/>
  <c r="I933" i="1"/>
  <c r="U933" i="1"/>
  <c r="I989" i="1"/>
  <c r="U989" i="1"/>
  <c r="I858" i="1"/>
  <c r="U858" i="1"/>
  <c r="I877" i="1"/>
  <c r="U877" i="1"/>
  <c r="I938" i="1"/>
  <c r="U938" i="1"/>
  <c r="I967" i="1"/>
  <c r="U967" i="1"/>
  <c r="I1023" i="1"/>
  <c r="U1023" i="1"/>
  <c r="I826" i="1"/>
  <c r="U826" i="1"/>
  <c r="I881" i="1"/>
  <c r="U881" i="1"/>
  <c r="I901" i="1"/>
  <c r="U901" i="1"/>
  <c r="I923" i="1"/>
  <c r="U923" i="1"/>
  <c r="I997" i="1"/>
  <c r="U997" i="1"/>
  <c r="I996" i="1"/>
  <c r="U996" i="1"/>
  <c r="I1003" i="1"/>
  <c r="U1003" i="1"/>
  <c r="I850" i="1"/>
  <c r="U850" i="1"/>
  <c r="I856" i="1"/>
  <c r="U856" i="1"/>
  <c r="I861" i="1"/>
  <c r="U861" i="1"/>
  <c r="I865" i="1"/>
  <c r="U865" i="1"/>
  <c r="I872" i="1"/>
  <c r="U872" i="1"/>
  <c r="I876" i="1"/>
  <c r="U876" i="1"/>
  <c r="I937" i="1"/>
  <c r="U937" i="1"/>
  <c r="I946" i="1"/>
  <c r="U946" i="1"/>
  <c r="I957" i="1"/>
  <c r="U957" i="1"/>
  <c r="I955" i="1"/>
  <c r="U955" i="1"/>
  <c r="I963" i="1"/>
  <c r="U963" i="1"/>
  <c r="I966" i="1"/>
  <c r="U966" i="1"/>
  <c r="I975" i="1"/>
  <c r="U975" i="1"/>
  <c r="I981" i="1"/>
  <c r="U981" i="1"/>
  <c r="I984" i="1"/>
  <c r="U984" i="1"/>
  <c r="I1022" i="1"/>
  <c r="U1022" i="1"/>
  <c r="I1032" i="1"/>
  <c r="U1032" i="1"/>
  <c r="I1058" i="1"/>
  <c r="U1058" i="1"/>
  <c r="I812" i="1"/>
  <c r="U812" i="1"/>
  <c r="I870" i="1"/>
  <c r="U870" i="1"/>
  <c r="I947" i="1"/>
  <c r="U947" i="1"/>
  <c r="I841" i="1"/>
  <c r="U841" i="1"/>
  <c r="I902" i="1"/>
  <c r="U902" i="1"/>
  <c r="I915" i="1"/>
  <c r="U915" i="1"/>
  <c r="I929" i="1"/>
  <c r="U929" i="1"/>
  <c r="I988" i="1"/>
  <c r="U988" i="1"/>
  <c r="I851" i="1"/>
  <c r="U851" i="1"/>
  <c r="I879" i="1"/>
  <c r="U879" i="1"/>
  <c r="I960" i="1"/>
  <c r="U960" i="1"/>
  <c r="I985" i="1"/>
  <c r="U985" i="1"/>
  <c r="I1057" i="1"/>
  <c r="U1057" i="1"/>
  <c r="I836" i="1"/>
  <c r="U836" i="1"/>
  <c r="I892" i="1"/>
  <c r="U892" i="1"/>
  <c r="I914" i="1"/>
  <c r="U914" i="1"/>
  <c r="I932" i="1"/>
  <c r="U932" i="1"/>
  <c r="I810" i="1"/>
  <c r="U810" i="1"/>
  <c r="I821" i="1"/>
  <c r="U821" i="1"/>
  <c r="I829" i="1"/>
  <c r="U829" i="1"/>
  <c r="I835" i="1"/>
  <c r="U835" i="1"/>
  <c r="I840" i="1"/>
  <c r="U840" i="1"/>
  <c r="I843" i="1"/>
  <c r="U843" i="1"/>
  <c r="I887" i="1"/>
  <c r="U887" i="1"/>
  <c r="I891" i="1"/>
  <c r="U891" i="1"/>
  <c r="I884" i="1"/>
  <c r="U884" i="1"/>
  <c r="I904" i="1"/>
  <c r="U904" i="1"/>
  <c r="I908" i="1"/>
  <c r="U908" i="1"/>
  <c r="I900" i="1"/>
  <c r="U900" i="1"/>
  <c r="I913" i="1"/>
  <c r="U913" i="1"/>
  <c r="I921" i="1"/>
  <c r="U921" i="1"/>
  <c r="I920" i="1"/>
  <c r="U920" i="1"/>
  <c r="I927" i="1"/>
  <c r="U927" i="1"/>
  <c r="I931" i="1"/>
  <c r="U931" i="1"/>
  <c r="I1004" i="1"/>
  <c r="U1004" i="1"/>
  <c r="I995" i="1"/>
  <c r="U995" i="1"/>
  <c r="I1011" i="1"/>
  <c r="U1011" i="1"/>
  <c r="I1026" i="1"/>
  <c r="U1026" i="1"/>
  <c r="I852" i="1"/>
  <c r="U852" i="1"/>
  <c r="I863" i="1"/>
  <c r="U863" i="1"/>
  <c r="I965" i="1"/>
  <c r="U965" i="1"/>
  <c r="I982" i="1"/>
  <c r="U982" i="1"/>
  <c r="I1034" i="1"/>
  <c r="U1034" i="1"/>
  <c r="I822" i="1"/>
  <c r="U822" i="1"/>
  <c r="I889" i="1"/>
  <c r="U889" i="1"/>
  <c r="I898" i="1"/>
  <c r="U898" i="1"/>
  <c r="I925" i="1"/>
  <c r="U925" i="1"/>
  <c r="I1009" i="1"/>
  <c r="U1009" i="1"/>
  <c r="I860" i="1"/>
  <c r="U860" i="1"/>
  <c r="I958" i="1"/>
  <c r="U958" i="1"/>
  <c r="I976" i="1"/>
  <c r="U976" i="1"/>
  <c r="I1033" i="1"/>
  <c r="U1033" i="1"/>
  <c r="I820" i="1"/>
  <c r="U820" i="1"/>
  <c r="I837" i="1"/>
  <c r="U837" i="1"/>
  <c r="I888" i="1"/>
  <c r="U888" i="1"/>
  <c r="I909" i="1"/>
  <c r="U909" i="1"/>
  <c r="I928" i="1"/>
  <c r="U928" i="1"/>
  <c r="I813" i="1"/>
  <c r="U813" i="1"/>
  <c r="I848" i="1"/>
  <c r="U848" i="1"/>
  <c r="I849" i="1"/>
  <c r="U849" i="1"/>
  <c r="I853" i="1"/>
  <c r="U853" i="1"/>
  <c r="I866" i="1"/>
  <c r="U866" i="1"/>
  <c r="I864" i="1"/>
  <c r="U864" i="1"/>
  <c r="I871" i="1"/>
  <c r="U871" i="1"/>
  <c r="I875" i="1"/>
  <c r="U875" i="1"/>
  <c r="I873" i="1"/>
  <c r="U873" i="1"/>
  <c r="I935" i="1"/>
  <c r="U935" i="1"/>
  <c r="I948" i="1"/>
  <c r="U948" i="1"/>
  <c r="I953" i="1"/>
  <c r="U953" i="1"/>
  <c r="I951" i="1"/>
  <c r="U951" i="1"/>
  <c r="I962" i="1"/>
  <c r="U962" i="1"/>
  <c r="I961" i="1"/>
  <c r="U961" i="1"/>
  <c r="I974" i="1"/>
  <c r="U974" i="1"/>
  <c r="I979" i="1"/>
  <c r="U979" i="1"/>
  <c r="I983" i="1"/>
  <c r="U983" i="1"/>
  <c r="I1021" i="1"/>
  <c r="U1021" i="1"/>
  <c r="I1031" i="1"/>
  <c r="U1031" i="1"/>
  <c r="I1050" i="1"/>
  <c r="U1050" i="1"/>
  <c r="I854" i="1"/>
  <c r="U854" i="1"/>
  <c r="I874" i="1"/>
  <c r="U874" i="1"/>
  <c r="I952" i="1"/>
  <c r="U952" i="1"/>
  <c r="I968" i="1"/>
  <c r="U968" i="1"/>
  <c r="I977" i="1"/>
  <c r="U977" i="1"/>
  <c r="I1020" i="1"/>
  <c r="U1020" i="1"/>
  <c r="I827" i="1"/>
  <c r="U827" i="1"/>
  <c r="I894" i="1"/>
  <c r="U894" i="1"/>
  <c r="I906" i="1"/>
  <c r="U906" i="1"/>
  <c r="I918" i="1"/>
  <c r="U918" i="1"/>
  <c r="I1012" i="1"/>
  <c r="U1012" i="1"/>
  <c r="I811" i="1"/>
  <c r="U811" i="1"/>
  <c r="I845" i="1"/>
  <c r="U845" i="1"/>
  <c r="I862" i="1"/>
  <c r="U862" i="1"/>
  <c r="I950" i="1"/>
  <c r="U950" i="1"/>
  <c r="I973" i="1"/>
  <c r="U973" i="1"/>
  <c r="I1019" i="1"/>
  <c r="U1019" i="1"/>
  <c r="I883" i="1"/>
  <c r="U883" i="1"/>
  <c r="I905" i="1"/>
  <c r="U905" i="1"/>
  <c r="I917" i="1"/>
  <c r="U917" i="1"/>
  <c r="I814" i="1"/>
  <c r="U814" i="1"/>
  <c r="I819" i="1"/>
  <c r="U819" i="1"/>
  <c r="I828" i="1"/>
  <c r="U828" i="1"/>
  <c r="I834" i="1"/>
  <c r="U834" i="1"/>
  <c r="I839" i="1"/>
  <c r="U839" i="1"/>
  <c r="I831" i="1"/>
  <c r="U831" i="1"/>
  <c r="I886" i="1"/>
  <c r="U886" i="1"/>
  <c r="I890" i="1"/>
  <c r="U890" i="1"/>
  <c r="I885" i="1"/>
  <c r="U885" i="1"/>
  <c r="I903" i="1"/>
  <c r="U903" i="1"/>
  <c r="I907" i="1"/>
  <c r="U907" i="1"/>
  <c r="I896" i="1"/>
  <c r="U896" i="1"/>
  <c r="I911" i="1"/>
  <c r="U911" i="1"/>
  <c r="I916" i="1"/>
  <c r="U916" i="1"/>
  <c r="I919" i="1"/>
  <c r="U919" i="1"/>
  <c r="I926" i="1"/>
  <c r="U926" i="1"/>
  <c r="I930" i="1"/>
  <c r="U930" i="1"/>
  <c r="I994" i="1"/>
  <c r="U994" i="1"/>
  <c r="I1010" i="1"/>
  <c r="U1010" i="1"/>
  <c r="I1025" i="1"/>
  <c r="U1025" i="1"/>
  <c r="I878" i="15"/>
  <c r="AC878" i="15"/>
  <c r="I877" i="15"/>
  <c r="AC877" i="15"/>
  <c r="G1472" i="4"/>
  <c r="G1464" i="4"/>
  <c r="G1456" i="4"/>
  <c r="G1442" i="4"/>
  <c r="G1420" i="4"/>
  <c r="G1449" i="4"/>
  <c r="G1435" i="4"/>
  <c r="G1428" i="4"/>
  <c r="G1413" i="4"/>
  <c r="G1406" i="4"/>
  <c r="X809" i="1" s="1"/>
  <c r="X817" i="1" s="1"/>
  <c r="H817" i="1" s="1"/>
  <c r="G1399" i="4"/>
  <c r="X803" i="15" s="1"/>
  <c r="G1393" i="4"/>
  <c r="F1382" i="4"/>
  <c r="G1382" i="4" s="1"/>
  <c r="F1384" i="4"/>
  <c r="G1384" i="4" s="1"/>
  <c r="F1383" i="4"/>
  <c r="G1383" i="4" s="1"/>
  <c r="AB752" i="1"/>
  <c r="X752" i="1"/>
  <c r="H752" i="1" s="1"/>
  <c r="AB747" i="1"/>
  <c r="X747" i="1"/>
  <c r="H747" i="1" s="1"/>
  <c r="I752" i="1" l="1"/>
  <c r="U752" i="1"/>
  <c r="I747" i="1"/>
  <c r="U747" i="1"/>
  <c r="I817" i="1"/>
  <c r="U817" i="1"/>
  <c r="I868" i="15"/>
  <c r="X941" i="1"/>
  <c r="H941" i="1" s="1"/>
  <c r="X779" i="15"/>
  <c r="H779" i="15" s="1"/>
  <c r="U779" i="15" s="1"/>
  <c r="X791" i="15"/>
  <c r="H791" i="15" s="1"/>
  <c r="U791" i="15" s="1"/>
  <c r="X806" i="15"/>
  <c r="H806" i="15" s="1"/>
  <c r="U806" i="15" s="1"/>
  <c r="X777" i="15"/>
  <c r="H777" i="15" s="1"/>
  <c r="U777" i="15" s="1"/>
  <c r="X778" i="15"/>
  <c r="H778" i="15" s="1"/>
  <c r="U778" i="15" s="1"/>
  <c r="X809" i="15"/>
  <c r="H809" i="15" s="1"/>
  <c r="U809" i="15" s="1"/>
  <c r="X794" i="15"/>
  <c r="H794" i="15" s="1"/>
  <c r="U794" i="15" s="1"/>
  <c r="X1007" i="1"/>
  <c r="H1007" i="1" s="1"/>
  <c r="X793" i="15"/>
  <c r="H793" i="15" s="1"/>
  <c r="U793" i="15" s="1"/>
  <c r="X808" i="15"/>
  <c r="H808" i="15" s="1"/>
  <c r="U808" i="15" s="1"/>
  <c r="X815" i="15"/>
  <c r="H815" i="15" s="1"/>
  <c r="U815" i="15" s="1"/>
  <c r="X782" i="15"/>
  <c r="H782" i="15" s="1"/>
  <c r="U782" i="15" s="1"/>
  <c r="X800" i="15"/>
  <c r="H800" i="15" s="1"/>
  <c r="U800" i="15" s="1"/>
  <c r="X792" i="15"/>
  <c r="H792" i="15" s="1"/>
  <c r="U792" i="15" s="1"/>
  <c r="X807" i="15"/>
  <c r="H807" i="15" s="1"/>
  <c r="U807" i="15" s="1"/>
  <c r="X788" i="15"/>
  <c r="H788" i="15" s="1"/>
  <c r="U788" i="15" s="1"/>
  <c r="H803" i="15"/>
  <c r="U803" i="15" s="1"/>
  <c r="X814" i="15"/>
  <c r="H814" i="15" s="1"/>
  <c r="U814" i="15" s="1"/>
  <c r="X799" i="15"/>
  <c r="H799" i="15" s="1"/>
  <c r="U799" i="15" s="1"/>
  <c r="X780" i="15"/>
  <c r="H780" i="15" s="1"/>
  <c r="U780" i="15" s="1"/>
  <c r="X945" i="1"/>
  <c r="H945" i="1" s="1"/>
  <c r="X801" i="15"/>
  <c r="H801" i="15" s="1"/>
  <c r="U801" i="15" s="1"/>
  <c r="X816" i="15"/>
  <c r="H816" i="15" s="1"/>
  <c r="U816" i="15" s="1"/>
  <c r="X783" i="15"/>
  <c r="H783" i="15" s="1"/>
  <c r="U783" i="15" s="1"/>
  <c r="X753" i="1"/>
  <c r="H753" i="1" s="1"/>
  <c r="X633" i="15"/>
  <c r="H633" i="15" s="1"/>
  <c r="U633" i="15" s="1"/>
  <c r="X943" i="1"/>
  <c r="H943" i="1" s="1"/>
  <c r="X781" i="15"/>
  <c r="H781" i="15" s="1"/>
  <c r="U781" i="15" s="1"/>
  <c r="X992" i="1"/>
  <c r="H992" i="1" s="1"/>
  <c r="X991" i="1"/>
  <c r="H991" i="1" s="1"/>
  <c r="X1006" i="1"/>
  <c r="H1006" i="1" s="1"/>
  <c r="X1000" i="1"/>
  <c r="H1000" i="1" s="1"/>
  <c r="X944" i="1"/>
  <c r="H944" i="1" s="1"/>
  <c r="X999" i="1"/>
  <c r="X942" i="1"/>
  <c r="H942" i="1" s="1"/>
  <c r="X998" i="1"/>
  <c r="X808" i="1"/>
  <c r="X816" i="1" s="1"/>
  <c r="X1002" i="1"/>
  <c r="H1002" i="1" s="1"/>
  <c r="X987" i="1"/>
  <c r="H987" i="1" s="1"/>
  <c r="X939" i="1"/>
  <c r="H939" i="1" s="1"/>
  <c r="X990" i="1"/>
  <c r="H990" i="1" s="1"/>
  <c r="X1005" i="1"/>
  <c r="H1005" i="1" s="1"/>
  <c r="X940" i="1"/>
  <c r="H940" i="1" s="1"/>
  <c r="X1008" i="1"/>
  <c r="H1008" i="1" s="1"/>
  <c r="X993" i="1"/>
  <c r="H993" i="1" s="1"/>
  <c r="X825" i="1"/>
  <c r="H825" i="1" s="1"/>
  <c r="H809" i="1"/>
  <c r="G1385" i="4"/>
  <c r="Q682" i="15" l="1"/>
  <c r="U682" i="15" s="1"/>
  <c r="I1000" i="1"/>
  <c r="U1000" i="1"/>
  <c r="I1007" i="1"/>
  <c r="U1007" i="1"/>
  <c r="I941" i="1"/>
  <c r="U941" i="1"/>
  <c r="I990" i="1"/>
  <c r="U990" i="1"/>
  <c r="I1005" i="1"/>
  <c r="U1005" i="1"/>
  <c r="I939" i="1"/>
  <c r="U939" i="1"/>
  <c r="I944" i="1"/>
  <c r="U944" i="1"/>
  <c r="I940" i="1"/>
  <c r="U940" i="1"/>
  <c r="I942" i="1"/>
  <c r="U942" i="1"/>
  <c r="I1008" i="1"/>
  <c r="U1008" i="1"/>
  <c r="I993" i="1"/>
  <c r="U993" i="1"/>
  <c r="I945" i="1"/>
  <c r="U945" i="1"/>
  <c r="I825" i="1"/>
  <c r="U825" i="1"/>
  <c r="I1002" i="1"/>
  <c r="U1002" i="1"/>
  <c r="I991" i="1"/>
  <c r="U991" i="1"/>
  <c r="I753" i="1"/>
  <c r="U753" i="1"/>
  <c r="I943" i="1"/>
  <c r="U943" i="1"/>
  <c r="I992" i="1"/>
  <c r="U992" i="1"/>
  <c r="I809" i="1"/>
  <c r="U809" i="1"/>
  <c r="I987" i="1"/>
  <c r="U987" i="1"/>
  <c r="I1006" i="1"/>
  <c r="U1006" i="1"/>
  <c r="I794" i="15"/>
  <c r="AC794" i="15"/>
  <c r="I807" i="15"/>
  <c r="AC807" i="15"/>
  <c r="I801" i="15"/>
  <c r="AC801" i="15"/>
  <c r="I800" i="15"/>
  <c r="AC800" i="15"/>
  <c r="I782" i="15"/>
  <c r="AC782" i="15"/>
  <c r="I815" i="15"/>
  <c r="AC815" i="15"/>
  <c r="I806" i="15"/>
  <c r="AC806" i="15"/>
  <c r="I809" i="15"/>
  <c r="AC809" i="15"/>
  <c r="I781" i="15"/>
  <c r="AC781" i="15"/>
  <c r="I791" i="15"/>
  <c r="AC791" i="15"/>
  <c r="I777" i="15"/>
  <c r="AC777" i="15"/>
  <c r="I633" i="15"/>
  <c r="AC633" i="15"/>
  <c r="I808" i="15"/>
  <c r="AC808" i="15"/>
  <c r="I803" i="15"/>
  <c r="AC803" i="15"/>
  <c r="I793" i="15"/>
  <c r="AC793" i="15"/>
  <c r="I779" i="15"/>
  <c r="AC779" i="15"/>
  <c r="I816" i="15"/>
  <c r="AC816" i="15"/>
  <c r="I792" i="15"/>
  <c r="AC792" i="15"/>
  <c r="I778" i="15"/>
  <c r="AC778" i="15"/>
  <c r="I780" i="15"/>
  <c r="AC780" i="15"/>
  <c r="I799" i="15"/>
  <c r="AC799" i="15"/>
  <c r="I814" i="15"/>
  <c r="AC814" i="15"/>
  <c r="I783" i="15"/>
  <c r="AC783" i="15"/>
  <c r="I788" i="15"/>
  <c r="AC788" i="15"/>
  <c r="X750" i="1"/>
  <c r="H750" i="1" s="1"/>
  <c r="X632" i="15"/>
  <c r="H632" i="15" s="1"/>
  <c r="U632" i="15" s="1"/>
  <c r="X1015" i="1"/>
  <c r="H1015" i="1" s="1"/>
  <c r="H808" i="1"/>
  <c r="X1013" i="1"/>
  <c r="H1013" i="1" s="1"/>
  <c r="H998" i="1"/>
  <c r="H999" i="1"/>
  <c r="X1014" i="1"/>
  <c r="H1014" i="1" s="1"/>
  <c r="H816" i="1"/>
  <c r="X824" i="1"/>
  <c r="H824" i="1" s="1"/>
  <c r="F1377" i="4"/>
  <c r="G1377" i="4" s="1"/>
  <c r="F1376" i="4"/>
  <c r="G1376" i="4" s="1"/>
  <c r="F1375" i="4"/>
  <c r="G1375" i="4" s="1"/>
  <c r="F1370" i="4"/>
  <c r="G1370" i="4" s="1"/>
  <c r="F1369" i="4"/>
  <c r="G1369" i="4" s="1"/>
  <c r="F1368" i="4"/>
  <c r="G1368" i="4" s="1"/>
  <c r="I1363" i="4"/>
  <c r="F1363" i="4"/>
  <c r="G1363" i="4" s="1"/>
  <c r="I1362" i="4"/>
  <c r="F1362" i="4"/>
  <c r="G1362" i="4" s="1"/>
  <c r="I1356" i="4"/>
  <c r="F1356" i="4"/>
  <c r="G1356" i="4" s="1"/>
  <c r="I1355" i="4"/>
  <c r="F1355" i="4"/>
  <c r="G1355" i="4" s="1"/>
  <c r="C695" i="1"/>
  <c r="C771" i="1" s="1"/>
  <c r="C694" i="1"/>
  <c r="C772" i="1" s="1"/>
  <c r="D695" i="1"/>
  <c r="D771" i="1" s="1"/>
  <c r="D694" i="1"/>
  <c r="D772" i="1" s="1"/>
  <c r="F1345" i="4"/>
  <c r="G1345" i="4" s="1"/>
  <c r="G1346" i="4" s="1"/>
  <c r="AB804" i="1"/>
  <c r="X804" i="1"/>
  <c r="H804" i="1" s="1"/>
  <c r="AB802" i="1"/>
  <c r="AB801" i="1"/>
  <c r="X801" i="1"/>
  <c r="H801" i="1" s="1"/>
  <c r="AB800" i="1"/>
  <c r="X800" i="1"/>
  <c r="H800" i="1" s="1"/>
  <c r="AB799" i="1"/>
  <c r="X799" i="1"/>
  <c r="H799" i="1" s="1"/>
  <c r="AB798" i="1"/>
  <c r="X798" i="1"/>
  <c r="H798" i="1" s="1"/>
  <c r="AB797" i="1"/>
  <c r="X797" i="1"/>
  <c r="H797" i="1" s="1"/>
  <c r="AB796" i="1"/>
  <c r="X796" i="1"/>
  <c r="H796" i="1" s="1"/>
  <c r="AB795" i="1"/>
  <c r="X795" i="1"/>
  <c r="H795" i="1" s="1"/>
  <c r="AB794" i="1"/>
  <c r="X794" i="1"/>
  <c r="H794" i="1" s="1"/>
  <c r="AB793" i="1"/>
  <c r="X793" i="1"/>
  <c r="H793" i="1" s="1"/>
  <c r="AB791" i="1"/>
  <c r="X791" i="1"/>
  <c r="H791" i="1" s="1"/>
  <c r="F1339" i="4"/>
  <c r="G1339" i="4" s="1"/>
  <c r="I1341" i="4"/>
  <c r="F1341" i="4"/>
  <c r="G1341" i="4" s="1"/>
  <c r="I1340" i="4"/>
  <c r="F1340" i="4"/>
  <c r="G1340" i="4" s="1"/>
  <c r="F1332" i="4"/>
  <c r="G1332" i="4" s="1"/>
  <c r="I1333" i="4"/>
  <c r="F1333" i="4"/>
  <c r="G1333" i="4" s="1"/>
  <c r="I1334" i="4"/>
  <c r="F1334" i="4"/>
  <c r="G1334" i="4" s="1"/>
  <c r="F1325" i="4"/>
  <c r="G1325" i="4" s="1"/>
  <c r="F1319" i="4"/>
  <c r="G1319" i="4" s="1"/>
  <c r="F648" i="1"/>
  <c r="AB763" i="1"/>
  <c r="X763" i="1"/>
  <c r="H763" i="1" s="1"/>
  <c r="AB762" i="1"/>
  <c r="X762" i="1"/>
  <c r="H762" i="1" s="1"/>
  <c r="AB789" i="1"/>
  <c r="X789" i="1"/>
  <c r="H789" i="1" s="1"/>
  <c r="AB788" i="1"/>
  <c r="X788" i="1"/>
  <c r="H788" i="1" s="1"/>
  <c r="AB787" i="1"/>
  <c r="X787" i="1"/>
  <c r="H787" i="1" s="1"/>
  <c r="AB786" i="1"/>
  <c r="X786" i="1"/>
  <c r="H786" i="1" s="1"/>
  <c r="AB785" i="1"/>
  <c r="X785" i="1"/>
  <c r="H785" i="1" s="1"/>
  <c r="AB784" i="1"/>
  <c r="X784" i="1"/>
  <c r="H784" i="1" s="1"/>
  <c r="AB783" i="1"/>
  <c r="X783" i="1"/>
  <c r="H783" i="1" s="1"/>
  <c r="AB782" i="1"/>
  <c r="X782" i="1"/>
  <c r="H782" i="1" s="1"/>
  <c r="AB781" i="1"/>
  <c r="X781" i="1"/>
  <c r="H781" i="1" s="1"/>
  <c r="AB780" i="1"/>
  <c r="X780" i="1"/>
  <c r="H780" i="1" s="1"/>
  <c r="AB779" i="1"/>
  <c r="X779" i="1"/>
  <c r="H779" i="1" s="1"/>
  <c r="AB766" i="1"/>
  <c r="X766" i="1"/>
  <c r="H766" i="1" s="1"/>
  <c r="AB765" i="1"/>
  <c r="X765" i="1"/>
  <c r="H765" i="1" s="1"/>
  <c r="AB760" i="1"/>
  <c r="X760" i="1"/>
  <c r="H760" i="1" s="1"/>
  <c r="AB759" i="1"/>
  <c r="X759" i="1"/>
  <c r="H759" i="1" s="1"/>
  <c r="AB758" i="1"/>
  <c r="X758" i="1"/>
  <c r="H758" i="1" s="1"/>
  <c r="AB757" i="1"/>
  <c r="X757" i="1"/>
  <c r="H757" i="1" s="1"/>
  <c r="AB756" i="1"/>
  <c r="X756" i="1"/>
  <c r="H756" i="1" s="1"/>
  <c r="AB755" i="1"/>
  <c r="X755" i="1"/>
  <c r="H755" i="1" s="1"/>
  <c r="AB691" i="1"/>
  <c r="X691" i="1"/>
  <c r="H691" i="1" s="1"/>
  <c r="AB690" i="1"/>
  <c r="X690" i="1"/>
  <c r="H690" i="1" s="1"/>
  <c r="AB740" i="1"/>
  <c r="X740" i="1"/>
  <c r="H740" i="1" s="1"/>
  <c r="AB739" i="1"/>
  <c r="X739" i="1"/>
  <c r="H739" i="1" s="1"/>
  <c r="AB738" i="1"/>
  <c r="X738" i="1"/>
  <c r="H738" i="1" s="1"/>
  <c r="AB737" i="1"/>
  <c r="X737" i="1"/>
  <c r="H737" i="1" s="1"/>
  <c r="AB736" i="1"/>
  <c r="X736" i="1"/>
  <c r="H736" i="1" s="1"/>
  <c r="AB735" i="1"/>
  <c r="X735" i="1"/>
  <c r="H735" i="1" s="1"/>
  <c r="AB733" i="1"/>
  <c r="X733" i="1"/>
  <c r="H733" i="1" s="1"/>
  <c r="B704" i="1"/>
  <c r="D704" i="1"/>
  <c r="B705" i="1"/>
  <c r="D705" i="1"/>
  <c r="B706" i="1"/>
  <c r="D706" i="1"/>
  <c r="B707" i="1"/>
  <c r="B777" i="1" s="1"/>
  <c r="C707" i="1"/>
  <c r="C777" i="1" s="1"/>
  <c r="D707" i="1"/>
  <c r="D777" i="1" s="1"/>
  <c r="B703" i="1"/>
  <c r="AB719" i="1"/>
  <c r="X719" i="1"/>
  <c r="H719" i="1" s="1"/>
  <c r="AB718" i="1"/>
  <c r="X718" i="1"/>
  <c r="H718" i="1" s="1"/>
  <c r="AB715" i="1"/>
  <c r="X715" i="1"/>
  <c r="H715" i="1" s="1"/>
  <c r="AB714" i="1"/>
  <c r="X714" i="1"/>
  <c r="H714" i="1" s="1"/>
  <c r="AB710" i="1"/>
  <c r="X710" i="1"/>
  <c r="H710" i="1" s="1"/>
  <c r="AB709" i="1"/>
  <c r="X709" i="1"/>
  <c r="H709" i="1" s="1"/>
  <c r="AB688" i="1"/>
  <c r="X688" i="1"/>
  <c r="H688" i="1" s="1"/>
  <c r="AB687" i="1"/>
  <c r="X687" i="1"/>
  <c r="H687" i="1" s="1"/>
  <c r="AB686" i="1"/>
  <c r="X686" i="1"/>
  <c r="H686" i="1" s="1"/>
  <c r="AB685" i="1"/>
  <c r="X685" i="1"/>
  <c r="H685" i="1" s="1"/>
  <c r="AB684" i="1"/>
  <c r="X684" i="1"/>
  <c r="H684" i="1" s="1"/>
  <c r="AB683" i="1"/>
  <c r="X683" i="1"/>
  <c r="H683" i="1" s="1"/>
  <c r="AB673" i="1"/>
  <c r="X673" i="1"/>
  <c r="H673" i="1" s="1"/>
  <c r="AB670" i="1"/>
  <c r="X670" i="1"/>
  <c r="H670" i="1" s="1"/>
  <c r="AB669" i="1"/>
  <c r="X669" i="1"/>
  <c r="H669" i="1" s="1"/>
  <c r="AB668" i="1"/>
  <c r="X668" i="1"/>
  <c r="H668" i="1" s="1"/>
  <c r="AB667" i="1"/>
  <c r="X667" i="1"/>
  <c r="H667" i="1" s="1"/>
  <c r="AB666" i="1"/>
  <c r="X666" i="1"/>
  <c r="H666" i="1" s="1"/>
  <c r="AB665" i="1"/>
  <c r="X665" i="1"/>
  <c r="H665" i="1" s="1"/>
  <c r="AB656" i="1"/>
  <c r="X656" i="1"/>
  <c r="H656" i="1" s="1"/>
  <c r="B655" i="1"/>
  <c r="B654" i="1"/>
  <c r="I1311" i="4"/>
  <c r="F1311" i="4"/>
  <c r="G1311" i="4" s="1"/>
  <c r="I1313" i="4"/>
  <c r="F1313" i="4"/>
  <c r="G1313" i="4" s="1"/>
  <c r="I1312" i="4"/>
  <c r="F1312" i="4"/>
  <c r="G1312" i="4" s="1"/>
  <c r="F1306" i="4"/>
  <c r="G1306" i="4" s="1"/>
  <c r="F1305" i="4"/>
  <c r="G1305" i="4" s="1"/>
  <c r="F1304" i="4"/>
  <c r="G1304" i="4" s="1"/>
  <c r="F1299" i="4"/>
  <c r="G1299" i="4" s="1"/>
  <c r="F1298" i="4"/>
  <c r="G1298" i="4" s="1"/>
  <c r="F1297" i="4"/>
  <c r="G1297" i="4" s="1"/>
  <c r="F1292" i="4"/>
  <c r="G1292" i="4" s="1"/>
  <c r="F1291" i="4"/>
  <c r="G1291" i="4" s="1"/>
  <c r="F1290" i="4"/>
  <c r="G1290" i="4" s="1"/>
  <c r="F1285" i="4"/>
  <c r="G1285" i="4" s="1"/>
  <c r="F1284" i="4"/>
  <c r="G1284" i="4" s="1"/>
  <c r="F1283" i="4"/>
  <c r="G1283" i="4" s="1"/>
  <c r="F1278" i="4"/>
  <c r="G1278" i="4" s="1"/>
  <c r="F1277" i="4"/>
  <c r="G1277" i="4" s="1"/>
  <c r="F1276" i="4"/>
  <c r="G1276" i="4" s="1"/>
  <c r="F1271" i="4"/>
  <c r="G1271" i="4" s="1"/>
  <c r="F1270" i="4"/>
  <c r="G1270" i="4" s="1"/>
  <c r="F1269" i="4"/>
  <c r="G1269" i="4" s="1"/>
  <c r="F1264" i="4"/>
  <c r="G1264" i="4" s="1"/>
  <c r="F1263" i="4"/>
  <c r="G1263" i="4" s="1"/>
  <c r="F1262" i="4"/>
  <c r="G1262" i="4" s="1"/>
  <c r="F1257" i="4"/>
  <c r="G1257" i="4" s="1"/>
  <c r="F1256" i="4"/>
  <c r="G1256" i="4" s="1"/>
  <c r="F1255" i="4"/>
  <c r="G1255" i="4" s="1"/>
  <c r="F598" i="1"/>
  <c r="F606" i="1"/>
  <c r="F604" i="1"/>
  <c r="F1248" i="4"/>
  <c r="G1248" i="4" s="1"/>
  <c r="I1250" i="4"/>
  <c r="F1250" i="4"/>
  <c r="G1250" i="4" s="1"/>
  <c r="I1249" i="4"/>
  <c r="F1249" i="4"/>
  <c r="G1249" i="4" s="1"/>
  <c r="I1243" i="4"/>
  <c r="F1243" i="4"/>
  <c r="G1243" i="4" s="1"/>
  <c r="I1242" i="4"/>
  <c r="F1242" i="4"/>
  <c r="G1242" i="4" s="1"/>
  <c r="I1241" i="4"/>
  <c r="F1241" i="4"/>
  <c r="G1241" i="4" s="1"/>
  <c r="F1236" i="4"/>
  <c r="G1236" i="4" s="1"/>
  <c r="F1235" i="4"/>
  <c r="G1235" i="4" s="1"/>
  <c r="F1234" i="4"/>
  <c r="G1234" i="4" s="1"/>
  <c r="F1229" i="4"/>
  <c r="G1229" i="4" s="1"/>
  <c r="F1228" i="4"/>
  <c r="G1228" i="4" s="1"/>
  <c r="F1227" i="4"/>
  <c r="G1227" i="4" s="1"/>
  <c r="F1222" i="4"/>
  <c r="G1222" i="4" s="1"/>
  <c r="F1221" i="4"/>
  <c r="G1221" i="4" s="1"/>
  <c r="F1220" i="4"/>
  <c r="G1220" i="4" s="1"/>
  <c r="F1215" i="4"/>
  <c r="G1215" i="4" s="1"/>
  <c r="F1214" i="4"/>
  <c r="G1214" i="4" s="1"/>
  <c r="F1213" i="4"/>
  <c r="G1213" i="4" s="1"/>
  <c r="F1208" i="4"/>
  <c r="G1208" i="4" s="1"/>
  <c r="F1207" i="4"/>
  <c r="G1207" i="4" s="1"/>
  <c r="F1206" i="4"/>
  <c r="G1206" i="4" s="1"/>
  <c r="F1199" i="4"/>
  <c r="G1199" i="4" s="1"/>
  <c r="F1201" i="4"/>
  <c r="G1201" i="4" s="1"/>
  <c r="F1200" i="4"/>
  <c r="G1200" i="4" s="1"/>
  <c r="F1192" i="4"/>
  <c r="G1192" i="4" s="1"/>
  <c r="F1194" i="4"/>
  <c r="G1194" i="4" s="1"/>
  <c r="F1193" i="4"/>
  <c r="G1193" i="4" s="1"/>
  <c r="I1185" i="4"/>
  <c r="F1185" i="4"/>
  <c r="G1185" i="4" s="1"/>
  <c r="I1184" i="4"/>
  <c r="F1184" i="4"/>
  <c r="G1184" i="4" s="1"/>
  <c r="I1183" i="4"/>
  <c r="F1183" i="4"/>
  <c r="G1183" i="4" s="1"/>
  <c r="I1187" i="4"/>
  <c r="F1187" i="4"/>
  <c r="G1187" i="4" s="1"/>
  <c r="I1186" i="4"/>
  <c r="F1186" i="4"/>
  <c r="G1186" i="4" s="1"/>
  <c r="F1178" i="4"/>
  <c r="G1178" i="4" s="1"/>
  <c r="F1177" i="4"/>
  <c r="G1177" i="4" s="1"/>
  <c r="F1176" i="4"/>
  <c r="G1176" i="4" s="1"/>
  <c r="F1171" i="4"/>
  <c r="G1171" i="4" s="1"/>
  <c r="F1170" i="4"/>
  <c r="G1170" i="4" s="1"/>
  <c r="F1169" i="4"/>
  <c r="G1169" i="4" s="1"/>
  <c r="F1162" i="4"/>
  <c r="G1162" i="4" s="1"/>
  <c r="F1164" i="4"/>
  <c r="G1164" i="4" s="1"/>
  <c r="F1163" i="4"/>
  <c r="G1163" i="4" s="1"/>
  <c r="F1155" i="4"/>
  <c r="G1155" i="4" s="1"/>
  <c r="F1157" i="4"/>
  <c r="G1157" i="4" s="1"/>
  <c r="F1156" i="4"/>
  <c r="G1156" i="4" s="1"/>
  <c r="F1148" i="4"/>
  <c r="G1148" i="4" s="1"/>
  <c r="F1150" i="4"/>
  <c r="G1150" i="4" s="1"/>
  <c r="F1149" i="4"/>
  <c r="G1149" i="4" s="1"/>
  <c r="F1120" i="4"/>
  <c r="G1120" i="4" s="1"/>
  <c r="F1122" i="4"/>
  <c r="G1122" i="4" s="1"/>
  <c r="F1121" i="4"/>
  <c r="G1121" i="4" s="1"/>
  <c r="F1127" i="4"/>
  <c r="G1127" i="4" s="1"/>
  <c r="F1129" i="4"/>
  <c r="G1129" i="4" s="1"/>
  <c r="F1128" i="4"/>
  <c r="G1128" i="4" s="1"/>
  <c r="F1141" i="4"/>
  <c r="G1141" i="4" s="1"/>
  <c r="F1143" i="4"/>
  <c r="G1143" i="4" s="1"/>
  <c r="F1142" i="4"/>
  <c r="G1142" i="4" s="1"/>
  <c r="F1134" i="4"/>
  <c r="G1134" i="4" s="1"/>
  <c r="F1136" i="4"/>
  <c r="G1136" i="4" s="1"/>
  <c r="F1135" i="4"/>
  <c r="G1135" i="4" s="1"/>
  <c r="F1085" i="4"/>
  <c r="G1085" i="4" s="1"/>
  <c r="F1087" i="4"/>
  <c r="G1087" i="4" s="1"/>
  <c r="F1086" i="4"/>
  <c r="G1086" i="4" s="1"/>
  <c r="F1113" i="4"/>
  <c r="G1113" i="4" s="1"/>
  <c r="F1115" i="4"/>
  <c r="G1115" i="4" s="1"/>
  <c r="F1114" i="4"/>
  <c r="G1114" i="4" s="1"/>
  <c r="F1106" i="4"/>
  <c r="G1106" i="4" s="1"/>
  <c r="F1108" i="4"/>
  <c r="G1108" i="4" s="1"/>
  <c r="F1107" i="4"/>
  <c r="G1107" i="4" s="1"/>
  <c r="F1099" i="4"/>
  <c r="G1099" i="4" s="1"/>
  <c r="F1101" i="4"/>
  <c r="G1101" i="4" s="1"/>
  <c r="F1100" i="4"/>
  <c r="G1100" i="4" s="1"/>
  <c r="F1092" i="4"/>
  <c r="G1092" i="4" s="1"/>
  <c r="F1094" i="4"/>
  <c r="G1094" i="4" s="1"/>
  <c r="F1093" i="4"/>
  <c r="G1093" i="4" s="1"/>
  <c r="F1078" i="4"/>
  <c r="G1078" i="4" s="1"/>
  <c r="F1080" i="4"/>
  <c r="G1080" i="4" s="1"/>
  <c r="F1079" i="4"/>
  <c r="G1079" i="4" s="1"/>
  <c r="F1064" i="4"/>
  <c r="G1064" i="4" s="1"/>
  <c r="F1066" i="4"/>
  <c r="G1066" i="4" s="1"/>
  <c r="F1065" i="4"/>
  <c r="G1065" i="4" s="1"/>
  <c r="F1057" i="4"/>
  <c r="G1057" i="4" s="1"/>
  <c r="F1059" i="4"/>
  <c r="G1059" i="4" s="1"/>
  <c r="F1058" i="4"/>
  <c r="G1058" i="4" s="1"/>
  <c r="F1050" i="4"/>
  <c r="G1050" i="4" s="1"/>
  <c r="F1052" i="4"/>
  <c r="G1052" i="4" s="1"/>
  <c r="F1051" i="4"/>
  <c r="G1051" i="4" s="1"/>
  <c r="F1071" i="4"/>
  <c r="G1071" i="4" s="1"/>
  <c r="F1073" i="4"/>
  <c r="G1073" i="4" s="1"/>
  <c r="F1072" i="4"/>
  <c r="G1072" i="4" s="1"/>
  <c r="F1029" i="4"/>
  <c r="G1029" i="4" s="1"/>
  <c r="I1031" i="4"/>
  <c r="F1031" i="4"/>
  <c r="G1031" i="4" s="1"/>
  <c r="I1030" i="4"/>
  <c r="F1030" i="4"/>
  <c r="G1030" i="4" s="1"/>
  <c r="F1043" i="4"/>
  <c r="G1043" i="4" s="1"/>
  <c r="F1036" i="4"/>
  <c r="G1036" i="4" s="1"/>
  <c r="I1045" i="4"/>
  <c r="F1045" i="4"/>
  <c r="G1045" i="4" s="1"/>
  <c r="I1044" i="4"/>
  <c r="F1044" i="4"/>
  <c r="G1044" i="4" s="1"/>
  <c r="I1038" i="4"/>
  <c r="F1038" i="4"/>
  <c r="G1038" i="4" s="1"/>
  <c r="I1037" i="4"/>
  <c r="F1037" i="4"/>
  <c r="G1037" i="4" s="1"/>
  <c r="I1024" i="4"/>
  <c r="F1024" i="4"/>
  <c r="G1024" i="4" s="1"/>
  <c r="I1023" i="4"/>
  <c r="F1023" i="4"/>
  <c r="G1023" i="4" s="1"/>
  <c r="AB636" i="1"/>
  <c r="X636" i="1"/>
  <c r="H636" i="1" s="1"/>
  <c r="AB635" i="1"/>
  <c r="X635" i="1"/>
  <c r="H635" i="1" s="1"/>
  <c r="AB634" i="1"/>
  <c r="X634" i="1"/>
  <c r="H634" i="1" s="1"/>
  <c r="AB633" i="1"/>
  <c r="X633" i="1"/>
  <c r="H633" i="1" s="1"/>
  <c r="AB627" i="1"/>
  <c r="X627" i="1"/>
  <c r="H627" i="1" s="1"/>
  <c r="AB625" i="1"/>
  <c r="X625" i="1"/>
  <c r="H625" i="1" s="1"/>
  <c r="AB618" i="1"/>
  <c r="X618" i="1"/>
  <c r="H618" i="1" s="1"/>
  <c r="AB619" i="1"/>
  <c r="X619" i="1"/>
  <c r="H619" i="1" s="1"/>
  <c r="U619" i="1" s="1"/>
  <c r="AB620" i="1"/>
  <c r="X620" i="1"/>
  <c r="H620" i="1" s="1"/>
  <c r="AB621" i="1"/>
  <c r="X621" i="1"/>
  <c r="H621" i="1" s="1"/>
  <c r="F619" i="1"/>
  <c r="AB622" i="1"/>
  <c r="X622" i="1"/>
  <c r="H622" i="1" s="1"/>
  <c r="AB623" i="1"/>
  <c r="X623" i="1"/>
  <c r="H623" i="1" s="1"/>
  <c r="AB499" i="1"/>
  <c r="X499" i="1"/>
  <c r="H499" i="1" s="1"/>
  <c r="AB498" i="1"/>
  <c r="X498" i="1"/>
  <c r="H498" i="1" s="1"/>
  <c r="U498" i="1" s="1"/>
  <c r="AB497" i="1"/>
  <c r="X497" i="1"/>
  <c r="H497" i="1" s="1"/>
  <c r="U497" i="1" s="1"/>
  <c r="F497" i="1"/>
  <c r="F498" i="1"/>
  <c r="F495" i="1"/>
  <c r="F493" i="1"/>
  <c r="AB496" i="1"/>
  <c r="X496" i="1"/>
  <c r="H496" i="1" s="1"/>
  <c r="U496" i="1" s="1"/>
  <c r="AB500" i="1"/>
  <c r="X500" i="1"/>
  <c r="H500" i="1" s="1"/>
  <c r="AB511" i="1"/>
  <c r="X511" i="1"/>
  <c r="H511" i="1" s="1"/>
  <c r="Z493" i="1" l="1"/>
  <c r="T493" i="1"/>
  <c r="Z495" i="1"/>
  <c r="T495" i="1"/>
  <c r="Z498" i="1"/>
  <c r="T498" i="1"/>
  <c r="Z619" i="1"/>
  <c r="T619" i="1"/>
  <c r="Z497" i="1"/>
  <c r="T497" i="1"/>
  <c r="Z598" i="1"/>
  <c r="T598" i="1"/>
  <c r="Z604" i="1"/>
  <c r="T604" i="1"/>
  <c r="Z606" i="1"/>
  <c r="T606" i="1"/>
  <c r="Z648" i="1"/>
  <c r="T648" i="1"/>
  <c r="I683" i="1"/>
  <c r="U683" i="1"/>
  <c r="I757" i="1"/>
  <c r="U757" i="1"/>
  <c r="I789" i="1"/>
  <c r="U789" i="1"/>
  <c r="I633" i="1"/>
  <c r="U633" i="1"/>
  <c r="I794" i="1"/>
  <c r="U794" i="1"/>
  <c r="I798" i="1"/>
  <c r="U798" i="1"/>
  <c r="I1014" i="1"/>
  <c r="U1014" i="1"/>
  <c r="I511" i="1"/>
  <c r="U511" i="1"/>
  <c r="I623" i="1"/>
  <c r="U623" i="1"/>
  <c r="I667" i="1"/>
  <c r="U667" i="1"/>
  <c r="I673" i="1"/>
  <c r="U673" i="1"/>
  <c r="I686" i="1"/>
  <c r="U686" i="1"/>
  <c r="I710" i="1"/>
  <c r="U710" i="1"/>
  <c r="I719" i="1"/>
  <c r="U719" i="1"/>
  <c r="I736" i="1"/>
  <c r="U736" i="1"/>
  <c r="I740" i="1"/>
  <c r="U740" i="1"/>
  <c r="I756" i="1"/>
  <c r="U756" i="1"/>
  <c r="I760" i="1"/>
  <c r="U760" i="1"/>
  <c r="I780" i="1"/>
  <c r="U780" i="1"/>
  <c r="I784" i="1"/>
  <c r="U784" i="1"/>
  <c r="I788" i="1"/>
  <c r="U788" i="1"/>
  <c r="I816" i="1"/>
  <c r="U816" i="1"/>
  <c r="I750" i="1"/>
  <c r="U750" i="1"/>
  <c r="I622" i="1"/>
  <c r="U622" i="1"/>
  <c r="I687" i="1"/>
  <c r="U687" i="1"/>
  <c r="I690" i="1"/>
  <c r="U690" i="1"/>
  <c r="I785" i="1"/>
  <c r="U785" i="1"/>
  <c r="I627" i="1"/>
  <c r="U627" i="1"/>
  <c r="I793" i="1"/>
  <c r="U793" i="1"/>
  <c r="I801" i="1"/>
  <c r="U801" i="1"/>
  <c r="I499" i="1"/>
  <c r="U499" i="1"/>
  <c r="I670" i="1"/>
  <c r="U670" i="1"/>
  <c r="I718" i="1"/>
  <c r="U718" i="1"/>
  <c r="I735" i="1"/>
  <c r="U735" i="1"/>
  <c r="I759" i="1"/>
  <c r="U759" i="1"/>
  <c r="I787" i="1"/>
  <c r="U787" i="1"/>
  <c r="I1015" i="1"/>
  <c r="U1015" i="1"/>
  <c r="I621" i="1"/>
  <c r="U621" i="1"/>
  <c r="I625" i="1"/>
  <c r="U625" i="1"/>
  <c r="I635" i="1"/>
  <c r="U635" i="1"/>
  <c r="I791" i="1"/>
  <c r="U791" i="1"/>
  <c r="I796" i="1"/>
  <c r="U796" i="1"/>
  <c r="I800" i="1"/>
  <c r="U800" i="1"/>
  <c r="I808" i="1"/>
  <c r="U808" i="1"/>
  <c r="I656" i="1"/>
  <c r="U656" i="1"/>
  <c r="I714" i="1"/>
  <c r="U714" i="1"/>
  <c r="I737" i="1"/>
  <c r="U737" i="1"/>
  <c r="I781" i="1"/>
  <c r="U781" i="1"/>
  <c r="I999" i="1"/>
  <c r="U999" i="1"/>
  <c r="I636" i="1"/>
  <c r="U636" i="1"/>
  <c r="I797" i="1"/>
  <c r="U797" i="1"/>
  <c r="I824" i="1"/>
  <c r="U824" i="1"/>
  <c r="I685" i="1"/>
  <c r="U685" i="1"/>
  <c r="I739" i="1"/>
  <c r="U739" i="1"/>
  <c r="I783" i="1"/>
  <c r="U783" i="1"/>
  <c r="I665" i="1"/>
  <c r="U665" i="1"/>
  <c r="I669" i="1"/>
  <c r="U669" i="1"/>
  <c r="I684" i="1"/>
  <c r="U684" i="1"/>
  <c r="I688" i="1"/>
  <c r="U688" i="1"/>
  <c r="I715" i="1"/>
  <c r="U715" i="1"/>
  <c r="I733" i="1"/>
  <c r="U733" i="1"/>
  <c r="I738" i="1"/>
  <c r="U738" i="1"/>
  <c r="I691" i="1"/>
  <c r="U691" i="1"/>
  <c r="I758" i="1"/>
  <c r="U758" i="1"/>
  <c r="I766" i="1"/>
  <c r="U766" i="1"/>
  <c r="I782" i="1"/>
  <c r="U782" i="1"/>
  <c r="I786" i="1"/>
  <c r="U786" i="1"/>
  <c r="I762" i="1"/>
  <c r="U762" i="1"/>
  <c r="I1013" i="1"/>
  <c r="U1013" i="1"/>
  <c r="I500" i="1"/>
  <c r="U500" i="1"/>
  <c r="I668" i="1"/>
  <c r="U668" i="1"/>
  <c r="I765" i="1"/>
  <c r="U765" i="1"/>
  <c r="I804" i="1"/>
  <c r="U804" i="1"/>
  <c r="I620" i="1"/>
  <c r="U620" i="1"/>
  <c r="I666" i="1"/>
  <c r="U666" i="1"/>
  <c r="I709" i="1"/>
  <c r="U709" i="1"/>
  <c r="I755" i="1"/>
  <c r="U755" i="1"/>
  <c r="I779" i="1"/>
  <c r="U779" i="1"/>
  <c r="I763" i="1"/>
  <c r="U763" i="1"/>
  <c r="I618" i="1"/>
  <c r="U618" i="1"/>
  <c r="I634" i="1"/>
  <c r="U634" i="1"/>
  <c r="I795" i="1"/>
  <c r="U795" i="1"/>
  <c r="I799" i="1"/>
  <c r="U799" i="1"/>
  <c r="I998" i="1"/>
  <c r="U998" i="1"/>
  <c r="I682" i="15"/>
  <c r="I632" i="15"/>
  <c r="AC632" i="15"/>
  <c r="X652" i="1"/>
  <c r="H652" i="1" s="1"/>
  <c r="X539" i="15"/>
  <c r="H539" i="15" s="1"/>
  <c r="U539" i="15" s="1"/>
  <c r="G1364" i="4"/>
  <c r="G1357" i="4"/>
  <c r="G1378" i="4"/>
  <c r="G1371" i="4"/>
  <c r="X729" i="1" s="1"/>
  <c r="H729" i="1" s="1"/>
  <c r="G1342" i="4"/>
  <c r="G1335" i="4"/>
  <c r="G1328" i="4"/>
  <c r="G1321" i="4"/>
  <c r="G1314" i="4"/>
  <c r="G1307" i="4"/>
  <c r="G1300" i="4"/>
  <c r="G1293" i="4"/>
  <c r="G1286" i="4"/>
  <c r="G1279" i="4"/>
  <c r="G1272" i="4"/>
  <c r="G1265" i="4"/>
  <c r="G1258" i="4"/>
  <c r="I497" i="1"/>
  <c r="G1251" i="4"/>
  <c r="X568" i="1" s="1"/>
  <c r="H568" i="1" s="1"/>
  <c r="G1244" i="4"/>
  <c r="H559" i="1"/>
  <c r="G1237" i="4"/>
  <c r="X546" i="1" s="1"/>
  <c r="H546" i="1" s="1"/>
  <c r="G1230" i="4"/>
  <c r="X545" i="1" s="1"/>
  <c r="H545" i="1" s="1"/>
  <c r="G1223" i="4"/>
  <c r="G1216" i="4"/>
  <c r="X600" i="15" s="1"/>
  <c r="H600" i="15" s="1"/>
  <c r="U600" i="15" s="1"/>
  <c r="G1209" i="4"/>
  <c r="G1202" i="4"/>
  <c r="X597" i="15" s="1"/>
  <c r="H597" i="15" s="1"/>
  <c r="U597" i="15" s="1"/>
  <c r="G1195" i="4"/>
  <c r="G1188" i="4"/>
  <c r="X538" i="1" s="1"/>
  <c r="H538" i="1" s="1"/>
  <c r="G1179" i="4"/>
  <c r="X535" i="1" s="1"/>
  <c r="H535" i="1" s="1"/>
  <c r="G1172" i="4"/>
  <c r="G1165" i="4"/>
  <c r="G1158" i="4"/>
  <c r="X532" i="1" s="1"/>
  <c r="H532" i="1" s="1"/>
  <c r="G1151" i="4"/>
  <c r="X531" i="1" s="1"/>
  <c r="H531" i="1" s="1"/>
  <c r="G1123" i="4"/>
  <c r="X425" i="15" s="1"/>
  <c r="H425" i="15" s="1"/>
  <c r="U425" i="15" s="1"/>
  <c r="G1130" i="4"/>
  <c r="X427" i="15" s="1"/>
  <c r="H427" i="15" s="1"/>
  <c r="U427" i="15" s="1"/>
  <c r="G1144" i="4"/>
  <c r="X530" i="1" s="1"/>
  <c r="H530" i="1" s="1"/>
  <c r="G1137" i="4"/>
  <c r="X529" i="1" s="1"/>
  <c r="H529" i="1" s="1"/>
  <c r="G1088" i="4"/>
  <c r="X590" i="15" s="1"/>
  <c r="H590" i="15" s="1"/>
  <c r="U590" i="15" s="1"/>
  <c r="G1116" i="4"/>
  <c r="X591" i="15" s="1"/>
  <c r="H591" i="15" s="1"/>
  <c r="U591" i="15" s="1"/>
  <c r="G1109" i="4"/>
  <c r="G1102" i="4"/>
  <c r="X524" i="1" s="1"/>
  <c r="H524" i="1" s="1"/>
  <c r="G1095" i="4"/>
  <c r="G1081" i="4"/>
  <c r="G1067" i="4"/>
  <c r="G1060" i="4"/>
  <c r="G1053" i="4"/>
  <c r="G1074" i="4"/>
  <c r="G1032" i="4"/>
  <c r="G1046" i="4"/>
  <c r="X1081" i="1" s="1"/>
  <c r="H1081" i="1" s="1"/>
  <c r="G1039" i="4"/>
  <c r="X1083" i="1" s="1"/>
  <c r="H1083" i="1" s="1"/>
  <c r="I498" i="1"/>
  <c r="G1025" i="4"/>
  <c r="X504" i="1" s="1"/>
  <c r="H504" i="1" s="1"/>
  <c r="I619" i="1"/>
  <c r="I496" i="1"/>
  <c r="I530" i="1" l="1"/>
  <c r="U530" i="1"/>
  <c r="I529" i="1"/>
  <c r="U529" i="1"/>
  <c r="I535" i="1"/>
  <c r="U535" i="1"/>
  <c r="I546" i="1"/>
  <c r="U546" i="1"/>
  <c r="I504" i="1"/>
  <c r="U504" i="1"/>
  <c r="I545" i="1"/>
  <c r="U545" i="1"/>
  <c r="I532" i="1"/>
  <c r="U532" i="1"/>
  <c r="I559" i="1"/>
  <c r="U559" i="1"/>
  <c r="I524" i="1"/>
  <c r="U524" i="1"/>
  <c r="I729" i="1"/>
  <c r="U729" i="1"/>
  <c r="I538" i="1"/>
  <c r="U538" i="1"/>
  <c r="I652" i="1"/>
  <c r="U652" i="1"/>
  <c r="I1081" i="1"/>
  <c r="U1081" i="1"/>
  <c r="I531" i="1"/>
  <c r="U531" i="1"/>
  <c r="I1083" i="1"/>
  <c r="U1083" i="1"/>
  <c r="I568" i="1"/>
  <c r="U568" i="1"/>
  <c r="I600" i="15"/>
  <c r="AC600" i="15"/>
  <c r="I427" i="15"/>
  <c r="AC427" i="15"/>
  <c r="I597" i="15"/>
  <c r="AC597" i="15"/>
  <c r="I539" i="15"/>
  <c r="AC539" i="15"/>
  <c r="I590" i="15"/>
  <c r="AC590" i="15"/>
  <c r="I425" i="15"/>
  <c r="AC425" i="15"/>
  <c r="I591" i="15"/>
  <c r="AC591" i="15"/>
  <c r="X1080" i="1"/>
  <c r="H1080" i="1" s="1"/>
  <c r="X585" i="15"/>
  <c r="H585" i="15" s="1"/>
  <c r="U585" i="15" s="1"/>
  <c r="X519" i="1"/>
  <c r="H519" i="1" s="1"/>
  <c r="X651" i="15"/>
  <c r="H651" i="15" s="1"/>
  <c r="U651" i="15" s="1"/>
  <c r="X587" i="15"/>
  <c r="H587" i="15" s="1"/>
  <c r="U587" i="15" s="1"/>
  <c r="X497" i="15"/>
  <c r="H497" i="15" s="1"/>
  <c r="U497" i="15" s="1"/>
  <c r="X641" i="1"/>
  <c r="X704" i="1" s="1"/>
  <c r="H704" i="1" s="1"/>
  <c r="X598" i="15"/>
  <c r="H598" i="15" s="1"/>
  <c r="U598" i="15" s="1"/>
  <c r="X432" i="15"/>
  <c r="H432" i="15" s="1"/>
  <c r="U432" i="15" s="1"/>
  <c r="X511" i="15"/>
  <c r="H511" i="15" s="1"/>
  <c r="U511" i="15" s="1"/>
  <c r="X655" i="15"/>
  <c r="H655" i="15" s="1"/>
  <c r="U655" i="15" s="1"/>
  <c r="X616" i="1"/>
  <c r="H616" i="1" s="1"/>
  <c r="X428" i="15"/>
  <c r="H428" i="15" s="1"/>
  <c r="U428" i="15" s="1"/>
  <c r="X625" i="15"/>
  <c r="H625" i="15" s="1"/>
  <c r="U625" i="15" s="1"/>
  <c r="X566" i="15"/>
  <c r="H566" i="15" s="1"/>
  <c r="U566" i="15" s="1"/>
  <c r="X610" i="15"/>
  <c r="H610" i="15" s="1"/>
  <c r="U610" i="15" s="1"/>
  <c r="X651" i="1"/>
  <c r="H651" i="1" s="1"/>
  <c r="X538" i="15"/>
  <c r="H538" i="15" s="1"/>
  <c r="U538" i="15" s="1"/>
  <c r="X726" i="1"/>
  <c r="H726" i="1" s="1"/>
  <c r="X408" i="15"/>
  <c r="H408" i="15" s="1"/>
  <c r="U408" i="15" s="1"/>
  <c r="X510" i="15"/>
  <c r="H510" i="15" s="1"/>
  <c r="U510" i="15" s="1"/>
  <c r="X654" i="15"/>
  <c r="H654" i="15" s="1"/>
  <c r="U654" i="15" s="1"/>
  <c r="X595" i="15"/>
  <c r="H595" i="15" s="1"/>
  <c r="U595" i="15" s="1"/>
  <c r="X431" i="15"/>
  <c r="H431" i="15" s="1"/>
  <c r="U431" i="15" s="1"/>
  <c r="X646" i="15"/>
  <c r="H646" i="15" s="1"/>
  <c r="U646" i="15" s="1"/>
  <c r="X421" i="15"/>
  <c r="H421" i="15" s="1"/>
  <c r="U421" i="15" s="1"/>
  <c r="X490" i="15"/>
  <c r="H490" i="15" s="1"/>
  <c r="U490" i="15" s="1"/>
  <c r="X592" i="15"/>
  <c r="H592" i="15" s="1"/>
  <c r="U592" i="15" s="1"/>
  <c r="X648" i="1"/>
  <c r="H648" i="1" s="1"/>
  <c r="X535" i="15"/>
  <c r="H535" i="15" s="1"/>
  <c r="U535" i="15" s="1"/>
  <c r="X518" i="1"/>
  <c r="H518" i="1" s="1"/>
  <c r="X496" i="15"/>
  <c r="H496" i="15" s="1"/>
  <c r="U496" i="15" s="1"/>
  <c r="X649" i="15"/>
  <c r="H649" i="15" s="1"/>
  <c r="U649" i="15" s="1"/>
  <c r="X656" i="15"/>
  <c r="H656" i="15" s="1"/>
  <c r="U656" i="15" s="1"/>
  <c r="X599" i="15"/>
  <c r="H599" i="15" s="1"/>
  <c r="U599" i="15" s="1"/>
  <c r="X512" i="15"/>
  <c r="H512" i="15" s="1"/>
  <c r="U512" i="15" s="1"/>
  <c r="X610" i="1"/>
  <c r="H610" i="1" s="1"/>
  <c r="X424" i="15"/>
  <c r="H424" i="15" s="1"/>
  <c r="U424" i="15" s="1"/>
  <c r="X561" i="15"/>
  <c r="H561" i="15" s="1"/>
  <c r="U561" i="15" s="1"/>
  <c r="X476" i="15"/>
  <c r="H476" i="15" s="1"/>
  <c r="U476" i="15" s="1"/>
  <c r="X642" i="15"/>
  <c r="H642" i="15" s="1"/>
  <c r="U642" i="15" s="1"/>
  <c r="X580" i="15"/>
  <c r="H580" i="15" s="1"/>
  <c r="U580" i="15" s="1"/>
  <c r="X650" i="1"/>
  <c r="H650" i="1" s="1"/>
  <c r="X537" i="15"/>
  <c r="H537" i="15" s="1"/>
  <c r="U537" i="15" s="1"/>
  <c r="X725" i="1"/>
  <c r="X764" i="1" s="1"/>
  <c r="H764" i="1" s="1"/>
  <c r="X652" i="15"/>
  <c r="H652" i="15" s="1"/>
  <c r="U652" i="15" s="1"/>
  <c r="X618" i="15"/>
  <c r="H618" i="15" s="1"/>
  <c r="U618" i="15" s="1"/>
  <c r="X520" i="1"/>
  <c r="H520" i="1" s="1"/>
  <c r="X588" i="15"/>
  <c r="H588" i="15" s="1"/>
  <c r="U588" i="15" s="1"/>
  <c r="X494" i="15"/>
  <c r="H494" i="15" s="1"/>
  <c r="U494" i="15" s="1"/>
  <c r="X521" i="1"/>
  <c r="H521" i="1" s="1"/>
  <c r="X589" i="15"/>
  <c r="H589" i="15" s="1"/>
  <c r="U589" i="15" s="1"/>
  <c r="X650" i="15"/>
  <c r="H650" i="15" s="1"/>
  <c r="U650" i="15" s="1"/>
  <c r="X495" i="15"/>
  <c r="H495" i="15" s="1"/>
  <c r="U495" i="15" s="1"/>
  <c r="X533" i="1"/>
  <c r="H533" i="1" s="1"/>
  <c r="X483" i="15"/>
  <c r="H483" i="15" s="1"/>
  <c r="U483" i="15" s="1"/>
  <c r="X544" i="1"/>
  <c r="X644" i="1" s="1"/>
  <c r="X433" i="15"/>
  <c r="H433" i="15" s="1"/>
  <c r="U433" i="15" s="1"/>
  <c r="X562" i="1"/>
  <c r="H562" i="1" s="1"/>
  <c r="X443" i="15"/>
  <c r="H443" i="15" s="1"/>
  <c r="U443" i="15" s="1"/>
  <c r="X615" i="1"/>
  <c r="X694" i="1" s="1"/>
  <c r="X772" i="1" s="1"/>
  <c r="H772" i="1" s="1"/>
  <c r="X426" i="15"/>
  <c r="H426" i="15" s="1"/>
  <c r="U426" i="15" s="1"/>
  <c r="X648" i="15"/>
  <c r="H648" i="15" s="1"/>
  <c r="U648" i="15" s="1"/>
  <c r="X586" i="15"/>
  <c r="H586" i="15" s="1"/>
  <c r="U586" i="15" s="1"/>
  <c r="X493" i="15"/>
  <c r="H493" i="15" s="1"/>
  <c r="U493" i="15" s="1"/>
  <c r="X560" i="15"/>
  <c r="H560" i="15" s="1"/>
  <c r="U560" i="15" s="1"/>
  <c r="X489" i="15"/>
  <c r="H489" i="15" s="1"/>
  <c r="U489" i="15" s="1"/>
  <c r="X429" i="15"/>
  <c r="H429" i="15" s="1"/>
  <c r="U429" i="15" s="1"/>
  <c r="X611" i="1"/>
  <c r="H611" i="1" s="1"/>
  <c r="X593" i="15"/>
  <c r="H593" i="15" s="1"/>
  <c r="U593" i="15" s="1"/>
  <c r="X647" i="15"/>
  <c r="H647" i="15" s="1"/>
  <c r="U647" i="15" s="1"/>
  <c r="X422" i="15"/>
  <c r="H422" i="15" s="1"/>
  <c r="U422" i="15" s="1"/>
  <c r="X491" i="15"/>
  <c r="H491" i="15" s="1"/>
  <c r="U491" i="15" s="1"/>
  <c r="X609" i="1"/>
  <c r="H609" i="1" s="1"/>
  <c r="X423" i="15"/>
  <c r="H423" i="15" s="1"/>
  <c r="U423" i="15" s="1"/>
  <c r="X492" i="15"/>
  <c r="H492" i="15" s="1"/>
  <c r="U492" i="15" s="1"/>
  <c r="X649" i="1"/>
  <c r="H649" i="1" s="1"/>
  <c r="X536" i="15"/>
  <c r="H536" i="15" s="1"/>
  <c r="U536" i="15" s="1"/>
  <c r="X731" i="1"/>
  <c r="H731" i="1" s="1"/>
  <c r="X1082" i="1"/>
  <c r="H1082" i="1" s="1"/>
  <c r="X1194" i="1"/>
  <c r="H1194" i="1" s="1"/>
  <c r="H1107" i="1"/>
  <c r="X637" i="1"/>
  <c r="H637" i="1" s="1"/>
  <c r="H802" i="1"/>
  <c r="X515" i="1"/>
  <c r="H515" i="1" s="1"/>
  <c r="X728" i="1"/>
  <c r="H728" i="1" s="1"/>
  <c r="X522" i="1"/>
  <c r="X613" i="1" s="1"/>
  <c r="H613" i="1" s="1"/>
  <c r="X768" i="1"/>
  <c r="H768" i="1" s="1"/>
  <c r="X697" i="1"/>
  <c r="H697" i="1" s="1"/>
  <c r="X541" i="1"/>
  <c r="X742" i="1"/>
  <c r="H742" i="1" s="1"/>
  <c r="X632" i="1"/>
  <c r="X717" i="1"/>
  <c r="H717" i="1" s="1"/>
  <c r="X675" i="1"/>
  <c r="H675" i="1" s="1"/>
  <c r="X526" i="1"/>
  <c r="H526" i="1" s="1"/>
  <c r="X700" i="1"/>
  <c r="H700" i="1" s="1"/>
  <c r="X528" i="1"/>
  <c r="X617" i="1" s="1"/>
  <c r="H617" i="1" s="1"/>
  <c r="X693" i="1"/>
  <c r="X540" i="1"/>
  <c r="X774" i="1"/>
  <c r="H774" i="1" s="1"/>
  <c r="X593" i="1"/>
  <c r="H593" i="1" s="1"/>
  <c r="X671" i="1"/>
  <c r="H671" i="1" s="1"/>
  <c r="X689" i="1"/>
  <c r="H689" i="1" s="1"/>
  <c r="X761" i="1"/>
  <c r="H761" i="1" s="1"/>
  <c r="X517" i="1"/>
  <c r="X612" i="1" s="1"/>
  <c r="H612" i="1" s="1"/>
  <c r="X696" i="1"/>
  <c r="H696" i="1" s="1"/>
  <c r="X767" i="1"/>
  <c r="H767" i="1" s="1"/>
  <c r="X514" i="1"/>
  <c r="H514" i="1" s="1"/>
  <c r="X727" i="1"/>
  <c r="H727" i="1" s="1"/>
  <c r="X525" i="1"/>
  <c r="H525" i="1" s="1"/>
  <c r="X699" i="1"/>
  <c r="H699" i="1" s="1"/>
  <c r="X543" i="1"/>
  <c r="X643" i="1" s="1"/>
  <c r="X776" i="1"/>
  <c r="H776" i="1" s="1"/>
  <c r="X523" i="1"/>
  <c r="H523" i="1" s="1"/>
  <c r="X698" i="1"/>
  <c r="H698" i="1" s="1"/>
  <c r="X527" i="1"/>
  <c r="X614" i="1" s="1"/>
  <c r="H614" i="1" s="1"/>
  <c r="X692" i="1"/>
  <c r="X516" i="1"/>
  <c r="H516" i="1" s="1"/>
  <c r="X730" i="1"/>
  <c r="H730" i="1" s="1"/>
  <c r="X542" i="1"/>
  <c r="X642" i="1" s="1"/>
  <c r="X775" i="1"/>
  <c r="H775" i="1" s="1"/>
  <c r="X608" i="1"/>
  <c r="H608" i="1" s="1"/>
  <c r="X701" i="1"/>
  <c r="H701" i="1" s="1"/>
  <c r="X534" i="1"/>
  <c r="H534" i="1" s="1"/>
  <c r="X607" i="1"/>
  <c r="H607" i="1" s="1"/>
  <c r="H560" i="1"/>
  <c r="X638" i="1"/>
  <c r="H638" i="1" s="1"/>
  <c r="F508" i="1"/>
  <c r="AB508" i="1"/>
  <c r="X508" i="1"/>
  <c r="H508" i="1" s="1"/>
  <c r="U508" i="1" s="1"/>
  <c r="F510" i="1"/>
  <c r="F509" i="1"/>
  <c r="AB510" i="1"/>
  <c r="X510" i="1"/>
  <c r="H510" i="1" s="1"/>
  <c r="U510" i="1" s="1"/>
  <c r="AB509" i="1"/>
  <c r="X509" i="1"/>
  <c r="H509" i="1" s="1"/>
  <c r="U509" i="1" s="1"/>
  <c r="AB503" i="1"/>
  <c r="X503" i="1"/>
  <c r="H503" i="1" s="1"/>
  <c r="U503" i="1" s="1"/>
  <c r="F503" i="1"/>
  <c r="F502" i="1"/>
  <c r="F501" i="1"/>
  <c r="I974" i="4"/>
  <c r="F974" i="4"/>
  <c r="G974" i="4" s="1"/>
  <c r="I977" i="4"/>
  <c r="F977" i="4"/>
  <c r="G977" i="4" s="1"/>
  <c r="I976" i="4"/>
  <c r="F976" i="4"/>
  <c r="G976" i="4" s="1"/>
  <c r="I983" i="4"/>
  <c r="F983" i="4"/>
  <c r="G983" i="4" s="1"/>
  <c r="I984" i="4"/>
  <c r="I982" i="4"/>
  <c r="F982" i="4"/>
  <c r="G982" i="4" s="1"/>
  <c r="I697" i="4"/>
  <c r="I696" i="4"/>
  <c r="AB549" i="1"/>
  <c r="X549" i="1"/>
  <c r="H549" i="1" s="1"/>
  <c r="AB548" i="1"/>
  <c r="X548" i="1"/>
  <c r="H548" i="1" s="1"/>
  <c r="F492" i="1"/>
  <c r="F491" i="1"/>
  <c r="AB606" i="1"/>
  <c r="X606" i="1"/>
  <c r="H606" i="1" s="1"/>
  <c r="AB605" i="1"/>
  <c r="X605" i="1"/>
  <c r="H605" i="1" s="1"/>
  <c r="AB604" i="1"/>
  <c r="X604" i="1"/>
  <c r="H604" i="1" s="1"/>
  <c r="AB603" i="1"/>
  <c r="X603" i="1"/>
  <c r="H603" i="1" s="1"/>
  <c r="AB602" i="1"/>
  <c r="X602" i="1"/>
  <c r="H602" i="1" s="1"/>
  <c r="AB601" i="1"/>
  <c r="X601" i="1"/>
  <c r="H601" i="1" s="1"/>
  <c r="AB599" i="1"/>
  <c r="X599" i="1"/>
  <c r="H599" i="1" s="1"/>
  <c r="AB598" i="1"/>
  <c r="X598" i="1"/>
  <c r="H598" i="1" s="1"/>
  <c r="AB597" i="1"/>
  <c r="X597" i="1"/>
  <c r="H597" i="1" s="1"/>
  <c r="AB596" i="1"/>
  <c r="X596" i="1"/>
  <c r="H596" i="1" s="1"/>
  <c r="AB595" i="1"/>
  <c r="X595" i="1"/>
  <c r="H595" i="1" s="1"/>
  <c r="AB594" i="1"/>
  <c r="X594" i="1"/>
  <c r="H594" i="1" s="1"/>
  <c r="AB592" i="1"/>
  <c r="X592" i="1"/>
  <c r="H592" i="1" s="1"/>
  <c r="AB591" i="1"/>
  <c r="X591" i="1"/>
  <c r="H591" i="1" s="1"/>
  <c r="AB590" i="1"/>
  <c r="X590" i="1"/>
  <c r="H590" i="1" s="1"/>
  <c r="AB589" i="1"/>
  <c r="X589" i="1"/>
  <c r="H589" i="1" s="1"/>
  <c r="AB588" i="1"/>
  <c r="X588" i="1"/>
  <c r="H588" i="1" s="1"/>
  <c r="AB587" i="1"/>
  <c r="X587" i="1"/>
  <c r="H587" i="1" s="1"/>
  <c r="AB564" i="1"/>
  <c r="X564" i="1"/>
  <c r="H564" i="1" s="1"/>
  <c r="AB563" i="1"/>
  <c r="X563" i="1"/>
  <c r="H563" i="1" s="1"/>
  <c r="AB557" i="1"/>
  <c r="X557" i="1"/>
  <c r="H557" i="1" s="1"/>
  <c r="AB556" i="1"/>
  <c r="X556" i="1"/>
  <c r="H556" i="1" s="1"/>
  <c r="AB555" i="1"/>
  <c r="X555" i="1"/>
  <c r="H555" i="1" s="1"/>
  <c r="AB554" i="1"/>
  <c r="X554" i="1"/>
  <c r="H554" i="1" s="1"/>
  <c r="AB553" i="1"/>
  <c r="X553" i="1"/>
  <c r="H553" i="1" s="1"/>
  <c r="AB552" i="1"/>
  <c r="X552" i="1"/>
  <c r="H552" i="1" s="1"/>
  <c r="AB551" i="1"/>
  <c r="X551" i="1"/>
  <c r="H551" i="1" s="1"/>
  <c r="AB550" i="1"/>
  <c r="X550" i="1"/>
  <c r="H550" i="1" s="1"/>
  <c r="AB537" i="1"/>
  <c r="X537" i="1"/>
  <c r="H537" i="1" s="1"/>
  <c r="AB536" i="1"/>
  <c r="X536" i="1"/>
  <c r="H536" i="1" s="1"/>
  <c r="AB513" i="1"/>
  <c r="X513" i="1"/>
  <c r="H513" i="1" s="1"/>
  <c r="AB512" i="1"/>
  <c r="X512" i="1"/>
  <c r="H512" i="1" s="1"/>
  <c r="AB507" i="1"/>
  <c r="X507" i="1"/>
  <c r="H507" i="1" s="1"/>
  <c r="AB506" i="1"/>
  <c r="X506" i="1"/>
  <c r="H506" i="1" s="1"/>
  <c r="AB505" i="1"/>
  <c r="X505" i="1"/>
  <c r="H505" i="1" s="1"/>
  <c r="AB502" i="1"/>
  <c r="X502" i="1"/>
  <c r="H502" i="1" s="1"/>
  <c r="U502" i="1" s="1"/>
  <c r="AB501" i="1"/>
  <c r="X501" i="1"/>
  <c r="H501" i="1" s="1"/>
  <c r="U501" i="1" s="1"/>
  <c r="AB495" i="1"/>
  <c r="X495" i="1"/>
  <c r="H495" i="1" s="1"/>
  <c r="AB494" i="1"/>
  <c r="X494" i="1"/>
  <c r="H494" i="1" s="1"/>
  <c r="AB493" i="1"/>
  <c r="X493" i="1"/>
  <c r="H493" i="1" s="1"/>
  <c r="AB492" i="1"/>
  <c r="X492" i="1"/>
  <c r="H492" i="1" s="1"/>
  <c r="U492" i="1" s="1"/>
  <c r="AB491" i="1"/>
  <c r="X491" i="1"/>
  <c r="H491" i="1" s="1"/>
  <c r="U491" i="1" s="1"/>
  <c r="I1016" i="4"/>
  <c r="F1016" i="4"/>
  <c r="G1016" i="4" s="1"/>
  <c r="I1018" i="4"/>
  <c r="F1018" i="4"/>
  <c r="G1018" i="4" s="1"/>
  <c r="I1017" i="4"/>
  <c r="F1017" i="4"/>
  <c r="G1017" i="4" s="1"/>
  <c r="AB485" i="1"/>
  <c r="X485" i="1"/>
  <c r="H485" i="1" s="1"/>
  <c r="I1010" i="4"/>
  <c r="F1010" i="4"/>
  <c r="G1010" i="4" s="1"/>
  <c r="I1009" i="4"/>
  <c r="F1009" i="4"/>
  <c r="G1009" i="4" s="1"/>
  <c r="I1002" i="4"/>
  <c r="F1002" i="4"/>
  <c r="G1002" i="4" s="1"/>
  <c r="I1004" i="4"/>
  <c r="F1004" i="4"/>
  <c r="G1004" i="4" s="1"/>
  <c r="I1003" i="4"/>
  <c r="F1003" i="4"/>
  <c r="G1003" i="4" s="1"/>
  <c r="F995" i="4"/>
  <c r="G995" i="4" s="1"/>
  <c r="I997" i="4"/>
  <c r="F997" i="4"/>
  <c r="G997" i="4" s="1"/>
  <c r="I996" i="4"/>
  <c r="F996" i="4"/>
  <c r="G996" i="4" s="1"/>
  <c r="I989" i="4"/>
  <c r="B989" i="4" s="1"/>
  <c r="F989" i="4"/>
  <c r="G989" i="4" s="1"/>
  <c r="I988" i="4"/>
  <c r="B988" i="4" s="1"/>
  <c r="F988" i="4"/>
  <c r="G988" i="4" s="1"/>
  <c r="I990" i="4"/>
  <c r="F990" i="4"/>
  <c r="G990" i="4" s="1"/>
  <c r="Q614" i="15" l="1"/>
  <c r="U614" i="15" s="1"/>
  <c r="Q572" i="15"/>
  <c r="U572" i="15" s="1"/>
  <c r="Z503" i="1"/>
  <c r="T503" i="1"/>
  <c r="Q533" i="15"/>
  <c r="U533" i="15" s="1"/>
  <c r="Z491" i="1"/>
  <c r="T491" i="1"/>
  <c r="Z492" i="1"/>
  <c r="T492" i="1"/>
  <c r="Z509" i="1"/>
  <c r="T509" i="1"/>
  <c r="Q447" i="15"/>
  <c r="Z510" i="1"/>
  <c r="T510" i="1"/>
  <c r="Q627" i="15"/>
  <c r="U627" i="15" s="1"/>
  <c r="Z501" i="1"/>
  <c r="T501" i="1"/>
  <c r="Z502" i="1"/>
  <c r="T502" i="1"/>
  <c r="Z508" i="1"/>
  <c r="T508" i="1"/>
  <c r="U406" i="15"/>
  <c r="I776" i="1"/>
  <c r="U776" i="1"/>
  <c r="I1194" i="1"/>
  <c r="I507" i="1"/>
  <c r="U507" i="1"/>
  <c r="I537" i="1"/>
  <c r="U537" i="1"/>
  <c r="I553" i="1"/>
  <c r="U553" i="1"/>
  <c r="I557" i="1"/>
  <c r="U557" i="1"/>
  <c r="I588" i="1"/>
  <c r="U588" i="1"/>
  <c r="I592" i="1"/>
  <c r="U592" i="1"/>
  <c r="I597" i="1"/>
  <c r="U597" i="1"/>
  <c r="I602" i="1"/>
  <c r="U602" i="1"/>
  <c r="I606" i="1"/>
  <c r="U606" i="1"/>
  <c r="I608" i="1"/>
  <c r="U608" i="1"/>
  <c r="I523" i="1"/>
  <c r="U523" i="1"/>
  <c r="I696" i="1"/>
  <c r="U696" i="1"/>
  <c r="I1107" i="1"/>
  <c r="U1107" i="1"/>
  <c r="I609" i="1"/>
  <c r="U609" i="1"/>
  <c r="I701" i="1"/>
  <c r="U701" i="1"/>
  <c r="I698" i="1"/>
  <c r="U698" i="1"/>
  <c r="I767" i="1"/>
  <c r="U767" i="1"/>
  <c r="I742" i="1"/>
  <c r="U742" i="1"/>
  <c r="I637" i="1"/>
  <c r="U637" i="1"/>
  <c r="I562" i="1"/>
  <c r="U562" i="1"/>
  <c r="I521" i="1"/>
  <c r="U521" i="1"/>
  <c r="I650" i="1"/>
  <c r="U650" i="1"/>
  <c r="I726" i="1"/>
  <c r="U726" i="1"/>
  <c r="I519" i="1"/>
  <c r="U519" i="1"/>
  <c r="I617" i="1"/>
  <c r="U617" i="1"/>
  <c r="I536" i="1"/>
  <c r="U536" i="1"/>
  <c r="I587" i="1"/>
  <c r="U587" i="1"/>
  <c r="I601" i="1"/>
  <c r="U601" i="1"/>
  <c r="I534" i="1"/>
  <c r="U534" i="1"/>
  <c r="I514" i="1"/>
  <c r="U514" i="1"/>
  <c r="I607" i="1"/>
  <c r="U607" i="1"/>
  <c r="I593" i="1"/>
  <c r="U593" i="1"/>
  <c r="I515" i="1"/>
  <c r="U515" i="1"/>
  <c r="I611" i="1"/>
  <c r="U611" i="1"/>
  <c r="I764" i="1"/>
  <c r="U764" i="1"/>
  <c r="I610" i="1"/>
  <c r="U610" i="1"/>
  <c r="I505" i="1"/>
  <c r="U505" i="1"/>
  <c r="I551" i="1"/>
  <c r="U551" i="1"/>
  <c r="I555" i="1"/>
  <c r="U555" i="1"/>
  <c r="I564" i="1"/>
  <c r="U564" i="1"/>
  <c r="I590" i="1"/>
  <c r="U590" i="1"/>
  <c r="I595" i="1"/>
  <c r="U595" i="1"/>
  <c r="I599" i="1"/>
  <c r="U599" i="1"/>
  <c r="I604" i="1"/>
  <c r="U604" i="1"/>
  <c r="I548" i="1"/>
  <c r="Q548" i="1"/>
  <c r="U548" i="1" s="1"/>
  <c r="I560" i="1"/>
  <c r="U560" i="1"/>
  <c r="I516" i="1"/>
  <c r="U516" i="1"/>
  <c r="I525" i="1"/>
  <c r="U525" i="1"/>
  <c r="I671" i="1"/>
  <c r="U671" i="1"/>
  <c r="I675" i="1"/>
  <c r="U675" i="1"/>
  <c r="I728" i="1"/>
  <c r="U728" i="1"/>
  <c r="I775" i="1"/>
  <c r="U775" i="1"/>
  <c r="I697" i="1"/>
  <c r="U697" i="1"/>
  <c r="I651" i="1"/>
  <c r="U651" i="1"/>
  <c r="I495" i="1"/>
  <c r="U495" i="1"/>
  <c r="I552" i="1"/>
  <c r="U552" i="1"/>
  <c r="I591" i="1"/>
  <c r="U591" i="1"/>
  <c r="I549" i="1"/>
  <c r="U549" i="1"/>
  <c r="I774" i="1"/>
  <c r="U774" i="1"/>
  <c r="I616" i="1"/>
  <c r="U616" i="1"/>
  <c r="I727" i="1"/>
  <c r="U727" i="1"/>
  <c r="I717" i="1"/>
  <c r="U717" i="1"/>
  <c r="I649" i="1"/>
  <c r="U649" i="1"/>
  <c r="I772" i="1"/>
  <c r="U772" i="1"/>
  <c r="I648" i="1"/>
  <c r="U648" i="1"/>
  <c r="I494" i="1"/>
  <c r="U494" i="1"/>
  <c r="I513" i="1"/>
  <c r="U513" i="1"/>
  <c r="I638" i="1"/>
  <c r="U638" i="1"/>
  <c r="I730" i="1"/>
  <c r="U730" i="1"/>
  <c r="I699" i="1"/>
  <c r="U699" i="1"/>
  <c r="I689" i="1"/>
  <c r="U689" i="1"/>
  <c r="I526" i="1"/>
  <c r="U526" i="1"/>
  <c r="I613" i="1"/>
  <c r="U613" i="1"/>
  <c r="I731" i="1"/>
  <c r="U731" i="1"/>
  <c r="I533" i="1"/>
  <c r="U533" i="1"/>
  <c r="I518" i="1"/>
  <c r="U518" i="1"/>
  <c r="I704" i="1"/>
  <c r="U704" i="1"/>
  <c r="I612" i="1"/>
  <c r="U612" i="1"/>
  <c r="I1080" i="1"/>
  <c r="U1080" i="1"/>
  <c r="I485" i="1"/>
  <c r="U485" i="1"/>
  <c r="I506" i="1"/>
  <c r="U506" i="1"/>
  <c r="I556" i="1"/>
  <c r="U556" i="1"/>
  <c r="I596" i="1"/>
  <c r="U596" i="1"/>
  <c r="I605" i="1"/>
  <c r="U605" i="1"/>
  <c r="I614" i="1"/>
  <c r="U614" i="1"/>
  <c r="I802" i="1"/>
  <c r="U802" i="1"/>
  <c r="I493" i="1"/>
  <c r="U493" i="1"/>
  <c r="I512" i="1"/>
  <c r="U512" i="1"/>
  <c r="I550" i="1"/>
  <c r="U550" i="1"/>
  <c r="I554" i="1"/>
  <c r="U554" i="1"/>
  <c r="I563" i="1"/>
  <c r="U563" i="1"/>
  <c r="I589" i="1"/>
  <c r="U589" i="1"/>
  <c r="I594" i="1"/>
  <c r="U594" i="1"/>
  <c r="I598" i="1"/>
  <c r="U598" i="1"/>
  <c r="I603" i="1"/>
  <c r="U603" i="1"/>
  <c r="I761" i="1"/>
  <c r="U761" i="1"/>
  <c r="I700" i="1"/>
  <c r="U700" i="1"/>
  <c r="I768" i="1"/>
  <c r="U768" i="1"/>
  <c r="I1082" i="1"/>
  <c r="U1082" i="1"/>
  <c r="I520" i="1"/>
  <c r="U520" i="1"/>
  <c r="I560" i="15"/>
  <c r="AC560" i="15"/>
  <c r="I656" i="15"/>
  <c r="AC656" i="15"/>
  <c r="I491" i="15"/>
  <c r="AC491" i="15"/>
  <c r="I493" i="15"/>
  <c r="AC493" i="15"/>
  <c r="I588" i="15"/>
  <c r="AC588" i="15"/>
  <c r="I642" i="15"/>
  <c r="AC642" i="15"/>
  <c r="I649" i="15"/>
  <c r="AC649" i="15"/>
  <c r="I646" i="15"/>
  <c r="AC646" i="15"/>
  <c r="I432" i="15"/>
  <c r="AC432" i="15"/>
  <c r="I585" i="15"/>
  <c r="AC585" i="15"/>
  <c r="I422" i="15"/>
  <c r="AC422" i="15"/>
  <c r="I586" i="15"/>
  <c r="AC586" i="15"/>
  <c r="I483" i="15"/>
  <c r="AC483" i="15"/>
  <c r="I476" i="15"/>
  <c r="AC476" i="15"/>
  <c r="I496" i="15"/>
  <c r="AC496" i="15"/>
  <c r="I431" i="15"/>
  <c r="AC431" i="15"/>
  <c r="I610" i="15"/>
  <c r="AC610" i="15"/>
  <c r="I598" i="15"/>
  <c r="AC598" i="15"/>
  <c r="I647" i="15"/>
  <c r="AC647" i="15"/>
  <c r="I595" i="15"/>
  <c r="AC595" i="15"/>
  <c r="I566" i="15"/>
  <c r="AC566" i="15"/>
  <c r="I433" i="15"/>
  <c r="AC433" i="15"/>
  <c r="I511" i="15"/>
  <c r="AC511" i="15"/>
  <c r="I561" i="15"/>
  <c r="AC561" i="15"/>
  <c r="I536" i="15"/>
  <c r="AC536" i="15"/>
  <c r="I593" i="15"/>
  <c r="AC593" i="15"/>
  <c r="I426" i="15"/>
  <c r="AC426" i="15"/>
  <c r="I495" i="15"/>
  <c r="AC495" i="15"/>
  <c r="I652" i="15"/>
  <c r="AC652" i="15"/>
  <c r="I424" i="15"/>
  <c r="AC424" i="15"/>
  <c r="I535" i="15"/>
  <c r="AC535" i="15"/>
  <c r="I654" i="15"/>
  <c r="AC654" i="15"/>
  <c r="I625" i="15"/>
  <c r="AC625" i="15"/>
  <c r="I497" i="15"/>
  <c r="AC497" i="15"/>
  <c r="I538" i="15"/>
  <c r="AC538" i="15"/>
  <c r="I648" i="15"/>
  <c r="AC648" i="15"/>
  <c r="I650" i="15"/>
  <c r="AC650" i="15"/>
  <c r="I510" i="15"/>
  <c r="AC510" i="15"/>
  <c r="I428" i="15"/>
  <c r="AC428" i="15"/>
  <c r="I587" i="15"/>
  <c r="AC587" i="15"/>
  <c r="I494" i="15"/>
  <c r="AC494" i="15"/>
  <c r="I421" i="15"/>
  <c r="AC421" i="15"/>
  <c r="I492" i="15"/>
  <c r="AC492" i="15"/>
  <c r="I429" i="15"/>
  <c r="AC429" i="15"/>
  <c r="I443" i="15"/>
  <c r="AC443" i="15"/>
  <c r="I589" i="15"/>
  <c r="AC589" i="15"/>
  <c r="I537" i="15"/>
  <c r="AC537" i="15"/>
  <c r="I512" i="15"/>
  <c r="AC512" i="15"/>
  <c r="I592" i="15"/>
  <c r="AC592" i="15"/>
  <c r="I408" i="15"/>
  <c r="AC408" i="15"/>
  <c r="I651" i="15"/>
  <c r="AC651" i="15"/>
  <c r="I580" i="15"/>
  <c r="AC580" i="15"/>
  <c r="I618" i="15"/>
  <c r="AC618" i="15"/>
  <c r="I423" i="15"/>
  <c r="AC423" i="15"/>
  <c r="I489" i="15"/>
  <c r="AC489" i="15"/>
  <c r="I599" i="15"/>
  <c r="AC599" i="15"/>
  <c r="I490" i="15"/>
  <c r="AC490" i="15"/>
  <c r="I655" i="15"/>
  <c r="AC655" i="15"/>
  <c r="X695" i="1"/>
  <c r="X771" i="1" s="1"/>
  <c r="H771" i="1" s="1"/>
  <c r="H641" i="1"/>
  <c r="X600" i="1"/>
  <c r="H600" i="1" s="1"/>
  <c r="H543" i="1"/>
  <c r="H725" i="1"/>
  <c r="H544" i="1"/>
  <c r="H615" i="1"/>
  <c r="H694" i="1"/>
  <c r="H541" i="1"/>
  <c r="X1114" i="1"/>
  <c r="H1114" i="1" s="1"/>
  <c r="X640" i="1"/>
  <c r="X703" i="1" s="1"/>
  <c r="X1112" i="1"/>
  <c r="H1112" i="1" s="1"/>
  <c r="H632" i="1"/>
  <c r="X1035" i="1"/>
  <c r="H1035" i="1" s="1"/>
  <c r="H692" i="1"/>
  <c r="X769" i="1"/>
  <c r="H769" i="1" s="1"/>
  <c r="H693" i="1"/>
  <c r="X770" i="1"/>
  <c r="H770" i="1" s="1"/>
  <c r="H527" i="1"/>
  <c r="H561" i="1"/>
  <c r="H540" i="1"/>
  <c r="H522" i="1"/>
  <c r="H517" i="1"/>
  <c r="H528" i="1"/>
  <c r="H542" i="1"/>
  <c r="H643" i="1"/>
  <c r="X706" i="1"/>
  <c r="H706" i="1" s="1"/>
  <c r="H644" i="1"/>
  <c r="X707" i="1"/>
  <c r="H642" i="1"/>
  <c r="X705" i="1"/>
  <c r="H705" i="1" s="1"/>
  <c r="G978" i="4"/>
  <c r="I502" i="1"/>
  <c r="I508" i="1"/>
  <c r="I510" i="1"/>
  <c r="I503" i="1"/>
  <c r="I509" i="1"/>
  <c r="I501" i="1"/>
  <c r="G984" i="4"/>
  <c r="G1019" i="4"/>
  <c r="I492" i="1"/>
  <c r="I491" i="1"/>
  <c r="G1012" i="4"/>
  <c r="G1005" i="4"/>
  <c r="G998" i="4"/>
  <c r="G991" i="4"/>
  <c r="U447" i="15" l="1"/>
  <c r="Q405" i="15"/>
  <c r="U405" i="15" s="1"/>
  <c r="Z1277" i="1"/>
  <c r="AB1277" i="1" s="1"/>
  <c r="I627" i="15"/>
  <c r="I614" i="15"/>
  <c r="I572" i="15"/>
  <c r="I1112" i="1"/>
  <c r="U1112" i="1"/>
  <c r="I632" i="1"/>
  <c r="U632" i="1"/>
  <c r="I544" i="1"/>
  <c r="U544" i="1"/>
  <c r="I705" i="1"/>
  <c r="U705" i="1"/>
  <c r="I692" i="1"/>
  <c r="U692" i="1"/>
  <c r="I706" i="1"/>
  <c r="U706" i="1"/>
  <c r="I527" i="1"/>
  <c r="U527" i="1"/>
  <c r="I600" i="1"/>
  <c r="U600" i="1"/>
  <c r="I543" i="1"/>
  <c r="U543" i="1"/>
  <c r="I540" i="1"/>
  <c r="U540" i="1"/>
  <c r="I522" i="1"/>
  <c r="U522" i="1"/>
  <c r="I615" i="1"/>
  <c r="U615" i="1"/>
  <c r="I528" i="1"/>
  <c r="U528" i="1"/>
  <c r="I769" i="1"/>
  <c r="U769" i="1"/>
  <c r="I694" i="1"/>
  <c r="U694" i="1"/>
  <c r="I644" i="1"/>
  <c r="U644" i="1"/>
  <c r="I725" i="1"/>
  <c r="U725" i="1"/>
  <c r="I642" i="1"/>
  <c r="U642" i="1"/>
  <c r="I561" i="1"/>
  <c r="U561" i="1"/>
  <c r="I1035" i="1"/>
  <c r="U1035" i="1"/>
  <c r="I517" i="1"/>
  <c r="U517" i="1"/>
  <c r="I542" i="1"/>
  <c r="U542" i="1"/>
  <c r="I693" i="1"/>
  <c r="U693" i="1"/>
  <c r="I541" i="1"/>
  <c r="U541" i="1"/>
  <c r="I771" i="1"/>
  <c r="U771" i="1"/>
  <c r="I643" i="1"/>
  <c r="U643" i="1"/>
  <c r="I770" i="1"/>
  <c r="U770" i="1"/>
  <c r="I1114" i="1"/>
  <c r="U1114" i="1"/>
  <c r="I641" i="1"/>
  <c r="U641" i="1"/>
  <c r="I447" i="15"/>
  <c r="I406" i="15"/>
  <c r="I533" i="15"/>
  <c r="H695" i="1"/>
  <c r="X476" i="1"/>
  <c r="H476" i="1" s="1"/>
  <c r="X393" i="15"/>
  <c r="H393" i="15" s="1"/>
  <c r="U393" i="15" s="1"/>
  <c r="X484" i="1"/>
  <c r="H484" i="1" s="1"/>
  <c r="X401" i="15"/>
  <c r="H401" i="15" s="1"/>
  <c r="U401" i="15" s="1"/>
  <c r="X483" i="1"/>
  <c r="H483" i="1" s="1"/>
  <c r="X400" i="15"/>
  <c r="H400" i="15" s="1"/>
  <c r="U400" i="15" s="1"/>
  <c r="X486" i="1"/>
  <c r="H486" i="1" s="1"/>
  <c r="X403" i="15"/>
  <c r="H403" i="15" s="1"/>
  <c r="U403" i="15" s="1"/>
  <c r="X474" i="1"/>
  <c r="H474" i="1" s="1"/>
  <c r="X391" i="15"/>
  <c r="H391" i="15" s="1"/>
  <c r="U391" i="15" s="1"/>
  <c r="X475" i="1"/>
  <c r="H475" i="1" s="1"/>
  <c r="X392" i="15"/>
  <c r="H392" i="15" s="1"/>
  <c r="U392" i="15" s="1"/>
  <c r="X481" i="1"/>
  <c r="H481" i="1" s="1"/>
  <c r="X398" i="15"/>
  <c r="H398" i="15" s="1"/>
  <c r="U398" i="15" s="1"/>
  <c r="H640" i="1"/>
  <c r="H707" i="1"/>
  <c r="X777" i="1"/>
  <c r="H777" i="1" s="1"/>
  <c r="H703" i="1"/>
  <c r="X743" i="1"/>
  <c r="H743" i="1" s="1"/>
  <c r="AB478" i="1"/>
  <c r="X478" i="1"/>
  <c r="H478" i="1" s="1"/>
  <c r="AB479" i="1"/>
  <c r="X479" i="1"/>
  <c r="H479" i="1" s="1"/>
  <c r="AB472" i="1"/>
  <c r="X472" i="1"/>
  <c r="H472" i="1" s="1"/>
  <c r="AB470" i="1"/>
  <c r="X470" i="1"/>
  <c r="H470" i="1" s="1"/>
  <c r="I969" i="4"/>
  <c r="F969" i="4"/>
  <c r="G969" i="4" s="1"/>
  <c r="I968" i="4"/>
  <c r="F968" i="4"/>
  <c r="G968" i="4" s="1"/>
  <c r="I967" i="4"/>
  <c r="F967" i="4"/>
  <c r="G967" i="4" s="1"/>
  <c r="I966" i="4"/>
  <c r="F966" i="4"/>
  <c r="G966" i="4" s="1"/>
  <c r="I965" i="4"/>
  <c r="F965" i="4"/>
  <c r="G965" i="4" s="1"/>
  <c r="I959" i="4"/>
  <c r="F959" i="4"/>
  <c r="G959" i="4" s="1"/>
  <c r="I958" i="4"/>
  <c r="F958" i="4"/>
  <c r="G958" i="4" s="1"/>
  <c r="I957" i="4"/>
  <c r="F957" i="4"/>
  <c r="G957" i="4" s="1"/>
  <c r="I952" i="4"/>
  <c r="F952" i="4"/>
  <c r="G952" i="4" s="1"/>
  <c r="I951" i="4"/>
  <c r="F951" i="4"/>
  <c r="G951" i="4" s="1"/>
  <c r="I950" i="4"/>
  <c r="F950" i="4"/>
  <c r="G950" i="4" s="1"/>
  <c r="I945" i="4"/>
  <c r="F945" i="4"/>
  <c r="G945" i="4" s="1"/>
  <c r="I944" i="4"/>
  <c r="F944" i="4"/>
  <c r="G944" i="4" s="1"/>
  <c r="I943" i="4"/>
  <c r="F943" i="4"/>
  <c r="G943" i="4" s="1"/>
  <c r="I934" i="4"/>
  <c r="F934" i="4"/>
  <c r="G934" i="4" s="1"/>
  <c r="I936" i="4"/>
  <c r="F936" i="4"/>
  <c r="G936" i="4" s="1"/>
  <c r="I938" i="4"/>
  <c r="F938" i="4"/>
  <c r="G938" i="4" s="1"/>
  <c r="I937" i="4"/>
  <c r="F937" i="4"/>
  <c r="G937" i="4" s="1"/>
  <c r="I935" i="4"/>
  <c r="F935" i="4"/>
  <c r="G935" i="4" s="1"/>
  <c r="I929" i="4"/>
  <c r="F929" i="4"/>
  <c r="G929" i="4" s="1"/>
  <c r="I928" i="4"/>
  <c r="F928" i="4"/>
  <c r="G928" i="4" s="1"/>
  <c r="I927" i="4"/>
  <c r="F927" i="4"/>
  <c r="G927" i="4" s="1"/>
  <c r="I922" i="4"/>
  <c r="F922" i="4"/>
  <c r="G922" i="4" s="1"/>
  <c r="I921" i="4"/>
  <c r="F921" i="4"/>
  <c r="G921" i="4" s="1"/>
  <c r="I920" i="4"/>
  <c r="F920" i="4"/>
  <c r="G920" i="4" s="1"/>
  <c r="I915" i="4"/>
  <c r="F915" i="4"/>
  <c r="G915" i="4" s="1"/>
  <c r="I914" i="4"/>
  <c r="F914" i="4"/>
  <c r="G914" i="4" s="1"/>
  <c r="I913" i="4"/>
  <c r="F913" i="4"/>
  <c r="G913" i="4" s="1"/>
  <c r="I908" i="4"/>
  <c r="F908" i="4"/>
  <c r="G908" i="4" s="1"/>
  <c r="I907" i="4"/>
  <c r="F907" i="4"/>
  <c r="G907" i="4" s="1"/>
  <c r="I906" i="4"/>
  <c r="F906" i="4"/>
  <c r="G906" i="4" s="1"/>
  <c r="I900" i="4"/>
  <c r="F900" i="4"/>
  <c r="G900" i="4" s="1"/>
  <c r="I899" i="4"/>
  <c r="F899" i="4"/>
  <c r="G899" i="4" s="1"/>
  <c r="I898" i="4"/>
  <c r="F898" i="4"/>
  <c r="G898" i="4" s="1"/>
  <c r="AB477" i="1"/>
  <c r="X477" i="1"/>
  <c r="H477" i="1" s="1"/>
  <c r="AB473" i="1"/>
  <c r="X473" i="1"/>
  <c r="H473" i="1" s="1"/>
  <c r="H471" i="1"/>
  <c r="AB469" i="1"/>
  <c r="X469" i="1"/>
  <c r="H469" i="1" s="1"/>
  <c r="AB466" i="1"/>
  <c r="X466" i="1"/>
  <c r="H466" i="1" s="1"/>
  <c r="AB463" i="1"/>
  <c r="X463" i="1"/>
  <c r="H463" i="1" s="1"/>
  <c r="AB456" i="1"/>
  <c r="X456" i="1"/>
  <c r="H456" i="1" s="1"/>
  <c r="AB454" i="1"/>
  <c r="X454" i="1"/>
  <c r="H454" i="1" s="1"/>
  <c r="F887" i="4"/>
  <c r="G887" i="4" s="1"/>
  <c r="I892" i="4"/>
  <c r="F892" i="4"/>
  <c r="G892" i="4" s="1"/>
  <c r="I891" i="4"/>
  <c r="F891" i="4"/>
  <c r="G891" i="4" s="1"/>
  <c r="I890" i="4"/>
  <c r="F890" i="4"/>
  <c r="G890" i="4" s="1"/>
  <c r="I889" i="4"/>
  <c r="F889" i="4"/>
  <c r="G889" i="4" s="1"/>
  <c r="I888" i="4"/>
  <c r="F888" i="4"/>
  <c r="G888" i="4" s="1"/>
  <c r="I882" i="4"/>
  <c r="F882" i="4"/>
  <c r="G882" i="4" s="1"/>
  <c r="I881" i="4"/>
  <c r="F881" i="4"/>
  <c r="G881" i="4" s="1"/>
  <c r="I880" i="4"/>
  <c r="F880" i="4"/>
  <c r="G880" i="4" s="1"/>
  <c r="I879" i="4"/>
  <c r="F879" i="4"/>
  <c r="G879" i="4" s="1"/>
  <c r="I878" i="4"/>
  <c r="F878" i="4"/>
  <c r="G878" i="4" s="1"/>
  <c r="I877" i="4"/>
  <c r="F877" i="4"/>
  <c r="G877" i="4" s="1"/>
  <c r="I876" i="4"/>
  <c r="F876" i="4"/>
  <c r="G876" i="4" s="1"/>
  <c r="I875" i="4"/>
  <c r="F875" i="4"/>
  <c r="G875" i="4" s="1"/>
  <c r="I874" i="4"/>
  <c r="F874" i="4"/>
  <c r="G874" i="4" s="1"/>
  <c r="I873" i="4"/>
  <c r="F873" i="4"/>
  <c r="G873" i="4" s="1"/>
  <c r="I872" i="4"/>
  <c r="F872" i="4"/>
  <c r="G872" i="4" s="1"/>
  <c r="I871" i="4"/>
  <c r="F871" i="4"/>
  <c r="G871" i="4" s="1"/>
  <c r="I870" i="4"/>
  <c r="F870" i="4"/>
  <c r="G870" i="4" s="1"/>
  <c r="I821" i="4"/>
  <c r="F821" i="4"/>
  <c r="G821" i="4" s="1"/>
  <c r="I861" i="4"/>
  <c r="F861" i="4"/>
  <c r="G861" i="4" s="1"/>
  <c r="I865" i="4"/>
  <c r="F865" i="4"/>
  <c r="G865" i="4" s="1"/>
  <c r="I864" i="4"/>
  <c r="F864" i="4"/>
  <c r="G864" i="4" s="1"/>
  <c r="I863" i="4"/>
  <c r="F863" i="4"/>
  <c r="G863" i="4" s="1"/>
  <c r="I862" i="4"/>
  <c r="F862" i="4"/>
  <c r="G862" i="4" s="1"/>
  <c r="I860" i="4"/>
  <c r="F860" i="4"/>
  <c r="G860" i="4" s="1"/>
  <c r="I859" i="4"/>
  <c r="F859" i="4"/>
  <c r="G859" i="4" s="1"/>
  <c r="I854" i="4"/>
  <c r="F854" i="4"/>
  <c r="G854" i="4" s="1"/>
  <c r="I853" i="4"/>
  <c r="F853" i="4"/>
  <c r="G853" i="4" s="1"/>
  <c r="I852" i="4"/>
  <c r="F852" i="4"/>
  <c r="G852" i="4" s="1"/>
  <c r="I851" i="4"/>
  <c r="F851" i="4"/>
  <c r="G851" i="4" s="1"/>
  <c r="I850" i="4"/>
  <c r="F850" i="4"/>
  <c r="G850" i="4" s="1"/>
  <c r="I849" i="4"/>
  <c r="F849" i="4"/>
  <c r="G849" i="4" s="1"/>
  <c r="I844" i="4"/>
  <c r="F844" i="4"/>
  <c r="G844" i="4" s="1"/>
  <c r="I843" i="4"/>
  <c r="F843" i="4"/>
  <c r="G843" i="4" s="1"/>
  <c r="I842" i="4"/>
  <c r="F842" i="4"/>
  <c r="G842" i="4" s="1"/>
  <c r="I841" i="4"/>
  <c r="F841" i="4"/>
  <c r="G841" i="4" s="1"/>
  <c r="I840" i="4"/>
  <c r="F840" i="4"/>
  <c r="G840" i="4" s="1"/>
  <c r="AB442" i="1"/>
  <c r="AB441" i="1"/>
  <c r="I835" i="4"/>
  <c r="F835" i="4"/>
  <c r="G835" i="4" s="1"/>
  <c r="I834" i="4"/>
  <c r="F834" i="4"/>
  <c r="G834" i="4" s="1"/>
  <c r="I833" i="4"/>
  <c r="F833" i="4"/>
  <c r="G833" i="4" s="1"/>
  <c r="I832" i="4"/>
  <c r="F832" i="4"/>
  <c r="G832" i="4" s="1"/>
  <c r="I831" i="4"/>
  <c r="F831" i="4"/>
  <c r="G831" i="4" s="1"/>
  <c r="I830" i="4"/>
  <c r="F830" i="4"/>
  <c r="G830" i="4" s="1"/>
  <c r="I829" i="4"/>
  <c r="F829" i="4"/>
  <c r="G829" i="4" s="1"/>
  <c r="I828" i="4"/>
  <c r="F828" i="4"/>
  <c r="G828" i="4" s="1"/>
  <c r="I827" i="4"/>
  <c r="F827" i="4"/>
  <c r="G827" i="4" s="1"/>
  <c r="I826" i="4"/>
  <c r="F826" i="4"/>
  <c r="G826" i="4" s="1"/>
  <c r="I825" i="4"/>
  <c r="F825" i="4"/>
  <c r="G825" i="4" s="1"/>
  <c r="I824" i="4"/>
  <c r="F824" i="4"/>
  <c r="G824" i="4" s="1"/>
  <c r="I823" i="4"/>
  <c r="F823" i="4"/>
  <c r="G823" i="4" s="1"/>
  <c r="I822" i="4"/>
  <c r="F822" i="4"/>
  <c r="G822" i="4" s="1"/>
  <c r="I816" i="4"/>
  <c r="B816" i="4" s="1"/>
  <c r="F816" i="4"/>
  <c r="G816" i="4" s="1"/>
  <c r="I810" i="4"/>
  <c r="F810" i="4"/>
  <c r="G810" i="4" s="1"/>
  <c r="I815" i="4"/>
  <c r="F815" i="4"/>
  <c r="G815" i="4" s="1"/>
  <c r="I814" i="4"/>
  <c r="F814" i="4"/>
  <c r="G814" i="4" s="1"/>
  <c r="I813" i="4"/>
  <c r="F813" i="4"/>
  <c r="G813" i="4" s="1"/>
  <c r="I812" i="4"/>
  <c r="F812" i="4"/>
  <c r="G812" i="4" s="1"/>
  <c r="I811" i="4"/>
  <c r="F811" i="4"/>
  <c r="G811" i="4" s="1"/>
  <c r="I809" i="4"/>
  <c r="F809" i="4"/>
  <c r="G809" i="4" s="1"/>
  <c r="I802" i="4"/>
  <c r="F802" i="4"/>
  <c r="G802" i="4" s="1"/>
  <c r="I804" i="4"/>
  <c r="F804" i="4"/>
  <c r="G804" i="4" s="1"/>
  <c r="I803" i="4"/>
  <c r="F803" i="4"/>
  <c r="G803" i="4" s="1"/>
  <c r="I801" i="4"/>
  <c r="F801" i="4"/>
  <c r="G801" i="4" s="1"/>
  <c r="I800" i="4"/>
  <c r="F800" i="4"/>
  <c r="G800" i="4" s="1"/>
  <c r="I794" i="4"/>
  <c r="F794" i="4"/>
  <c r="G794" i="4" s="1"/>
  <c r="I795" i="4"/>
  <c r="F795" i="4"/>
  <c r="G795" i="4" s="1"/>
  <c r="I793" i="4"/>
  <c r="F793" i="4"/>
  <c r="G793" i="4" s="1"/>
  <c r="I792" i="4"/>
  <c r="F792" i="4"/>
  <c r="G792" i="4" s="1"/>
  <c r="I787" i="4"/>
  <c r="F787" i="4"/>
  <c r="G787" i="4" s="1"/>
  <c r="I786" i="4"/>
  <c r="F786" i="4"/>
  <c r="G786" i="4" s="1"/>
  <c r="I785" i="4"/>
  <c r="F785" i="4"/>
  <c r="G785" i="4" s="1"/>
  <c r="I784" i="4"/>
  <c r="F784" i="4"/>
  <c r="G784" i="4" s="1"/>
  <c r="I783" i="4"/>
  <c r="F783" i="4"/>
  <c r="G783" i="4" s="1"/>
  <c r="I782" i="4"/>
  <c r="F782" i="4"/>
  <c r="G782" i="4" s="1"/>
  <c r="I781" i="4"/>
  <c r="F781" i="4"/>
  <c r="G781" i="4" s="1"/>
  <c r="I780" i="4"/>
  <c r="F780" i="4"/>
  <c r="G780" i="4" s="1"/>
  <c r="I779" i="4"/>
  <c r="F779" i="4"/>
  <c r="G779" i="4" s="1"/>
  <c r="I774" i="4"/>
  <c r="F774" i="4"/>
  <c r="G774" i="4" s="1"/>
  <c r="I773" i="4"/>
  <c r="F773" i="4"/>
  <c r="G773" i="4" s="1"/>
  <c r="I772" i="4"/>
  <c r="F772" i="4"/>
  <c r="G772" i="4" s="1"/>
  <c r="I771" i="4"/>
  <c r="F771" i="4"/>
  <c r="G771" i="4" s="1"/>
  <c r="I770" i="4"/>
  <c r="F770" i="4"/>
  <c r="G770" i="4" s="1"/>
  <c r="I765" i="4"/>
  <c r="F765" i="4"/>
  <c r="G765" i="4" s="1"/>
  <c r="I764" i="4"/>
  <c r="F764" i="4"/>
  <c r="G764" i="4" s="1"/>
  <c r="I763" i="4"/>
  <c r="F763" i="4"/>
  <c r="G763" i="4" s="1"/>
  <c r="I762" i="4"/>
  <c r="F762" i="4"/>
  <c r="G762" i="4" s="1"/>
  <c r="I761" i="4"/>
  <c r="F761" i="4"/>
  <c r="G761" i="4" s="1"/>
  <c r="I756" i="4"/>
  <c r="F756" i="4"/>
  <c r="G756" i="4" s="1"/>
  <c r="I755" i="4"/>
  <c r="F755" i="4"/>
  <c r="G755" i="4" s="1"/>
  <c r="I754" i="4"/>
  <c r="F754" i="4"/>
  <c r="G754" i="4" s="1"/>
  <c r="I753" i="4"/>
  <c r="F753" i="4"/>
  <c r="G753" i="4" s="1"/>
  <c r="I752" i="4"/>
  <c r="F752" i="4"/>
  <c r="G752" i="4" s="1"/>
  <c r="I747" i="4"/>
  <c r="F747" i="4"/>
  <c r="G747" i="4" s="1"/>
  <c r="I746" i="4"/>
  <c r="F746" i="4"/>
  <c r="G746" i="4" s="1"/>
  <c r="I745" i="4"/>
  <c r="F745" i="4"/>
  <c r="G745" i="4" s="1"/>
  <c r="I744" i="4"/>
  <c r="F744" i="4"/>
  <c r="G744" i="4" s="1"/>
  <c r="I743" i="4"/>
  <c r="B743" i="4" s="1"/>
  <c r="F743" i="4"/>
  <c r="G743" i="4" s="1"/>
  <c r="I738" i="4"/>
  <c r="F738" i="4"/>
  <c r="G738" i="4" s="1"/>
  <c r="I737" i="4"/>
  <c r="F737" i="4"/>
  <c r="G737" i="4" s="1"/>
  <c r="I736" i="4"/>
  <c r="F736" i="4"/>
  <c r="G736" i="4" s="1"/>
  <c r="I735" i="4"/>
  <c r="F735" i="4"/>
  <c r="G735" i="4" s="1"/>
  <c r="I734" i="4"/>
  <c r="F734" i="4"/>
  <c r="G734" i="4" s="1"/>
  <c r="I729" i="4"/>
  <c r="F729" i="4"/>
  <c r="G729" i="4" s="1"/>
  <c r="I728" i="4"/>
  <c r="F728" i="4"/>
  <c r="G728" i="4" s="1"/>
  <c r="I727" i="4"/>
  <c r="F727" i="4"/>
  <c r="G727" i="4" s="1"/>
  <c r="I726" i="4"/>
  <c r="F726" i="4"/>
  <c r="G726" i="4" s="1"/>
  <c r="I725" i="4"/>
  <c r="F725" i="4"/>
  <c r="G725" i="4" s="1"/>
  <c r="I720" i="4"/>
  <c r="F720" i="4"/>
  <c r="G720" i="4" s="1"/>
  <c r="I719" i="4"/>
  <c r="F719" i="4"/>
  <c r="G719" i="4" s="1"/>
  <c r="I718" i="4"/>
  <c r="F718" i="4"/>
  <c r="G718" i="4" s="1"/>
  <c r="I717" i="4"/>
  <c r="F717" i="4"/>
  <c r="G717" i="4" s="1"/>
  <c r="I716" i="4"/>
  <c r="F716" i="4"/>
  <c r="G716" i="4" s="1"/>
  <c r="F1741" i="4"/>
  <c r="G1741" i="4" s="1"/>
  <c r="I1740" i="4"/>
  <c r="I1739" i="4"/>
  <c r="F1740" i="4"/>
  <c r="G1740" i="4" s="1"/>
  <c r="F1739" i="4"/>
  <c r="G1739" i="4" s="1"/>
  <c r="I1743" i="4"/>
  <c r="F1743" i="4"/>
  <c r="G1743" i="4" s="1"/>
  <c r="I1742" i="4"/>
  <c r="F1742" i="4"/>
  <c r="G1742" i="4" s="1"/>
  <c r="I1734" i="4"/>
  <c r="F1734" i="4"/>
  <c r="G1734" i="4" s="1"/>
  <c r="I1733" i="4"/>
  <c r="F1733" i="4"/>
  <c r="G1733" i="4" s="1"/>
  <c r="I1723" i="4"/>
  <c r="F1723" i="4"/>
  <c r="G1723" i="4" s="1"/>
  <c r="I1725" i="4"/>
  <c r="F1725" i="4"/>
  <c r="G1725" i="4" s="1"/>
  <c r="I1724" i="4"/>
  <c r="F1724" i="4"/>
  <c r="G1724" i="4" s="1"/>
  <c r="I1722" i="4"/>
  <c r="F1722" i="4"/>
  <c r="G1722" i="4" s="1"/>
  <c r="I1714" i="4"/>
  <c r="F1714" i="4"/>
  <c r="G1714" i="4" s="1"/>
  <c r="I1717" i="4"/>
  <c r="F1717" i="4"/>
  <c r="G1717" i="4" s="1"/>
  <c r="I1716" i="4"/>
  <c r="F1716" i="4"/>
  <c r="G1716" i="4" s="1"/>
  <c r="I1715" i="4"/>
  <c r="F1715" i="4"/>
  <c r="G1715" i="4" s="1"/>
  <c r="I1708" i="4"/>
  <c r="F1708" i="4"/>
  <c r="G1708" i="4" s="1"/>
  <c r="I1709" i="4"/>
  <c r="B1709" i="4" s="1"/>
  <c r="F1709" i="4"/>
  <c r="G1709" i="4" s="1"/>
  <c r="AB414" i="1"/>
  <c r="AB412" i="1"/>
  <c r="I708" i="4"/>
  <c r="F708" i="4"/>
  <c r="G708" i="4" s="1"/>
  <c r="I710" i="4"/>
  <c r="F710" i="4"/>
  <c r="G710" i="4" s="1"/>
  <c r="I709" i="4"/>
  <c r="F709" i="4"/>
  <c r="G709" i="4" s="1"/>
  <c r="I707" i="4"/>
  <c r="F707" i="4"/>
  <c r="G707" i="4" s="1"/>
  <c r="I706" i="4"/>
  <c r="F706" i="4"/>
  <c r="G706" i="4" s="1"/>
  <c r="I698" i="4"/>
  <c r="F698" i="4"/>
  <c r="G698" i="4" s="1"/>
  <c r="I699" i="4"/>
  <c r="F699" i="4"/>
  <c r="G699" i="4" s="1"/>
  <c r="I700" i="4"/>
  <c r="F700" i="4"/>
  <c r="G700" i="4" s="1"/>
  <c r="I701" i="4"/>
  <c r="F701" i="4"/>
  <c r="G701" i="4" s="1"/>
  <c r="F697" i="4"/>
  <c r="G697" i="4" s="1"/>
  <c r="F696" i="4"/>
  <c r="G696" i="4" s="1"/>
  <c r="I689" i="4"/>
  <c r="F689" i="4"/>
  <c r="G689" i="4" s="1"/>
  <c r="I688" i="4"/>
  <c r="F688" i="4"/>
  <c r="G688" i="4" s="1"/>
  <c r="I687" i="4"/>
  <c r="F687" i="4"/>
  <c r="G687" i="4" s="1"/>
  <c r="I686" i="4"/>
  <c r="F686" i="4"/>
  <c r="G686" i="4" s="1"/>
  <c r="I690" i="4"/>
  <c r="F690" i="4"/>
  <c r="G690" i="4" s="1"/>
  <c r="I691" i="4"/>
  <c r="F691" i="4"/>
  <c r="G691" i="4" s="1"/>
  <c r="F675" i="4"/>
  <c r="G675" i="4" s="1"/>
  <c r="I675" i="4"/>
  <c r="I674" i="4"/>
  <c r="F674" i="4"/>
  <c r="G674" i="4" s="1"/>
  <c r="I673" i="4"/>
  <c r="F673" i="4"/>
  <c r="G673" i="4" s="1"/>
  <c r="I676" i="4"/>
  <c r="F676" i="4"/>
  <c r="G676" i="4" s="1"/>
  <c r="I677" i="4"/>
  <c r="F677" i="4"/>
  <c r="G677" i="4" s="1"/>
  <c r="I678" i="4"/>
  <c r="F678" i="4"/>
  <c r="G678" i="4" s="1"/>
  <c r="I679" i="4"/>
  <c r="F679" i="4"/>
  <c r="G679" i="4" s="1"/>
  <c r="I680" i="4"/>
  <c r="F680" i="4"/>
  <c r="G680" i="4" s="1"/>
  <c r="I681" i="4"/>
  <c r="F681" i="4"/>
  <c r="G681" i="4" s="1"/>
  <c r="I668" i="4"/>
  <c r="F668" i="4"/>
  <c r="G668" i="4" s="1"/>
  <c r="I667" i="4"/>
  <c r="F667" i="4"/>
  <c r="G667" i="4" s="1"/>
  <c r="I666" i="4"/>
  <c r="F666" i="4"/>
  <c r="G666" i="4" s="1"/>
  <c r="I659" i="4"/>
  <c r="F659" i="4"/>
  <c r="G659" i="4" s="1"/>
  <c r="I660" i="4"/>
  <c r="F660" i="4"/>
  <c r="G660" i="4" s="1"/>
  <c r="I661" i="4"/>
  <c r="F661" i="4"/>
  <c r="G661" i="4" s="1"/>
  <c r="F651" i="4"/>
  <c r="G651" i="4" s="1"/>
  <c r="I654" i="4"/>
  <c r="F654" i="4"/>
  <c r="G654" i="4" s="1"/>
  <c r="I653" i="4"/>
  <c r="F653" i="4"/>
  <c r="G653" i="4" s="1"/>
  <c r="I652" i="4"/>
  <c r="F652" i="4"/>
  <c r="G652" i="4" s="1"/>
  <c r="I650" i="4"/>
  <c r="F650" i="4"/>
  <c r="G650" i="4" s="1"/>
  <c r="F643" i="4"/>
  <c r="G643" i="4" s="1"/>
  <c r="I645" i="4"/>
  <c r="F645" i="4"/>
  <c r="G645" i="4" s="1"/>
  <c r="I644" i="4"/>
  <c r="F644" i="4"/>
  <c r="G644" i="4" s="1"/>
  <c r="I642" i="4"/>
  <c r="F642" i="4"/>
  <c r="G642" i="4" s="1"/>
  <c r="F633" i="4"/>
  <c r="G633" i="4" s="1"/>
  <c r="I634" i="4"/>
  <c r="F634" i="4"/>
  <c r="G634" i="4" s="1"/>
  <c r="I635" i="4"/>
  <c r="F635" i="4"/>
  <c r="G635" i="4" s="1"/>
  <c r="I636" i="4"/>
  <c r="F636" i="4"/>
  <c r="G636" i="4" s="1"/>
  <c r="I637" i="4"/>
  <c r="F637" i="4"/>
  <c r="G637" i="4" s="1"/>
  <c r="I625" i="4"/>
  <c r="F625" i="4"/>
  <c r="G625" i="4" s="1"/>
  <c r="I624" i="4"/>
  <c r="F624" i="4"/>
  <c r="G624" i="4" s="1"/>
  <c r="I627" i="4"/>
  <c r="F627" i="4"/>
  <c r="G627" i="4" s="1"/>
  <c r="I626" i="4"/>
  <c r="F626" i="4"/>
  <c r="G626" i="4" s="1"/>
  <c r="I623" i="4"/>
  <c r="F623" i="4"/>
  <c r="G623" i="4" s="1"/>
  <c r="I622" i="4"/>
  <c r="F622" i="4"/>
  <c r="G622" i="4" s="1"/>
  <c r="I621" i="4"/>
  <c r="F621" i="4"/>
  <c r="G621" i="4" s="1"/>
  <c r="I620" i="4"/>
  <c r="F620" i="4"/>
  <c r="G620" i="4" s="1"/>
  <c r="I619" i="4"/>
  <c r="F619" i="4"/>
  <c r="G619" i="4" s="1"/>
  <c r="I618" i="4"/>
  <c r="B618" i="4" s="1"/>
  <c r="F618" i="4"/>
  <c r="G618" i="4" s="1"/>
  <c r="I613" i="4"/>
  <c r="F613" i="4"/>
  <c r="G613" i="4" s="1"/>
  <c r="I612" i="4"/>
  <c r="F612" i="4"/>
  <c r="G612" i="4" s="1"/>
  <c r="F611" i="4"/>
  <c r="G611" i="4" s="1"/>
  <c r="I610" i="4"/>
  <c r="F610" i="4"/>
  <c r="G610" i="4" s="1"/>
  <c r="I609" i="4"/>
  <c r="F609" i="4"/>
  <c r="G609" i="4" s="1"/>
  <c r="I608" i="4"/>
  <c r="F608" i="4"/>
  <c r="G608" i="4" s="1"/>
  <c r="I607" i="4"/>
  <c r="F607" i="4"/>
  <c r="G607" i="4" s="1"/>
  <c r="I606" i="4"/>
  <c r="F606" i="4"/>
  <c r="G606" i="4" s="1"/>
  <c r="AB332" i="1"/>
  <c r="X332" i="1"/>
  <c r="H332" i="1" s="1"/>
  <c r="AB331" i="1"/>
  <c r="H331" i="1"/>
  <c r="AB328" i="1"/>
  <c r="X328" i="1"/>
  <c r="H328" i="1" s="1"/>
  <c r="I598" i="4"/>
  <c r="F598" i="4"/>
  <c r="G598" i="4" s="1"/>
  <c r="I599" i="4"/>
  <c r="F599" i="4"/>
  <c r="G599" i="4" s="1"/>
  <c r="I600" i="4"/>
  <c r="F600" i="4"/>
  <c r="G600" i="4" s="1"/>
  <c r="I601" i="4"/>
  <c r="F601" i="4"/>
  <c r="G601" i="4" s="1"/>
  <c r="I597" i="4"/>
  <c r="F597" i="4"/>
  <c r="G597" i="4" s="1"/>
  <c r="I596" i="4"/>
  <c r="F596" i="4"/>
  <c r="G596" i="4" s="1"/>
  <c r="I595" i="4"/>
  <c r="F595" i="4"/>
  <c r="G595" i="4" s="1"/>
  <c r="I594" i="4"/>
  <c r="F594" i="4"/>
  <c r="G594" i="4" s="1"/>
  <c r="I589" i="4"/>
  <c r="F589" i="4"/>
  <c r="G589" i="4" s="1"/>
  <c r="I588" i="4"/>
  <c r="F588" i="4"/>
  <c r="G588" i="4" s="1"/>
  <c r="I587" i="4"/>
  <c r="F587" i="4"/>
  <c r="G587" i="4" s="1"/>
  <c r="I586" i="4"/>
  <c r="F586" i="4"/>
  <c r="G586" i="4" s="1"/>
  <c r="I585" i="4"/>
  <c r="F585" i="4"/>
  <c r="G585" i="4" s="1"/>
  <c r="I584" i="4"/>
  <c r="F584" i="4"/>
  <c r="G584" i="4" s="1"/>
  <c r="I579" i="4"/>
  <c r="F579" i="4"/>
  <c r="G579" i="4" s="1"/>
  <c r="I578" i="4"/>
  <c r="F578" i="4"/>
  <c r="G578" i="4" s="1"/>
  <c r="I577" i="4"/>
  <c r="F577" i="4"/>
  <c r="G577" i="4" s="1"/>
  <c r="I576" i="4"/>
  <c r="F576" i="4"/>
  <c r="G576" i="4" s="1"/>
  <c r="I575" i="4"/>
  <c r="F575" i="4"/>
  <c r="G575" i="4" s="1"/>
  <c r="I574" i="4"/>
  <c r="F574" i="4"/>
  <c r="G574" i="4" s="1"/>
  <c r="I569" i="4"/>
  <c r="F569" i="4"/>
  <c r="G569" i="4" s="1"/>
  <c r="I568" i="4"/>
  <c r="F568" i="4"/>
  <c r="G568" i="4" s="1"/>
  <c r="I567" i="4"/>
  <c r="F567" i="4"/>
  <c r="G567" i="4" s="1"/>
  <c r="I566" i="4"/>
  <c r="F566" i="4"/>
  <c r="G566" i="4" s="1"/>
  <c r="I565" i="4"/>
  <c r="F565" i="4"/>
  <c r="G565" i="4" s="1"/>
  <c r="I564" i="4"/>
  <c r="F564" i="4"/>
  <c r="G564" i="4" s="1"/>
  <c r="I558" i="4"/>
  <c r="F558" i="4"/>
  <c r="G558" i="4" s="1"/>
  <c r="I557" i="4"/>
  <c r="F557" i="4"/>
  <c r="G557" i="4" s="1"/>
  <c r="I556" i="4"/>
  <c r="F556" i="4"/>
  <c r="G556" i="4" s="1"/>
  <c r="I555" i="4"/>
  <c r="F555" i="4"/>
  <c r="G555" i="4" s="1"/>
  <c r="I554" i="4"/>
  <c r="F554" i="4"/>
  <c r="G554" i="4" s="1"/>
  <c r="I553" i="4"/>
  <c r="F553" i="4"/>
  <c r="G553" i="4" s="1"/>
  <c r="I548" i="4"/>
  <c r="F548" i="4"/>
  <c r="G548" i="4" s="1"/>
  <c r="I547" i="4"/>
  <c r="F547" i="4"/>
  <c r="G547" i="4" s="1"/>
  <c r="I546" i="4"/>
  <c r="F546" i="4"/>
  <c r="G546" i="4" s="1"/>
  <c r="I545" i="4"/>
  <c r="F545" i="4"/>
  <c r="G545" i="4" s="1"/>
  <c r="I544" i="4"/>
  <c r="F544" i="4"/>
  <c r="G544" i="4" s="1"/>
  <c r="I543" i="4"/>
  <c r="F543" i="4"/>
  <c r="G543" i="4" s="1"/>
  <c r="I537" i="4"/>
  <c r="F537" i="4"/>
  <c r="G537" i="4" s="1"/>
  <c r="I536" i="4"/>
  <c r="F536" i="4"/>
  <c r="G536" i="4" s="1"/>
  <c r="I535" i="4"/>
  <c r="F535" i="4"/>
  <c r="G535" i="4" s="1"/>
  <c r="I534" i="4"/>
  <c r="F534" i="4"/>
  <c r="G534" i="4" s="1"/>
  <c r="I533" i="4"/>
  <c r="F533" i="4"/>
  <c r="G533" i="4" s="1"/>
  <c r="I532" i="4"/>
  <c r="F532" i="4"/>
  <c r="G532" i="4" s="1"/>
  <c r="I527" i="4"/>
  <c r="F527" i="4"/>
  <c r="G527" i="4" s="1"/>
  <c r="I526" i="4"/>
  <c r="F526" i="4"/>
  <c r="G526" i="4" s="1"/>
  <c r="I525" i="4"/>
  <c r="F525" i="4"/>
  <c r="G525" i="4" s="1"/>
  <c r="I524" i="4"/>
  <c r="F524" i="4"/>
  <c r="G524" i="4" s="1"/>
  <c r="I523" i="4"/>
  <c r="F523" i="4"/>
  <c r="G523" i="4" s="1"/>
  <c r="I522" i="4"/>
  <c r="F522" i="4"/>
  <c r="G522" i="4" s="1"/>
  <c r="I514" i="4"/>
  <c r="F514" i="4"/>
  <c r="G514" i="4" s="1"/>
  <c r="I513" i="4"/>
  <c r="F513" i="4"/>
  <c r="G513" i="4" s="1"/>
  <c r="I512" i="4"/>
  <c r="F512" i="4"/>
  <c r="G512" i="4" s="1"/>
  <c r="I511" i="4"/>
  <c r="F511" i="4"/>
  <c r="G511" i="4" s="1"/>
  <c r="I515" i="4"/>
  <c r="F515" i="4"/>
  <c r="G515" i="4" s="1"/>
  <c r="I516" i="4"/>
  <c r="F516" i="4"/>
  <c r="G516" i="4" s="1"/>
  <c r="I504" i="4"/>
  <c r="F504" i="4"/>
  <c r="G504" i="4" s="1"/>
  <c r="I506" i="4"/>
  <c r="F506" i="4"/>
  <c r="G506" i="4" s="1"/>
  <c r="I505" i="4"/>
  <c r="F505" i="4"/>
  <c r="G505" i="4" s="1"/>
  <c r="I499" i="4"/>
  <c r="F499" i="4"/>
  <c r="G499" i="4" s="1"/>
  <c r="I498" i="4"/>
  <c r="F498" i="4"/>
  <c r="G498" i="4" s="1"/>
  <c r="I497" i="4"/>
  <c r="F497" i="4"/>
  <c r="G497" i="4" s="1"/>
  <c r="I496" i="4"/>
  <c r="F496" i="4"/>
  <c r="G496" i="4" s="1"/>
  <c r="I495" i="4"/>
  <c r="F495" i="4"/>
  <c r="G495" i="4" s="1"/>
  <c r="I494" i="4"/>
  <c r="F494" i="4"/>
  <c r="G494" i="4" s="1"/>
  <c r="I493" i="4"/>
  <c r="F493" i="4"/>
  <c r="G493" i="4" s="1"/>
  <c r="I492" i="4"/>
  <c r="F492" i="4"/>
  <c r="G492" i="4" s="1"/>
  <c r="I486" i="4"/>
  <c r="F486" i="4"/>
  <c r="G486" i="4" s="1"/>
  <c r="I485" i="4"/>
  <c r="F485" i="4"/>
  <c r="G485" i="4" s="1"/>
  <c r="I484" i="4"/>
  <c r="F484" i="4"/>
  <c r="G484" i="4" s="1"/>
  <c r="I483" i="4"/>
  <c r="F483" i="4"/>
  <c r="G483" i="4" s="1"/>
  <c r="I482" i="4"/>
  <c r="F482" i="4"/>
  <c r="G482" i="4" s="1"/>
  <c r="I477" i="4"/>
  <c r="F477" i="4"/>
  <c r="G477" i="4" s="1"/>
  <c r="I476" i="4"/>
  <c r="F476" i="4"/>
  <c r="G476" i="4" s="1"/>
  <c r="I475" i="4"/>
  <c r="F475" i="4"/>
  <c r="G475" i="4" s="1"/>
  <c r="I474" i="4"/>
  <c r="F474" i="4"/>
  <c r="G474" i="4" s="1"/>
  <c r="I473" i="4"/>
  <c r="F473" i="4"/>
  <c r="G473" i="4" s="1"/>
  <c r="I466" i="4"/>
  <c r="F466" i="4"/>
  <c r="G466" i="4" s="1"/>
  <c r="I465" i="4"/>
  <c r="F465" i="4"/>
  <c r="G465" i="4" s="1"/>
  <c r="I464" i="4"/>
  <c r="F464" i="4"/>
  <c r="G464" i="4" s="1"/>
  <c r="I467" i="4"/>
  <c r="F467" i="4"/>
  <c r="G467" i="4" s="1"/>
  <c r="I468" i="4"/>
  <c r="F468" i="4"/>
  <c r="G468" i="4" s="1"/>
  <c r="AB383" i="1"/>
  <c r="X383" i="1"/>
  <c r="H383" i="1" s="1"/>
  <c r="AB354" i="1"/>
  <c r="X354" i="1"/>
  <c r="H354" i="1" s="1"/>
  <c r="AB449" i="1"/>
  <c r="X449" i="1"/>
  <c r="H449" i="1" s="1"/>
  <c r="AB448" i="1"/>
  <c r="X448" i="1"/>
  <c r="H448" i="1" s="1"/>
  <c r="AB447" i="1"/>
  <c r="X447" i="1"/>
  <c r="H447" i="1" s="1"/>
  <c r="AB446" i="1"/>
  <c r="X446" i="1"/>
  <c r="H446" i="1" s="1"/>
  <c r="AB411" i="1"/>
  <c r="X411" i="1"/>
  <c r="H411" i="1" s="1"/>
  <c r="AB410" i="1"/>
  <c r="X410" i="1"/>
  <c r="H410" i="1" s="1"/>
  <c r="AB409" i="1"/>
  <c r="X409" i="1"/>
  <c r="H409" i="1" s="1"/>
  <c r="AB408" i="1"/>
  <c r="X408" i="1"/>
  <c r="H408" i="1" s="1"/>
  <c r="AB407" i="1"/>
  <c r="X407" i="1"/>
  <c r="H407" i="1" s="1"/>
  <c r="AB406" i="1"/>
  <c r="X406" i="1"/>
  <c r="H406" i="1" s="1"/>
  <c r="AB405" i="1"/>
  <c r="X405" i="1"/>
  <c r="H405" i="1" s="1"/>
  <c r="AB404" i="1"/>
  <c r="X404" i="1"/>
  <c r="H404" i="1" s="1"/>
  <c r="AB403" i="1"/>
  <c r="X403" i="1"/>
  <c r="H403" i="1" s="1"/>
  <c r="AB400" i="1"/>
  <c r="X400" i="1"/>
  <c r="H400" i="1" s="1"/>
  <c r="AB399" i="1"/>
  <c r="X399" i="1"/>
  <c r="H399" i="1" s="1"/>
  <c r="AB398" i="1"/>
  <c r="X398" i="1"/>
  <c r="H398" i="1" s="1"/>
  <c r="AB397" i="1"/>
  <c r="X397" i="1"/>
  <c r="H397" i="1" s="1"/>
  <c r="AB396" i="1"/>
  <c r="X396" i="1"/>
  <c r="H396" i="1" s="1"/>
  <c r="AB395" i="1"/>
  <c r="X395" i="1"/>
  <c r="H395" i="1" s="1"/>
  <c r="AB394" i="1"/>
  <c r="X394" i="1"/>
  <c r="H394" i="1" s="1"/>
  <c r="AB393" i="1"/>
  <c r="X393" i="1"/>
  <c r="H393" i="1" s="1"/>
  <c r="AB392" i="1"/>
  <c r="X392" i="1"/>
  <c r="H392" i="1" s="1"/>
  <c r="AB391" i="1"/>
  <c r="X391" i="1"/>
  <c r="H391" i="1" s="1"/>
  <c r="AB390" i="1"/>
  <c r="X390" i="1"/>
  <c r="H390" i="1" s="1"/>
  <c r="AB389" i="1"/>
  <c r="X389" i="1"/>
  <c r="H389" i="1" s="1"/>
  <c r="AB388" i="1"/>
  <c r="X388" i="1"/>
  <c r="H388" i="1" s="1"/>
  <c r="AB387" i="1"/>
  <c r="X387" i="1"/>
  <c r="H387" i="1" s="1"/>
  <c r="AB386" i="1"/>
  <c r="X386" i="1"/>
  <c r="H386" i="1" s="1"/>
  <c r="AB382" i="1"/>
  <c r="X382" i="1"/>
  <c r="H382" i="1" s="1"/>
  <c r="AB376" i="1"/>
  <c r="X376" i="1"/>
  <c r="H376" i="1" s="1"/>
  <c r="AB375" i="1"/>
  <c r="X375" i="1"/>
  <c r="H375" i="1" s="1"/>
  <c r="AB374" i="1"/>
  <c r="X374" i="1"/>
  <c r="H374" i="1" s="1"/>
  <c r="AB373" i="1"/>
  <c r="X373" i="1"/>
  <c r="H373" i="1" s="1"/>
  <c r="AB372" i="1"/>
  <c r="X372" i="1"/>
  <c r="H372" i="1" s="1"/>
  <c r="AB371" i="1"/>
  <c r="X371" i="1"/>
  <c r="H371" i="1" s="1"/>
  <c r="AB370" i="1"/>
  <c r="X370" i="1"/>
  <c r="H370" i="1" s="1"/>
  <c r="AB369" i="1"/>
  <c r="X369" i="1"/>
  <c r="H369" i="1" s="1"/>
  <c r="AB368" i="1"/>
  <c r="X368" i="1"/>
  <c r="H368" i="1" s="1"/>
  <c r="AB367" i="1"/>
  <c r="X367" i="1"/>
  <c r="H367" i="1" s="1"/>
  <c r="AB366" i="1"/>
  <c r="X366" i="1"/>
  <c r="H366" i="1" s="1"/>
  <c r="AB365" i="1"/>
  <c r="X365" i="1"/>
  <c r="H365" i="1" s="1"/>
  <c r="AB361" i="1"/>
  <c r="X361" i="1"/>
  <c r="H361" i="1" s="1"/>
  <c r="AB360" i="1"/>
  <c r="X360" i="1"/>
  <c r="H360" i="1" s="1"/>
  <c r="AB359" i="1"/>
  <c r="X359" i="1"/>
  <c r="H359" i="1" s="1"/>
  <c r="AB353" i="1"/>
  <c r="X353" i="1"/>
  <c r="H353" i="1" s="1"/>
  <c r="AB352" i="1"/>
  <c r="X352" i="1"/>
  <c r="H352" i="1" s="1"/>
  <c r="AB350" i="1"/>
  <c r="X350" i="1"/>
  <c r="H350" i="1" s="1"/>
  <c r="AB349" i="1"/>
  <c r="X349" i="1"/>
  <c r="H349" i="1" s="1"/>
  <c r="AB348" i="1"/>
  <c r="X348" i="1"/>
  <c r="H348" i="1" s="1"/>
  <c r="AB347" i="1"/>
  <c r="X347" i="1"/>
  <c r="H347" i="1" s="1"/>
  <c r="AB346" i="1"/>
  <c r="X346" i="1"/>
  <c r="H346" i="1" s="1"/>
  <c r="AB345" i="1"/>
  <c r="X345" i="1"/>
  <c r="H345" i="1" s="1"/>
  <c r="AB343" i="1"/>
  <c r="X343" i="1"/>
  <c r="H343" i="1" s="1"/>
  <c r="AB333" i="1"/>
  <c r="X333" i="1"/>
  <c r="H333" i="1" s="1"/>
  <c r="AB335" i="1"/>
  <c r="X335" i="1"/>
  <c r="H335" i="1" s="1"/>
  <c r="AB337" i="1"/>
  <c r="X337" i="1"/>
  <c r="H337" i="1" s="1"/>
  <c r="AB338" i="1"/>
  <c r="X338" i="1"/>
  <c r="H338" i="1" s="1"/>
  <c r="AB327" i="1"/>
  <c r="X327" i="1"/>
  <c r="H327" i="1" s="1"/>
  <c r="AB321" i="1"/>
  <c r="X321" i="1"/>
  <c r="H321" i="1" s="1"/>
  <c r="AB320" i="1"/>
  <c r="X320" i="1"/>
  <c r="H320" i="1" s="1"/>
  <c r="AB319" i="1"/>
  <c r="X319" i="1"/>
  <c r="H319" i="1" s="1"/>
  <c r="AB318" i="1"/>
  <c r="X318" i="1"/>
  <c r="H318" i="1" s="1"/>
  <c r="AB317" i="1"/>
  <c r="X317" i="1"/>
  <c r="H317" i="1" s="1"/>
  <c r="AB316" i="1"/>
  <c r="X316" i="1"/>
  <c r="H316" i="1" s="1"/>
  <c r="AB315" i="1"/>
  <c r="X315" i="1"/>
  <c r="H315" i="1" s="1"/>
  <c r="AB314" i="1"/>
  <c r="X314" i="1"/>
  <c r="H314" i="1" s="1"/>
  <c r="AB313" i="1"/>
  <c r="X313" i="1"/>
  <c r="H313" i="1" s="1"/>
  <c r="AB310" i="1"/>
  <c r="X310" i="1"/>
  <c r="H310" i="1" s="1"/>
  <c r="AB307" i="1"/>
  <c r="X307" i="1"/>
  <c r="H307" i="1" s="1"/>
  <c r="AB305" i="1"/>
  <c r="X305" i="1"/>
  <c r="H305" i="1" s="1"/>
  <c r="AB304" i="1"/>
  <c r="X304" i="1"/>
  <c r="H304" i="1" s="1"/>
  <c r="AB301" i="1"/>
  <c r="X301" i="1"/>
  <c r="H301" i="1" s="1"/>
  <c r="AB300" i="1"/>
  <c r="X300" i="1"/>
  <c r="H300" i="1" s="1"/>
  <c r="AB299" i="1"/>
  <c r="X299" i="1"/>
  <c r="H299" i="1" s="1"/>
  <c r="AB298" i="1"/>
  <c r="X298" i="1"/>
  <c r="H298" i="1" s="1"/>
  <c r="AB297" i="1"/>
  <c r="X297" i="1"/>
  <c r="H297" i="1" s="1"/>
  <c r="AB296" i="1"/>
  <c r="X296" i="1"/>
  <c r="H296" i="1" s="1"/>
  <c r="AB295" i="1"/>
  <c r="X295" i="1"/>
  <c r="H295" i="1" s="1"/>
  <c r="AB294" i="1"/>
  <c r="X294" i="1"/>
  <c r="H294" i="1" s="1"/>
  <c r="I454" i="4"/>
  <c r="B454" i="4" s="1"/>
  <c r="F454" i="4"/>
  <c r="G454" i="4" s="1"/>
  <c r="I453" i="4"/>
  <c r="B453" i="4" s="1"/>
  <c r="F453" i="4"/>
  <c r="G453" i="4" s="1"/>
  <c r="I455" i="4"/>
  <c r="F455" i="4"/>
  <c r="G455" i="4" s="1"/>
  <c r="I456" i="4"/>
  <c r="F456" i="4"/>
  <c r="G456" i="4" s="1"/>
  <c r="I457" i="4"/>
  <c r="F457" i="4"/>
  <c r="G457" i="4" s="1"/>
  <c r="I458" i="4"/>
  <c r="F458" i="4"/>
  <c r="G458" i="4" s="1"/>
  <c r="I459" i="4"/>
  <c r="F459" i="4"/>
  <c r="G459" i="4" s="1"/>
  <c r="I446" i="4"/>
  <c r="F446" i="4"/>
  <c r="G446" i="4" s="1"/>
  <c r="I447" i="4"/>
  <c r="F447" i="4"/>
  <c r="G447" i="4" s="1"/>
  <c r="I448" i="4"/>
  <c r="F448" i="4"/>
  <c r="G448" i="4" s="1"/>
  <c r="I441" i="4"/>
  <c r="F441" i="4"/>
  <c r="G441" i="4" s="1"/>
  <c r="I440" i="4"/>
  <c r="F440" i="4"/>
  <c r="G440" i="4" s="1"/>
  <c r="I439" i="4"/>
  <c r="F439" i="4"/>
  <c r="G439" i="4" s="1"/>
  <c r="I438" i="4"/>
  <c r="F438" i="4"/>
  <c r="G438" i="4" s="1"/>
  <c r="I437" i="4"/>
  <c r="F437" i="4"/>
  <c r="G437" i="4" s="1"/>
  <c r="I436" i="4"/>
  <c r="F436" i="4"/>
  <c r="G436" i="4" s="1"/>
  <c r="I435" i="4"/>
  <c r="F435" i="4"/>
  <c r="G435" i="4" s="1"/>
  <c r="I434" i="4"/>
  <c r="F434" i="4"/>
  <c r="G434" i="4" s="1"/>
  <c r="F429" i="4"/>
  <c r="G429" i="4" s="1"/>
  <c r="G430" i="4" s="1"/>
  <c r="X274" i="1" s="1"/>
  <c r="H274" i="1" s="1"/>
  <c r="F417" i="4"/>
  <c r="G417" i="4" s="1"/>
  <c r="I418" i="4"/>
  <c r="F418" i="4"/>
  <c r="G418" i="4" s="1"/>
  <c r="I419" i="4"/>
  <c r="F419" i="4"/>
  <c r="G419" i="4" s="1"/>
  <c r="I420" i="4"/>
  <c r="F420" i="4"/>
  <c r="G420" i="4" s="1"/>
  <c r="I421" i="4"/>
  <c r="F421" i="4"/>
  <c r="G421" i="4" s="1"/>
  <c r="I422" i="4"/>
  <c r="F422" i="4"/>
  <c r="G422" i="4" s="1"/>
  <c r="I423" i="4"/>
  <c r="F423" i="4"/>
  <c r="G423" i="4" s="1"/>
  <c r="F408" i="4"/>
  <c r="G408" i="4" s="1"/>
  <c r="I409" i="4"/>
  <c r="F409" i="4"/>
  <c r="G409" i="4" s="1"/>
  <c r="I410" i="4"/>
  <c r="F410" i="4"/>
  <c r="G410" i="4" s="1"/>
  <c r="I412" i="4"/>
  <c r="F412" i="4"/>
  <c r="G412" i="4" s="1"/>
  <c r="I411" i="4"/>
  <c r="F411" i="4"/>
  <c r="G411" i="4" s="1"/>
  <c r="I400" i="4"/>
  <c r="F400" i="4"/>
  <c r="G400" i="4" s="1"/>
  <c r="I401" i="4"/>
  <c r="B401" i="4" s="1"/>
  <c r="F401" i="4"/>
  <c r="G401" i="4" s="1"/>
  <c r="I402" i="4"/>
  <c r="F402" i="4"/>
  <c r="G402" i="4" s="1"/>
  <c r="I403" i="4"/>
  <c r="F403" i="4"/>
  <c r="G403" i="4" s="1"/>
  <c r="F395" i="4"/>
  <c r="G395" i="4" s="1"/>
  <c r="G396" i="4" s="1"/>
  <c r="X259" i="1" s="1"/>
  <c r="H259" i="1" s="1"/>
  <c r="AB265" i="1"/>
  <c r="X265" i="1"/>
  <c r="H265" i="1" s="1"/>
  <c r="F390" i="4"/>
  <c r="G390" i="4" s="1"/>
  <c r="G391" i="4" s="1"/>
  <c r="AB251" i="1"/>
  <c r="X251" i="1"/>
  <c r="H251" i="1" s="1"/>
  <c r="I1067" i="1" l="1"/>
  <c r="Z1278" i="1"/>
  <c r="Z1279" i="1"/>
  <c r="Z1284" i="1" s="1"/>
  <c r="AB1278" i="1" s="1"/>
  <c r="AB1279" i="1" s="1"/>
  <c r="I405" i="15"/>
  <c r="Q489" i="1"/>
  <c r="U489" i="1" s="1"/>
  <c r="I489" i="1"/>
  <c r="I251" i="1"/>
  <c r="Q250" i="1"/>
  <c r="U250" i="1" s="1"/>
  <c r="C30" i="9" s="1"/>
  <c r="AB31" i="9" s="1"/>
  <c r="L31" i="9" s="1"/>
  <c r="M31" i="9" s="1"/>
  <c r="I743" i="1"/>
  <c r="I316" i="1"/>
  <c r="U316" i="1"/>
  <c r="I349" i="1"/>
  <c r="U349" i="1"/>
  <c r="I374" i="1"/>
  <c r="U374" i="1"/>
  <c r="I404" i="1"/>
  <c r="U404" i="1"/>
  <c r="I296" i="1"/>
  <c r="U296" i="1"/>
  <c r="I319" i="1"/>
  <c r="U319" i="1"/>
  <c r="I353" i="1"/>
  <c r="U353" i="1"/>
  <c r="I373" i="1"/>
  <c r="U373" i="1"/>
  <c r="I397" i="1"/>
  <c r="U397" i="1"/>
  <c r="I407" i="1"/>
  <c r="U407" i="1"/>
  <c r="I469" i="1"/>
  <c r="U469" i="1"/>
  <c r="I274" i="1"/>
  <c r="I479" i="1"/>
  <c r="U479" i="1"/>
  <c r="I640" i="1"/>
  <c r="U640" i="1"/>
  <c r="I474" i="1"/>
  <c r="U474" i="1"/>
  <c r="I476" i="1"/>
  <c r="U476" i="1"/>
  <c r="I473" i="1"/>
  <c r="U473" i="1"/>
  <c r="I481" i="1"/>
  <c r="U481" i="1"/>
  <c r="I297" i="1"/>
  <c r="U297" i="1"/>
  <c r="I320" i="1"/>
  <c r="U320" i="1"/>
  <c r="I359" i="1"/>
  <c r="U359" i="1"/>
  <c r="I390" i="1"/>
  <c r="U390" i="1"/>
  <c r="I408" i="1"/>
  <c r="U408" i="1"/>
  <c r="I328" i="1"/>
  <c r="U328" i="1"/>
  <c r="I471" i="1"/>
  <c r="U471" i="1"/>
  <c r="I486" i="1"/>
  <c r="U486" i="1"/>
  <c r="I307" i="1"/>
  <c r="U307" i="1"/>
  <c r="I343" i="1"/>
  <c r="U343" i="1"/>
  <c r="I369" i="1"/>
  <c r="U369" i="1"/>
  <c r="I393" i="1"/>
  <c r="U393" i="1"/>
  <c r="I449" i="1"/>
  <c r="U449" i="1"/>
  <c r="I454" i="1"/>
  <c r="U454" i="1"/>
  <c r="I295" i="1"/>
  <c r="U295" i="1"/>
  <c r="I305" i="1"/>
  <c r="U305" i="1"/>
  <c r="I318" i="1"/>
  <c r="U318" i="1"/>
  <c r="I333" i="1"/>
  <c r="U333" i="1"/>
  <c r="I347" i="1"/>
  <c r="U347" i="1"/>
  <c r="I361" i="1"/>
  <c r="U361" i="1"/>
  <c r="I368" i="1"/>
  <c r="U368" i="1"/>
  <c r="I372" i="1"/>
  <c r="U372" i="1"/>
  <c r="I376" i="1"/>
  <c r="U376" i="1"/>
  <c r="I388" i="1"/>
  <c r="U388" i="1"/>
  <c r="I392" i="1"/>
  <c r="U392" i="1"/>
  <c r="I396" i="1"/>
  <c r="U396" i="1"/>
  <c r="I400" i="1"/>
  <c r="U400" i="1"/>
  <c r="I406" i="1"/>
  <c r="U406" i="1"/>
  <c r="I410" i="1"/>
  <c r="U410" i="1"/>
  <c r="I448" i="1"/>
  <c r="U448" i="1"/>
  <c r="I332" i="1"/>
  <c r="U332" i="1"/>
  <c r="I466" i="1"/>
  <c r="U466" i="1"/>
  <c r="I707" i="1"/>
  <c r="U707" i="1"/>
  <c r="I470" i="1"/>
  <c r="U470" i="1"/>
  <c r="I310" i="1"/>
  <c r="U310" i="1"/>
  <c r="I345" i="1"/>
  <c r="U345" i="1"/>
  <c r="I370" i="1"/>
  <c r="U370" i="1"/>
  <c r="I394" i="1"/>
  <c r="U394" i="1"/>
  <c r="I354" i="1"/>
  <c r="U354" i="1"/>
  <c r="I456" i="1"/>
  <c r="U456" i="1"/>
  <c r="I300" i="1"/>
  <c r="U300" i="1"/>
  <c r="I338" i="1"/>
  <c r="U338" i="1"/>
  <c r="I365" i="1"/>
  <c r="U365" i="1"/>
  <c r="I382" i="1"/>
  <c r="U382" i="1"/>
  <c r="I403" i="1"/>
  <c r="U403" i="1"/>
  <c r="I411" i="1"/>
  <c r="U411" i="1"/>
  <c r="I265" i="1"/>
  <c r="I299" i="1"/>
  <c r="U299" i="1"/>
  <c r="I314" i="1"/>
  <c r="U314" i="1"/>
  <c r="I327" i="1"/>
  <c r="U327" i="1"/>
  <c r="I352" i="1"/>
  <c r="U352" i="1"/>
  <c r="I477" i="1"/>
  <c r="U477" i="1"/>
  <c r="I472" i="1"/>
  <c r="U472" i="1"/>
  <c r="I777" i="1"/>
  <c r="U777" i="1"/>
  <c r="I475" i="1"/>
  <c r="U475" i="1"/>
  <c r="I484" i="1"/>
  <c r="U484" i="1"/>
  <c r="I483" i="1"/>
  <c r="U483" i="1"/>
  <c r="I301" i="1"/>
  <c r="U301" i="1"/>
  <c r="I337" i="1"/>
  <c r="U337" i="1"/>
  <c r="I366" i="1"/>
  <c r="U366" i="1"/>
  <c r="I386" i="1"/>
  <c r="U386" i="1"/>
  <c r="I398" i="1"/>
  <c r="U398" i="1"/>
  <c r="I446" i="1"/>
  <c r="U446" i="1"/>
  <c r="I478" i="1"/>
  <c r="U478" i="1"/>
  <c r="I259" i="1"/>
  <c r="I315" i="1"/>
  <c r="U315" i="1"/>
  <c r="I348" i="1"/>
  <c r="U348" i="1"/>
  <c r="I389" i="1"/>
  <c r="U389" i="1"/>
  <c r="I695" i="1"/>
  <c r="U695" i="1"/>
  <c r="I294" i="1"/>
  <c r="U294" i="1"/>
  <c r="I298" i="1"/>
  <c r="U298" i="1"/>
  <c r="I304" i="1"/>
  <c r="U304" i="1"/>
  <c r="I313" i="1"/>
  <c r="U313" i="1"/>
  <c r="I317" i="1"/>
  <c r="U317" i="1"/>
  <c r="I321" i="1"/>
  <c r="U321" i="1"/>
  <c r="I335" i="1"/>
  <c r="U335" i="1"/>
  <c r="I346" i="1"/>
  <c r="U346" i="1"/>
  <c r="I350" i="1"/>
  <c r="U350" i="1"/>
  <c r="I360" i="1"/>
  <c r="U360" i="1"/>
  <c r="I367" i="1"/>
  <c r="U367" i="1"/>
  <c r="I371" i="1"/>
  <c r="U371" i="1"/>
  <c r="I375" i="1"/>
  <c r="U375" i="1"/>
  <c r="I387" i="1"/>
  <c r="U387" i="1"/>
  <c r="I391" i="1"/>
  <c r="U391" i="1"/>
  <c r="I395" i="1"/>
  <c r="U395" i="1"/>
  <c r="I399" i="1"/>
  <c r="U399" i="1"/>
  <c r="I405" i="1"/>
  <c r="U405" i="1"/>
  <c r="I409" i="1"/>
  <c r="U409" i="1"/>
  <c r="I447" i="1"/>
  <c r="U447" i="1"/>
  <c r="I383" i="1"/>
  <c r="U383" i="1"/>
  <c r="I331" i="1"/>
  <c r="U331" i="1"/>
  <c r="I463" i="1"/>
  <c r="U463" i="1"/>
  <c r="I703" i="1"/>
  <c r="U703" i="1"/>
  <c r="I398" i="15"/>
  <c r="AC398" i="15"/>
  <c r="I400" i="15"/>
  <c r="AC400" i="15"/>
  <c r="I392" i="15"/>
  <c r="AC392" i="15"/>
  <c r="I401" i="15"/>
  <c r="AC401" i="15"/>
  <c r="I391" i="15"/>
  <c r="AC391" i="15"/>
  <c r="I393" i="15"/>
  <c r="AC393" i="15"/>
  <c r="I403" i="15"/>
  <c r="AC403" i="15"/>
  <c r="G970" i="4"/>
  <c r="G960" i="4"/>
  <c r="G953" i="4"/>
  <c r="G946" i="4"/>
  <c r="G939" i="4"/>
  <c r="G930" i="4"/>
  <c r="G923" i="4"/>
  <c r="G916" i="4"/>
  <c r="G909" i="4"/>
  <c r="G901" i="4"/>
  <c r="G893" i="4"/>
  <c r="G883" i="4"/>
  <c r="G866" i="4"/>
  <c r="G855" i="4"/>
  <c r="G845" i="4"/>
  <c r="G836" i="4"/>
  <c r="G817" i="4"/>
  <c r="G805" i="4"/>
  <c r="G796" i="4"/>
  <c r="G788" i="4"/>
  <c r="G775" i="4"/>
  <c r="G766" i="4"/>
  <c r="G757" i="4"/>
  <c r="G748" i="4"/>
  <c r="G739" i="4"/>
  <c r="G730" i="4"/>
  <c r="G721" i="4"/>
  <c r="G1744" i="4"/>
  <c r="G1735" i="4"/>
  <c r="G1726" i="4"/>
  <c r="X1244" i="1" s="1"/>
  <c r="G1718" i="4"/>
  <c r="G1710" i="4"/>
  <c r="G711" i="4"/>
  <c r="G702" i="4"/>
  <c r="G692" i="4"/>
  <c r="G682" i="4"/>
  <c r="G669" i="4"/>
  <c r="G662" i="4"/>
  <c r="G655" i="4"/>
  <c r="G646" i="4"/>
  <c r="G638" i="4"/>
  <c r="G628" i="4"/>
  <c r="G614" i="4"/>
  <c r="G602" i="4"/>
  <c r="G590" i="4"/>
  <c r="G580" i="4"/>
  <c r="G570" i="4"/>
  <c r="G559" i="4"/>
  <c r="G549" i="4"/>
  <c r="G538" i="4"/>
  <c r="G517" i="4"/>
  <c r="G528" i="4"/>
  <c r="G507" i="4"/>
  <c r="G500" i="4"/>
  <c r="G487" i="4"/>
  <c r="G478" i="4"/>
  <c r="G469" i="4"/>
  <c r="G460" i="4"/>
  <c r="G449" i="4"/>
  <c r="G442" i="4"/>
  <c r="G424" i="4"/>
  <c r="G413" i="4"/>
  <c r="X261" i="1" s="1"/>
  <c r="H261" i="1" s="1"/>
  <c r="G404" i="4"/>
  <c r="X260" i="1" s="1"/>
  <c r="H260" i="1" s="1"/>
  <c r="L30" i="9" l="1"/>
  <c r="K30" i="9"/>
  <c r="J30" i="9"/>
  <c r="Q721" i="1"/>
  <c r="U721" i="1" s="1"/>
  <c r="U743" i="1"/>
  <c r="AA1284" i="1"/>
  <c r="I1278" i="1" s="1"/>
  <c r="I250" i="1"/>
  <c r="I721" i="1"/>
  <c r="I261" i="1"/>
  <c r="I260" i="1"/>
  <c r="X308" i="1"/>
  <c r="H308" i="1" s="1"/>
  <c r="X226" i="15"/>
  <c r="H226" i="15" s="1"/>
  <c r="U226" i="15" s="1"/>
  <c r="X363" i="1"/>
  <c r="H363" i="1" s="1"/>
  <c r="X283" i="15"/>
  <c r="H283" i="15" s="1"/>
  <c r="U283" i="15" s="1"/>
  <c r="X1242" i="1"/>
  <c r="H1242" i="1" s="1"/>
  <c r="X973" i="15"/>
  <c r="H973" i="15" s="1"/>
  <c r="Q973" i="15" s="1"/>
  <c r="U973" i="15" s="1"/>
  <c r="X415" i="1"/>
  <c r="H415" i="1" s="1"/>
  <c r="X335" i="15"/>
  <c r="H335" i="15" s="1"/>
  <c r="U335" i="15" s="1"/>
  <c r="X420" i="1"/>
  <c r="H420" i="1" s="1"/>
  <c r="X340" i="15"/>
  <c r="H340" i="15" s="1"/>
  <c r="U340" i="15" s="1"/>
  <c r="X458" i="1"/>
  <c r="H458" i="1" s="1"/>
  <c r="X375" i="15"/>
  <c r="H375" i="15" s="1"/>
  <c r="U375" i="15" s="1"/>
  <c r="X462" i="1"/>
  <c r="H462" i="1" s="1"/>
  <c r="X379" i="15"/>
  <c r="H379" i="15" s="1"/>
  <c r="U379" i="15" s="1"/>
  <c r="X291" i="1"/>
  <c r="H291" i="1" s="1"/>
  <c r="X209" i="15"/>
  <c r="H209" i="15" s="1"/>
  <c r="U209" i="15" s="1"/>
  <c r="X303" i="1"/>
  <c r="H303" i="1" s="1"/>
  <c r="X221" i="15"/>
  <c r="H221" i="15" s="1"/>
  <c r="U221" i="15" s="1"/>
  <c r="X311" i="1"/>
  <c r="H311" i="1" s="1"/>
  <c r="X229" i="15"/>
  <c r="H229" i="15" s="1"/>
  <c r="U229" i="15" s="1"/>
  <c r="X324" i="1"/>
  <c r="H324" i="1" s="1"/>
  <c r="X242" i="15"/>
  <c r="H242" i="15" s="1"/>
  <c r="U242" i="15" s="1"/>
  <c r="X362" i="1"/>
  <c r="H362" i="1" s="1"/>
  <c r="X282" i="15"/>
  <c r="H282" i="15" s="1"/>
  <c r="U282" i="15" s="1"/>
  <c r="X378" i="1"/>
  <c r="H378" i="1" s="1"/>
  <c r="X298" i="15"/>
  <c r="H298" i="15" s="1"/>
  <c r="U298" i="15" s="1"/>
  <c r="X402" i="1"/>
  <c r="H402" i="1" s="1"/>
  <c r="X322" i="15"/>
  <c r="H322" i="15" s="1"/>
  <c r="U322" i="15" s="1"/>
  <c r="X1256" i="1"/>
  <c r="H1256" i="1" s="1"/>
  <c r="X987" i="15"/>
  <c r="H987" i="15" s="1"/>
  <c r="U987" i="15" s="1"/>
  <c r="X414" i="1"/>
  <c r="H414" i="1" s="1"/>
  <c r="X334" i="15"/>
  <c r="H334" i="15" s="1"/>
  <c r="U334" i="15" s="1"/>
  <c r="X418" i="1"/>
  <c r="H418" i="1" s="1"/>
  <c r="X338" i="15"/>
  <c r="H338" i="15" s="1"/>
  <c r="U338" i="15" s="1"/>
  <c r="X438" i="1"/>
  <c r="H438" i="1" s="1"/>
  <c r="X355" i="15"/>
  <c r="H355" i="15" s="1"/>
  <c r="U355" i="15" s="1"/>
  <c r="X442" i="1"/>
  <c r="H442" i="1" s="1"/>
  <c r="X359" i="15"/>
  <c r="H359" i="15" s="1"/>
  <c r="U359" i="15" s="1"/>
  <c r="X457" i="1"/>
  <c r="H457" i="1" s="1"/>
  <c r="X374" i="15"/>
  <c r="H374" i="15" s="1"/>
  <c r="U374" i="15" s="1"/>
  <c r="X461" i="1"/>
  <c r="H461" i="1" s="1"/>
  <c r="X378" i="15"/>
  <c r="H378" i="15" s="1"/>
  <c r="U378" i="15" s="1"/>
  <c r="X467" i="1"/>
  <c r="H467" i="1" s="1"/>
  <c r="X384" i="15"/>
  <c r="H384" i="15" s="1"/>
  <c r="U384" i="15" s="1"/>
  <c r="X281" i="1"/>
  <c r="H281" i="1" s="1"/>
  <c r="X199" i="15"/>
  <c r="H199" i="15" s="1"/>
  <c r="U199" i="15" s="1"/>
  <c r="X312" i="1"/>
  <c r="H312" i="1" s="1"/>
  <c r="X230" i="15"/>
  <c r="H230" i="15" s="1"/>
  <c r="U230" i="15" s="1"/>
  <c r="X380" i="1"/>
  <c r="H380" i="1" s="1"/>
  <c r="X300" i="15"/>
  <c r="H300" i="15" s="1"/>
  <c r="U300" i="15" s="1"/>
  <c r="X439" i="1"/>
  <c r="H439" i="1" s="1"/>
  <c r="X356" i="15"/>
  <c r="H356" i="15" s="1"/>
  <c r="U356" i="15" s="1"/>
  <c r="X285" i="1"/>
  <c r="H285" i="1" s="1"/>
  <c r="X203" i="15"/>
  <c r="H203" i="15" s="1"/>
  <c r="U203" i="15" s="1"/>
  <c r="X302" i="1"/>
  <c r="H302" i="1" s="1"/>
  <c r="X220" i="15"/>
  <c r="H220" i="15" s="1"/>
  <c r="U220" i="15" s="1"/>
  <c r="X309" i="1"/>
  <c r="H309" i="1" s="1"/>
  <c r="X227" i="15"/>
  <c r="H227" i="15" s="1"/>
  <c r="U227" i="15" s="1"/>
  <c r="X323" i="1"/>
  <c r="H323" i="1" s="1"/>
  <c r="X241" i="15"/>
  <c r="H241" i="15" s="1"/>
  <c r="U241" i="15" s="1"/>
  <c r="X330" i="1"/>
  <c r="H330" i="1" s="1"/>
  <c r="X248" i="15"/>
  <c r="H248" i="15" s="1"/>
  <c r="U248" i="15" s="1"/>
  <c r="X377" i="1"/>
  <c r="H377" i="1" s="1"/>
  <c r="X297" i="15"/>
  <c r="H297" i="15" s="1"/>
  <c r="U297" i="15" s="1"/>
  <c r="X401" i="1"/>
  <c r="H401" i="1" s="1"/>
  <c r="X321" i="15"/>
  <c r="H321" i="15" s="1"/>
  <c r="U321" i="15" s="1"/>
  <c r="H1244" i="1"/>
  <c r="X975" i="15"/>
  <c r="H975" i="15" s="1"/>
  <c r="U975" i="15" s="1"/>
  <c r="X413" i="1"/>
  <c r="H413" i="1" s="1"/>
  <c r="X333" i="15"/>
  <c r="H333" i="15" s="1"/>
  <c r="U333" i="15" s="1"/>
  <c r="X417" i="1"/>
  <c r="H417" i="1" s="1"/>
  <c r="X337" i="15"/>
  <c r="H337" i="15" s="1"/>
  <c r="U337" i="15" s="1"/>
  <c r="X422" i="1"/>
  <c r="H422" i="1" s="1"/>
  <c r="X342" i="15"/>
  <c r="H342" i="15" s="1"/>
  <c r="U342" i="15" s="1"/>
  <c r="X441" i="1"/>
  <c r="H441" i="1" s="1"/>
  <c r="X358" i="15"/>
  <c r="H358" i="15" s="1"/>
  <c r="U358" i="15" s="1"/>
  <c r="X455" i="1"/>
  <c r="H455" i="1" s="1"/>
  <c r="X372" i="15"/>
  <c r="H372" i="15" s="1"/>
  <c r="U372" i="15" s="1"/>
  <c r="X460" i="1"/>
  <c r="H460" i="1" s="1"/>
  <c r="X377" i="15"/>
  <c r="H377" i="15" s="1"/>
  <c r="U377" i="15" s="1"/>
  <c r="X465" i="1"/>
  <c r="H465" i="1" s="1"/>
  <c r="X382" i="15"/>
  <c r="H382" i="15" s="1"/>
  <c r="U382" i="15" s="1"/>
  <c r="X292" i="1"/>
  <c r="H292" i="1" s="1"/>
  <c r="X210" i="15"/>
  <c r="H210" i="15" s="1"/>
  <c r="U210" i="15" s="1"/>
  <c r="X326" i="1"/>
  <c r="H326" i="1" s="1"/>
  <c r="X244" i="15"/>
  <c r="H244" i="15" s="1"/>
  <c r="U244" i="15" s="1"/>
  <c r="X1257" i="1"/>
  <c r="H1257" i="1" s="1"/>
  <c r="X988" i="15"/>
  <c r="H988" i="15" s="1"/>
  <c r="U988" i="15" s="1"/>
  <c r="X443" i="1"/>
  <c r="H443" i="1" s="1"/>
  <c r="X360" i="15"/>
  <c r="H360" i="15" s="1"/>
  <c r="U360" i="15" s="1"/>
  <c r="X284" i="1"/>
  <c r="H284" i="1" s="1"/>
  <c r="X202" i="15"/>
  <c r="H202" i="15" s="1"/>
  <c r="U202" i="15" s="1"/>
  <c r="X293" i="1"/>
  <c r="H293" i="1" s="1"/>
  <c r="X211" i="15"/>
  <c r="H211" i="15" s="1"/>
  <c r="U211" i="15" s="1"/>
  <c r="X306" i="1"/>
  <c r="H306" i="1" s="1"/>
  <c r="X224" i="15"/>
  <c r="H224" i="15" s="1"/>
  <c r="U224" i="15" s="1"/>
  <c r="X322" i="1"/>
  <c r="H322" i="1" s="1"/>
  <c r="X240" i="15"/>
  <c r="H240" i="15" s="1"/>
  <c r="U240" i="15" s="1"/>
  <c r="X329" i="1"/>
  <c r="H329" i="1" s="1"/>
  <c r="X247" i="15"/>
  <c r="H247" i="15" s="1"/>
  <c r="U247" i="15" s="1"/>
  <c r="X364" i="1"/>
  <c r="H364" i="1" s="1"/>
  <c r="X284" i="15"/>
  <c r="H284" i="15" s="1"/>
  <c r="U284" i="15" s="1"/>
  <c r="X381" i="1"/>
  <c r="H381" i="1" s="1"/>
  <c r="X301" i="15"/>
  <c r="H301" i="15" s="1"/>
  <c r="U301" i="15" s="1"/>
  <c r="X1243" i="1"/>
  <c r="H1243" i="1" s="1"/>
  <c r="X974" i="15"/>
  <c r="H974" i="15" s="1"/>
  <c r="U974" i="15" s="1"/>
  <c r="X412" i="1"/>
  <c r="H412" i="1" s="1"/>
  <c r="X332" i="15"/>
  <c r="H332" i="15" s="1"/>
  <c r="U332" i="15" s="1"/>
  <c r="X416" i="1"/>
  <c r="H416" i="1" s="1"/>
  <c r="X336" i="15"/>
  <c r="H336" i="15" s="1"/>
  <c r="U336" i="15" s="1"/>
  <c r="X421" i="1"/>
  <c r="H421" i="1" s="1"/>
  <c r="X341" i="15"/>
  <c r="H341" i="15" s="1"/>
  <c r="U341" i="15" s="1"/>
  <c r="X440" i="1"/>
  <c r="H440" i="1" s="1"/>
  <c r="X357" i="15"/>
  <c r="H357" i="15" s="1"/>
  <c r="U357" i="15" s="1"/>
  <c r="X444" i="1"/>
  <c r="H444" i="1" s="1"/>
  <c r="X361" i="15"/>
  <c r="H361" i="15" s="1"/>
  <c r="U361" i="15" s="1"/>
  <c r="X459" i="1"/>
  <c r="H459" i="1" s="1"/>
  <c r="X376" i="15"/>
  <c r="H376" i="15" s="1"/>
  <c r="U376" i="15" s="1"/>
  <c r="X464" i="1"/>
  <c r="H464" i="1" s="1"/>
  <c r="X381" i="15"/>
  <c r="H381" i="15" s="1"/>
  <c r="U381" i="15" s="1"/>
  <c r="X263" i="1"/>
  <c r="X181" i="15"/>
  <c r="AB1238" i="1"/>
  <c r="X1238" i="1"/>
  <c r="H1238" i="1" s="1"/>
  <c r="AB1233" i="1"/>
  <c r="X1233" i="1"/>
  <c r="H1233" i="1" s="1"/>
  <c r="AB1232" i="1"/>
  <c r="X1232" i="1"/>
  <c r="H1232" i="1" s="1"/>
  <c r="AB1231" i="1"/>
  <c r="X1231" i="1"/>
  <c r="H1231" i="1" s="1"/>
  <c r="AB1230" i="1"/>
  <c r="X1230" i="1"/>
  <c r="H1230" i="1" s="1"/>
  <c r="AB1229" i="1"/>
  <c r="X1229" i="1"/>
  <c r="H1229" i="1" s="1"/>
  <c r="AB1228" i="1"/>
  <c r="X1228" i="1"/>
  <c r="H1228" i="1" s="1"/>
  <c r="AB1244" i="1"/>
  <c r="AB1243" i="1"/>
  <c r="AB1242" i="1"/>
  <c r="AB1253" i="1"/>
  <c r="X1253" i="1"/>
  <c r="H1253" i="1" s="1"/>
  <c r="AB1261" i="1"/>
  <c r="X1261" i="1"/>
  <c r="H1261" i="1" s="1"/>
  <c r="AB1260" i="1"/>
  <c r="X1260" i="1"/>
  <c r="H1260" i="1" s="1"/>
  <c r="AB1259" i="1"/>
  <c r="X1259" i="1"/>
  <c r="H1259" i="1" s="1"/>
  <c r="I385" i="4"/>
  <c r="F385" i="4"/>
  <c r="G385" i="4" s="1"/>
  <c r="I384" i="4"/>
  <c r="F384" i="4"/>
  <c r="G384" i="4" s="1"/>
  <c r="I383" i="4"/>
  <c r="F383" i="4"/>
  <c r="G383" i="4" s="1"/>
  <c r="I382" i="4"/>
  <c r="F382" i="4"/>
  <c r="G382" i="4" s="1"/>
  <c r="I381" i="4"/>
  <c r="F381" i="4"/>
  <c r="G381" i="4" s="1"/>
  <c r="I380" i="4"/>
  <c r="F380" i="4"/>
  <c r="G380" i="4" s="1"/>
  <c r="I373" i="4"/>
  <c r="F373" i="4"/>
  <c r="G373" i="4" s="1"/>
  <c r="I372" i="4"/>
  <c r="F372" i="4"/>
  <c r="G372" i="4" s="1"/>
  <c r="I371" i="4"/>
  <c r="F371" i="4"/>
  <c r="G371" i="4" s="1"/>
  <c r="I374" i="4"/>
  <c r="F374" i="4"/>
  <c r="G374" i="4" s="1"/>
  <c r="I375" i="4"/>
  <c r="F375" i="4"/>
  <c r="G375" i="4" s="1"/>
  <c r="I358" i="4"/>
  <c r="F358" i="4"/>
  <c r="G358" i="4" s="1"/>
  <c r="I359" i="4"/>
  <c r="F359" i="4"/>
  <c r="G359" i="4" s="1"/>
  <c r="I360" i="4"/>
  <c r="F360" i="4"/>
  <c r="G360" i="4" s="1"/>
  <c r="I361" i="4"/>
  <c r="F361" i="4"/>
  <c r="G361" i="4" s="1"/>
  <c r="I362" i="4"/>
  <c r="F362" i="4"/>
  <c r="G362" i="4" s="1"/>
  <c r="I363" i="4"/>
  <c r="F363" i="4"/>
  <c r="G363" i="4" s="1"/>
  <c r="I364" i="4"/>
  <c r="F364" i="4"/>
  <c r="G364" i="4" s="1"/>
  <c r="I365" i="4"/>
  <c r="F365" i="4"/>
  <c r="G365" i="4" s="1"/>
  <c r="I366" i="4"/>
  <c r="F366" i="4"/>
  <c r="G366" i="4" s="1"/>
  <c r="I353" i="4"/>
  <c r="F353" i="4"/>
  <c r="G353" i="4" s="1"/>
  <c r="I345" i="4"/>
  <c r="F345" i="4"/>
  <c r="G345" i="4" s="1"/>
  <c r="I344" i="4"/>
  <c r="F344" i="4"/>
  <c r="G344" i="4" s="1"/>
  <c r="I343" i="4"/>
  <c r="F343" i="4"/>
  <c r="G343" i="4" s="1"/>
  <c r="I342" i="4"/>
  <c r="F342" i="4"/>
  <c r="G342" i="4" s="1"/>
  <c r="I341" i="4"/>
  <c r="F341" i="4"/>
  <c r="G341" i="4" s="1"/>
  <c r="I323" i="4"/>
  <c r="F323" i="4"/>
  <c r="G323" i="4" s="1"/>
  <c r="I322" i="4"/>
  <c r="F322" i="4"/>
  <c r="G322" i="4" s="1"/>
  <c r="I320" i="4"/>
  <c r="F320" i="4"/>
  <c r="G320" i="4" s="1"/>
  <c r="I319" i="4"/>
  <c r="F319" i="4"/>
  <c r="G319" i="4" s="1"/>
  <c r="I318" i="4"/>
  <c r="F318" i="4"/>
  <c r="G318" i="4" s="1"/>
  <c r="I317" i="4"/>
  <c r="F317" i="4"/>
  <c r="G317" i="4" s="1"/>
  <c r="F304" i="4"/>
  <c r="G304" i="4" s="1"/>
  <c r="I303" i="4"/>
  <c r="F303" i="4"/>
  <c r="G303" i="4" s="1"/>
  <c r="I310" i="4"/>
  <c r="F310" i="4"/>
  <c r="G310" i="4" s="1"/>
  <c r="I309" i="4"/>
  <c r="F309" i="4"/>
  <c r="G309" i="4" s="1"/>
  <c r="I307" i="4"/>
  <c r="F307" i="4"/>
  <c r="G307" i="4" s="1"/>
  <c r="I306" i="4"/>
  <c r="F306" i="4"/>
  <c r="G306" i="4" s="1"/>
  <c r="I305" i="4"/>
  <c r="F305" i="4"/>
  <c r="G305" i="4" s="1"/>
  <c r="I295" i="4"/>
  <c r="F295" i="4"/>
  <c r="G295" i="4" s="1"/>
  <c r="I296" i="4"/>
  <c r="F296" i="4"/>
  <c r="G296" i="4" s="1"/>
  <c r="I294" i="4"/>
  <c r="F294" i="4"/>
  <c r="G294" i="4" s="1"/>
  <c r="I293" i="4"/>
  <c r="F293" i="4"/>
  <c r="G293" i="4" s="1"/>
  <c r="I292" i="4"/>
  <c r="F292" i="4"/>
  <c r="G292" i="4" s="1"/>
  <c r="I283" i="4"/>
  <c r="F283" i="4"/>
  <c r="G283" i="4" s="1"/>
  <c r="I282" i="4"/>
  <c r="F282" i="4"/>
  <c r="G282" i="4" s="1"/>
  <c r="I281" i="4"/>
  <c r="F281" i="4"/>
  <c r="G281" i="4" s="1"/>
  <c r="I284" i="4"/>
  <c r="F284" i="4"/>
  <c r="G284" i="4" s="1"/>
  <c r="I285" i="4"/>
  <c r="F285" i="4"/>
  <c r="G285" i="4" s="1"/>
  <c r="I286" i="4"/>
  <c r="F286" i="4"/>
  <c r="G286" i="4" s="1"/>
  <c r="I287" i="4"/>
  <c r="F287" i="4"/>
  <c r="G287" i="4" s="1"/>
  <c r="I276" i="4"/>
  <c r="F276" i="4"/>
  <c r="G276" i="4" s="1"/>
  <c r="I275" i="4"/>
  <c r="F275" i="4"/>
  <c r="G275" i="4" s="1"/>
  <c r="I273" i="4"/>
  <c r="F273" i="4"/>
  <c r="G273" i="4" s="1"/>
  <c r="I272" i="4"/>
  <c r="F272" i="4"/>
  <c r="G272" i="4" s="1"/>
  <c r="I271" i="4"/>
  <c r="F271" i="4"/>
  <c r="G271" i="4" s="1"/>
  <c r="I270" i="4"/>
  <c r="F270" i="4"/>
  <c r="G270" i="4" s="1"/>
  <c r="I269" i="4"/>
  <c r="F269" i="4"/>
  <c r="G269" i="4" s="1"/>
  <c r="I268" i="4"/>
  <c r="F268" i="4"/>
  <c r="G268" i="4" s="1"/>
  <c r="I267" i="4"/>
  <c r="F267" i="4"/>
  <c r="G267" i="4" s="1"/>
  <c r="I262" i="4"/>
  <c r="F262" i="4"/>
  <c r="G262" i="4" s="1"/>
  <c r="I261" i="4"/>
  <c r="F261" i="4"/>
  <c r="G261" i="4" s="1"/>
  <c r="I259" i="4"/>
  <c r="B259" i="4" s="1"/>
  <c r="F259" i="4"/>
  <c r="G259" i="4" s="1"/>
  <c r="I258" i="4"/>
  <c r="F258" i="4"/>
  <c r="G258" i="4" s="1"/>
  <c r="I257" i="4"/>
  <c r="F257" i="4"/>
  <c r="G257" i="4" s="1"/>
  <c r="I256" i="4"/>
  <c r="F256" i="4"/>
  <c r="G256" i="4" s="1"/>
  <c r="I255" i="4"/>
  <c r="F255" i="4"/>
  <c r="G255" i="4" s="1"/>
  <c r="I254" i="4"/>
  <c r="F254" i="4"/>
  <c r="G254" i="4" s="1"/>
  <c r="I253" i="4"/>
  <c r="F253" i="4"/>
  <c r="G253" i="4" s="1"/>
  <c r="I245" i="4"/>
  <c r="F245" i="4"/>
  <c r="G245" i="4" s="1"/>
  <c r="I244" i="4"/>
  <c r="F244" i="4"/>
  <c r="G244" i="4" s="1"/>
  <c r="I243" i="4"/>
  <c r="F243" i="4"/>
  <c r="G243" i="4" s="1"/>
  <c r="I242" i="4"/>
  <c r="F242" i="4"/>
  <c r="G242" i="4" s="1"/>
  <c r="I241" i="4"/>
  <c r="F241" i="4"/>
  <c r="G241" i="4" s="1"/>
  <c r="I240" i="4"/>
  <c r="F240" i="4"/>
  <c r="G240" i="4" s="1"/>
  <c r="I239" i="4"/>
  <c r="F239" i="4"/>
  <c r="G239" i="4" s="1"/>
  <c r="I247" i="4"/>
  <c r="F247" i="4"/>
  <c r="G247" i="4" s="1"/>
  <c r="I248" i="4"/>
  <c r="F248" i="4"/>
  <c r="G248" i="4" s="1"/>
  <c r="I231" i="4"/>
  <c r="F231" i="4"/>
  <c r="G231" i="4" s="1"/>
  <c r="I230" i="4"/>
  <c r="F230" i="4"/>
  <c r="G230" i="4" s="1"/>
  <c r="I232" i="4"/>
  <c r="F232" i="4"/>
  <c r="G232" i="4" s="1"/>
  <c r="I233" i="4"/>
  <c r="F233" i="4"/>
  <c r="G233" i="4" s="1"/>
  <c r="I234" i="4"/>
  <c r="F234" i="4"/>
  <c r="G234" i="4" s="1"/>
  <c r="I223" i="4"/>
  <c r="F223" i="4"/>
  <c r="G223" i="4" s="1"/>
  <c r="I222" i="4"/>
  <c r="F222" i="4"/>
  <c r="G222" i="4" s="1"/>
  <c r="I221" i="4"/>
  <c r="F221" i="4"/>
  <c r="G221" i="4" s="1"/>
  <c r="I220" i="4"/>
  <c r="F220" i="4"/>
  <c r="G220" i="4" s="1"/>
  <c r="I224" i="4"/>
  <c r="F224" i="4"/>
  <c r="G224" i="4" s="1"/>
  <c r="I225" i="4"/>
  <c r="F225" i="4"/>
  <c r="G225" i="4" s="1"/>
  <c r="I214" i="4"/>
  <c r="F214" i="4"/>
  <c r="G214" i="4" s="1"/>
  <c r="I215" i="4"/>
  <c r="F215" i="4"/>
  <c r="G215" i="4" s="1"/>
  <c r="I213" i="4"/>
  <c r="F213" i="4"/>
  <c r="G213" i="4" s="1"/>
  <c r="I211" i="4"/>
  <c r="B211" i="4" s="1"/>
  <c r="F211" i="4"/>
  <c r="G211" i="4" s="1"/>
  <c r="I210" i="4"/>
  <c r="F210" i="4"/>
  <c r="G210" i="4" s="1"/>
  <c r="AB284" i="1"/>
  <c r="AB283" i="1"/>
  <c r="X283" i="1"/>
  <c r="H283" i="1" s="1"/>
  <c r="AB282" i="1"/>
  <c r="AB281" i="1"/>
  <c r="AB273" i="1"/>
  <c r="X273" i="1"/>
  <c r="H273" i="1" s="1"/>
  <c r="AB272" i="1"/>
  <c r="H272" i="1"/>
  <c r="AB271" i="1"/>
  <c r="X271" i="1"/>
  <c r="H271" i="1" s="1"/>
  <c r="S270" i="1" s="1"/>
  <c r="AB262" i="1"/>
  <c r="X262" i="1"/>
  <c r="H262" i="1" s="1"/>
  <c r="AB258" i="1"/>
  <c r="X258" i="1"/>
  <c r="H258" i="1" s="1"/>
  <c r="AB257" i="1"/>
  <c r="X257" i="1"/>
  <c r="H257" i="1" s="1"/>
  <c r="AB256" i="1"/>
  <c r="X256" i="1"/>
  <c r="H256" i="1" s="1"/>
  <c r="AB255" i="1"/>
  <c r="X255" i="1"/>
  <c r="H255" i="1" s="1"/>
  <c r="AB254" i="1"/>
  <c r="X254" i="1"/>
  <c r="H254" i="1" s="1"/>
  <c r="AB244" i="1"/>
  <c r="X244" i="1"/>
  <c r="H244" i="1" s="1"/>
  <c r="AB243" i="1"/>
  <c r="X243" i="1"/>
  <c r="H243" i="1" s="1"/>
  <c r="F204" i="4"/>
  <c r="G204" i="4" s="1"/>
  <c r="F201" i="4"/>
  <c r="G201" i="4" s="1"/>
  <c r="F202" i="4"/>
  <c r="G202" i="4" s="1"/>
  <c r="I205" i="4"/>
  <c r="F205" i="4"/>
  <c r="G205" i="4" s="1"/>
  <c r="I203" i="4"/>
  <c r="F203" i="4"/>
  <c r="G203" i="4" s="1"/>
  <c r="I181" i="4"/>
  <c r="F181" i="4"/>
  <c r="G181" i="4" s="1"/>
  <c r="I180" i="4"/>
  <c r="F180" i="4"/>
  <c r="G180" i="4" s="1"/>
  <c r="I179" i="4"/>
  <c r="F179" i="4"/>
  <c r="G179" i="4" s="1"/>
  <c r="I178" i="4"/>
  <c r="F178" i="4"/>
  <c r="G178" i="4" s="1"/>
  <c r="I177" i="4"/>
  <c r="F177" i="4"/>
  <c r="G177" i="4" s="1"/>
  <c r="I176" i="4"/>
  <c r="F176" i="4"/>
  <c r="G176" i="4" s="1"/>
  <c r="I175" i="4"/>
  <c r="F175" i="4"/>
  <c r="G175" i="4" s="1"/>
  <c r="I170" i="4"/>
  <c r="F170" i="4"/>
  <c r="G170" i="4" s="1"/>
  <c r="I166" i="4"/>
  <c r="F166" i="4"/>
  <c r="G166" i="4" s="1"/>
  <c r="I165" i="4"/>
  <c r="F165" i="4"/>
  <c r="G165" i="4" s="1"/>
  <c r="I164" i="4"/>
  <c r="F164" i="4"/>
  <c r="G164" i="4" s="1"/>
  <c r="I167" i="4"/>
  <c r="F167" i="4"/>
  <c r="G167" i="4" s="1"/>
  <c r="I168" i="4"/>
  <c r="F168" i="4"/>
  <c r="G168" i="4" s="1"/>
  <c r="I169" i="4"/>
  <c r="F169" i="4"/>
  <c r="G169" i="4" s="1"/>
  <c r="I156" i="4"/>
  <c r="F156" i="4"/>
  <c r="G156" i="4" s="1"/>
  <c r="I157" i="4"/>
  <c r="F157" i="4"/>
  <c r="G157" i="4" s="1"/>
  <c r="I159" i="4"/>
  <c r="F159" i="4"/>
  <c r="G159" i="4" s="1"/>
  <c r="I158" i="4"/>
  <c r="F158" i="4"/>
  <c r="G158" i="4" s="1"/>
  <c r="I148" i="4"/>
  <c r="F148" i="4"/>
  <c r="G148" i="4" s="1"/>
  <c r="I151" i="4"/>
  <c r="F151" i="4"/>
  <c r="G151" i="4" s="1"/>
  <c r="I150" i="4"/>
  <c r="F150" i="4"/>
  <c r="G150" i="4" s="1"/>
  <c r="I149" i="4"/>
  <c r="F149" i="4"/>
  <c r="G149" i="4" s="1"/>
  <c r="I147" i="4"/>
  <c r="F147" i="4"/>
  <c r="G147" i="4" s="1"/>
  <c r="I146" i="4"/>
  <c r="F146" i="4"/>
  <c r="G146" i="4" s="1"/>
  <c r="I145" i="4"/>
  <c r="F145" i="4"/>
  <c r="G145" i="4" s="1"/>
  <c r="I140" i="4"/>
  <c r="F140" i="4"/>
  <c r="G140" i="4" s="1"/>
  <c r="I137" i="4"/>
  <c r="F137" i="4"/>
  <c r="G137" i="4" s="1"/>
  <c r="I136" i="4"/>
  <c r="F136" i="4"/>
  <c r="G136" i="4" s="1"/>
  <c r="I135" i="4"/>
  <c r="F135" i="4"/>
  <c r="G135" i="4" s="1"/>
  <c r="I139" i="4"/>
  <c r="F139" i="4"/>
  <c r="G139" i="4" s="1"/>
  <c r="I138" i="4"/>
  <c r="F138" i="4"/>
  <c r="G138" i="4" s="1"/>
  <c r="I134" i="4"/>
  <c r="F134" i="4"/>
  <c r="G134" i="4" s="1"/>
  <c r="I129" i="4"/>
  <c r="F129" i="4"/>
  <c r="G129" i="4" s="1"/>
  <c r="I128" i="4"/>
  <c r="F128" i="4"/>
  <c r="G128" i="4" s="1"/>
  <c r="I127" i="4"/>
  <c r="F127" i="4"/>
  <c r="G127" i="4" s="1"/>
  <c r="I126" i="4"/>
  <c r="F126" i="4"/>
  <c r="G126" i="4" s="1"/>
  <c r="I125" i="4"/>
  <c r="F125" i="4"/>
  <c r="G125" i="4" s="1"/>
  <c r="I124" i="4"/>
  <c r="F124" i="4"/>
  <c r="G124" i="4" s="1"/>
  <c r="I118" i="4"/>
  <c r="F118" i="4"/>
  <c r="G118" i="4" s="1"/>
  <c r="I114" i="4"/>
  <c r="F114" i="4"/>
  <c r="G114" i="4" s="1"/>
  <c r="I117" i="4"/>
  <c r="F117" i="4"/>
  <c r="G117" i="4" s="1"/>
  <c r="I116" i="4"/>
  <c r="F116" i="4"/>
  <c r="G116" i="4" s="1"/>
  <c r="I115" i="4"/>
  <c r="F115" i="4"/>
  <c r="G115" i="4" s="1"/>
  <c r="I113" i="4"/>
  <c r="F113" i="4"/>
  <c r="G113" i="4" s="1"/>
  <c r="I107" i="4"/>
  <c r="F107" i="4"/>
  <c r="G107" i="4" s="1"/>
  <c r="I106" i="4"/>
  <c r="F106" i="4"/>
  <c r="G106" i="4" s="1"/>
  <c r="I105" i="4"/>
  <c r="F105" i="4"/>
  <c r="G105" i="4" s="1"/>
  <c r="I98" i="4"/>
  <c r="F98" i="4"/>
  <c r="G98" i="4" s="1"/>
  <c r="I104" i="4"/>
  <c r="F104" i="4"/>
  <c r="G104" i="4" s="1"/>
  <c r="I103" i="4"/>
  <c r="F103" i="4"/>
  <c r="G103" i="4" s="1"/>
  <c r="X158" i="1"/>
  <c r="H158" i="1" s="1"/>
  <c r="AB158" i="1"/>
  <c r="X159" i="1"/>
  <c r="H159" i="1" s="1"/>
  <c r="AB159" i="1"/>
  <c r="X160" i="1"/>
  <c r="H160" i="1" s="1"/>
  <c r="AB160" i="1"/>
  <c r="X161" i="1"/>
  <c r="H161" i="1" s="1"/>
  <c r="AB161" i="1"/>
  <c r="X163" i="1"/>
  <c r="AB163" i="1"/>
  <c r="X164" i="1"/>
  <c r="H164" i="1" s="1"/>
  <c r="AB164" i="1"/>
  <c r="X165" i="1"/>
  <c r="H165" i="1" s="1"/>
  <c r="AB165" i="1"/>
  <c r="X166" i="1"/>
  <c r="H166" i="1" s="1"/>
  <c r="AB166" i="1"/>
  <c r="X167" i="1"/>
  <c r="H167" i="1" s="1"/>
  <c r="AB167" i="1"/>
  <c r="X168" i="1"/>
  <c r="H168" i="1" s="1"/>
  <c r="AB168" i="1"/>
  <c r="X169" i="1"/>
  <c r="H169" i="1" s="1"/>
  <c r="AB169" i="1"/>
  <c r="X170" i="1"/>
  <c r="H170" i="1" s="1"/>
  <c r="AB170" i="1"/>
  <c r="X171" i="1"/>
  <c r="H171" i="1" s="1"/>
  <c r="AB171" i="1"/>
  <c r="X172" i="1"/>
  <c r="H172" i="1" s="1"/>
  <c r="AB172" i="1"/>
  <c r="X174" i="1"/>
  <c r="AB174" i="1"/>
  <c r="AB175" i="1"/>
  <c r="AB176" i="1"/>
  <c r="X177" i="1"/>
  <c r="H177" i="1" s="1"/>
  <c r="AB177" i="1"/>
  <c r="X178" i="1"/>
  <c r="H178" i="1" s="1"/>
  <c r="AB178" i="1"/>
  <c r="X179" i="1"/>
  <c r="H179" i="1" s="1"/>
  <c r="AB179" i="1"/>
  <c r="X180" i="1"/>
  <c r="H180" i="1" s="1"/>
  <c r="AB180" i="1"/>
  <c r="X181" i="1"/>
  <c r="H181" i="1" s="1"/>
  <c r="AB181" i="1"/>
  <c r="X182" i="1"/>
  <c r="H182" i="1" s="1"/>
  <c r="AB182" i="1"/>
  <c r="X188" i="1"/>
  <c r="AB188" i="1"/>
  <c r="X190" i="1"/>
  <c r="H190" i="1" s="1"/>
  <c r="AB190" i="1"/>
  <c r="X191" i="1"/>
  <c r="H191" i="1" s="1"/>
  <c r="AB191" i="1"/>
  <c r="X192" i="1"/>
  <c r="H192" i="1" s="1"/>
  <c r="AB192" i="1"/>
  <c r="X194" i="1"/>
  <c r="AB194" i="1"/>
  <c r="X195" i="1"/>
  <c r="H195" i="1" s="1"/>
  <c r="AB195" i="1"/>
  <c r="X197" i="1"/>
  <c r="H197" i="1" s="1"/>
  <c r="AB197" i="1"/>
  <c r="X198" i="1"/>
  <c r="H198" i="1" s="1"/>
  <c r="AB198" i="1"/>
  <c r="X199" i="1"/>
  <c r="H199" i="1" s="1"/>
  <c r="AB199" i="1"/>
  <c r="X200" i="1"/>
  <c r="H200" i="1" s="1"/>
  <c r="AB200" i="1"/>
  <c r="X201" i="1"/>
  <c r="H201" i="1" s="1"/>
  <c r="AB201" i="1"/>
  <c r="X202" i="1"/>
  <c r="H202" i="1" s="1"/>
  <c r="AB202" i="1"/>
  <c r="X203" i="1"/>
  <c r="H203" i="1" s="1"/>
  <c r="AB203" i="1"/>
  <c r="AB157" i="1"/>
  <c r="X157" i="1"/>
  <c r="H157" i="1" s="1"/>
  <c r="AB156" i="1"/>
  <c r="X156" i="1"/>
  <c r="H156" i="1" s="1"/>
  <c r="AB155" i="1"/>
  <c r="X155" i="1"/>
  <c r="H155" i="1" s="1"/>
  <c r="AB154" i="1"/>
  <c r="X154" i="1"/>
  <c r="H154" i="1" s="1"/>
  <c r="AB153" i="1"/>
  <c r="I93" i="4"/>
  <c r="F93" i="4"/>
  <c r="G93" i="4" s="1"/>
  <c r="I97" i="4"/>
  <c r="F97" i="4"/>
  <c r="G97" i="4" s="1"/>
  <c r="I96" i="4"/>
  <c r="F96" i="4"/>
  <c r="G96" i="4" s="1"/>
  <c r="I95" i="4"/>
  <c r="F95" i="4"/>
  <c r="G95" i="4" s="1"/>
  <c r="I94" i="4"/>
  <c r="F94" i="4"/>
  <c r="G94" i="4" s="1"/>
  <c r="I85" i="4"/>
  <c r="F85" i="4"/>
  <c r="G85" i="4" s="1"/>
  <c r="I84" i="4"/>
  <c r="F84" i="4"/>
  <c r="G84" i="4" s="1"/>
  <c r="I83" i="4"/>
  <c r="F83" i="4"/>
  <c r="G83" i="4" s="1"/>
  <c r="I86" i="4"/>
  <c r="F86" i="4"/>
  <c r="G86" i="4" s="1"/>
  <c r="I87" i="4"/>
  <c r="F87" i="4"/>
  <c r="G87" i="4" s="1"/>
  <c r="I72" i="4"/>
  <c r="F72" i="4"/>
  <c r="G72" i="4" s="1"/>
  <c r="I73" i="4"/>
  <c r="F73" i="4"/>
  <c r="G73" i="4" s="1"/>
  <c r="I74" i="4"/>
  <c r="F74" i="4"/>
  <c r="G74" i="4" s="1"/>
  <c r="I75" i="4"/>
  <c r="F75" i="4"/>
  <c r="G75" i="4" s="1"/>
  <c r="I76" i="4"/>
  <c r="F76" i="4"/>
  <c r="G76" i="4" s="1"/>
  <c r="I77" i="4"/>
  <c r="F77" i="4"/>
  <c r="G77" i="4" s="1"/>
  <c r="I62" i="4"/>
  <c r="F62" i="4"/>
  <c r="G62" i="4" s="1"/>
  <c r="I61" i="4"/>
  <c r="F61" i="4"/>
  <c r="G61" i="4" s="1"/>
  <c r="I60" i="4"/>
  <c r="F60" i="4"/>
  <c r="G60" i="4" s="1"/>
  <c r="I63" i="4"/>
  <c r="F63" i="4"/>
  <c r="G63" i="4" s="1"/>
  <c r="I64" i="4"/>
  <c r="F64" i="4"/>
  <c r="G64" i="4" s="1"/>
  <c r="I65" i="4"/>
  <c r="F65" i="4"/>
  <c r="G65" i="4" s="1"/>
  <c r="I66" i="4"/>
  <c r="F66" i="4"/>
  <c r="G66" i="4" s="1"/>
  <c r="I54" i="4"/>
  <c r="F54" i="4"/>
  <c r="G54" i="4" s="1"/>
  <c r="I53" i="4"/>
  <c r="F53" i="4"/>
  <c r="G53" i="4" s="1"/>
  <c r="I52" i="4"/>
  <c r="F52" i="4"/>
  <c r="G52" i="4" s="1"/>
  <c r="I44" i="4"/>
  <c r="F44" i="4"/>
  <c r="G44" i="4" s="1"/>
  <c r="I43" i="4"/>
  <c r="F43" i="4"/>
  <c r="G43" i="4" s="1"/>
  <c r="I42" i="4"/>
  <c r="F42" i="4"/>
  <c r="G42" i="4" s="1"/>
  <c r="I46" i="4"/>
  <c r="F46" i="4"/>
  <c r="G46" i="4" s="1"/>
  <c r="I45" i="4"/>
  <c r="F45" i="4"/>
  <c r="G45" i="4" s="1"/>
  <c r="I34" i="4"/>
  <c r="F34" i="4"/>
  <c r="G34" i="4" s="1"/>
  <c r="I37" i="4"/>
  <c r="F37" i="4"/>
  <c r="G37" i="4" s="1"/>
  <c r="I36" i="4"/>
  <c r="F36" i="4"/>
  <c r="G36" i="4" s="1"/>
  <c r="I35" i="4"/>
  <c r="F35" i="4"/>
  <c r="G35" i="4" s="1"/>
  <c r="I29" i="4"/>
  <c r="F29" i="4"/>
  <c r="G29" i="4" s="1"/>
  <c r="I28" i="4"/>
  <c r="F28" i="4"/>
  <c r="G28" i="4" s="1"/>
  <c r="I27" i="4"/>
  <c r="F27" i="4"/>
  <c r="G27" i="4" s="1"/>
  <c r="I26" i="4"/>
  <c r="F26" i="4"/>
  <c r="G26" i="4" s="1"/>
  <c r="I21" i="4"/>
  <c r="F21" i="4"/>
  <c r="G21" i="4" s="1"/>
  <c r="I20" i="4"/>
  <c r="F20" i="4"/>
  <c r="G20" i="4" s="1"/>
  <c r="I15" i="4"/>
  <c r="F15" i="4"/>
  <c r="G15" i="4" s="1"/>
  <c r="G16" i="4" s="1"/>
  <c r="I10" i="4"/>
  <c r="N31" i="9" l="1"/>
  <c r="M30" i="9"/>
  <c r="Q368" i="15"/>
  <c r="U368" i="15" s="1"/>
  <c r="Q982" i="15"/>
  <c r="U982" i="15" s="1"/>
  <c r="Q206" i="15"/>
  <c r="U206" i="15" s="1"/>
  <c r="Q972" i="15"/>
  <c r="U972" i="15" s="1"/>
  <c r="I190" i="1"/>
  <c r="U190" i="1"/>
  <c r="I170" i="1"/>
  <c r="I284" i="1"/>
  <c r="I439" i="1"/>
  <c r="U439" i="1"/>
  <c r="I311" i="1"/>
  <c r="U311" i="1"/>
  <c r="I157" i="1"/>
  <c r="I1230" i="1"/>
  <c r="I1238" i="1"/>
  <c r="I201" i="1"/>
  <c r="I197" i="1"/>
  <c r="U197" i="1"/>
  <c r="I191" i="1"/>
  <c r="U191" i="1"/>
  <c r="I181" i="1"/>
  <c r="I177" i="1"/>
  <c r="I171" i="1"/>
  <c r="I167" i="1"/>
  <c r="I158" i="1"/>
  <c r="I254" i="1"/>
  <c r="I258" i="1"/>
  <c r="I273" i="1"/>
  <c r="I1253" i="1"/>
  <c r="I459" i="1"/>
  <c r="U459" i="1"/>
  <c r="I416" i="1"/>
  <c r="U416" i="1"/>
  <c r="I364" i="1"/>
  <c r="U364" i="1"/>
  <c r="I293" i="1"/>
  <c r="U293" i="1"/>
  <c r="I326" i="1"/>
  <c r="U326" i="1"/>
  <c r="I455" i="1"/>
  <c r="U455" i="1"/>
  <c r="I413" i="1"/>
  <c r="U413" i="1"/>
  <c r="I330" i="1"/>
  <c r="U330" i="1"/>
  <c r="I285" i="1"/>
  <c r="I281" i="1"/>
  <c r="I442" i="1"/>
  <c r="U442" i="1"/>
  <c r="I1256" i="1"/>
  <c r="I324" i="1"/>
  <c r="U324" i="1"/>
  <c r="I462" i="1"/>
  <c r="U462" i="1"/>
  <c r="I1242" i="1"/>
  <c r="I180" i="1"/>
  <c r="I262" i="1"/>
  <c r="I329" i="1"/>
  <c r="U329" i="1"/>
  <c r="I1244" i="1"/>
  <c r="I438" i="1"/>
  <c r="U438" i="1"/>
  <c r="I363" i="1"/>
  <c r="U363" i="1"/>
  <c r="I1229" i="1"/>
  <c r="I192" i="1"/>
  <c r="U192" i="1"/>
  <c r="I172" i="1"/>
  <c r="I159" i="1"/>
  <c r="I272" i="1"/>
  <c r="I421" i="1"/>
  <c r="U421" i="1"/>
  <c r="I306" i="1"/>
  <c r="U306" i="1"/>
  <c r="I1257" i="1"/>
  <c r="I460" i="1"/>
  <c r="U460" i="1"/>
  <c r="I417" i="1"/>
  <c r="U417" i="1"/>
  <c r="I302" i="1"/>
  <c r="U302" i="1"/>
  <c r="I457" i="1"/>
  <c r="U457" i="1"/>
  <c r="I414" i="1"/>
  <c r="U414" i="1"/>
  <c r="I362" i="1"/>
  <c r="U362" i="1"/>
  <c r="I291" i="1"/>
  <c r="I415" i="1"/>
  <c r="U415" i="1"/>
  <c r="I155" i="1"/>
  <c r="I1228" i="1"/>
  <c r="I1232" i="1"/>
  <c r="I195" i="1"/>
  <c r="I166" i="1"/>
  <c r="I1259" i="1"/>
  <c r="I412" i="1"/>
  <c r="U412" i="1"/>
  <c r="I441" i="1"/>
  <c r="U441" i="1"/>
  <c r="I467" i="1"/>
  <c r="U467" i="1"/>
  <c r="I458" i="1"/>
  <c r="U458" i="1"/>
  <c r="I156" i="1"/>
  <c r="I198" i="1"/>
  <c r="I178" i="1"/>
  <c r="I168" i="1"/>
  <c r="I257" i="1"/>
  <c r="I1261" i="1"/>
  <c r="I381" i="1"/>
  <c r="U381" i="1"/>
  <c r="I377" i="1"/>
  <c r="U377" i="1"/>
  <c r="I203" i="1"/>
  <c r="I160" i="1"/>
  <c r="I243" i="1"/>
  <c r="I256" i="1"/>
  <c r="I271" i="1"/>
  <c r="I283" i="1"/>
  <c r="I1260" i="1"/>
  <c r="I440" i="1"/>
  <c r="U440" i="1"/>
  <c r="I1243" i="1"/>
  <c r="I322" i="1"/>
  <c r="U322" i="1"/>
  <c r="I443" i="1"/>
  <c r="U443" i="1"/>
  <c r="I465" i="1"/>
  <c r="U465" i="1"/>
  <c r="I422" i="1"/>
  <c r="U422" i="1"/>
  <c r="I401" i="1"/>
  <c r="U401" i="1"/>
  <c r="I309" i="1"/>
  <c r="U309" i="1"/>
  <c r="I380" i="1"/>
  <c r="U380" i="1"/>
  <c r="I461" i="1"/>
  <c r="U461" i="1"/>
  <c r="I418" i="1"/>
  <c r="U418" i="1"/>
  <c r="I378" i="1"/>
  <c r="U378" i="1"/>
  <c r="I303" i="1"/>
  <c r="U303" i="1"/>
  <c r="I420" i="1"/>
  <c r="U420" i="1"/>
  <c r="I308" i="1"/>
  <c r="U308" i="1"/>
  <c r="I200" i="1"/>
  <c r="I161" i="1"/>
  <c r="I255" i="1"/>
  <c r="I444" i="1"/>
  <c r="U444" i="1"/>
  <c r="I292" i="1"/>
  <c r="U292" i="1"/>
  <c r="I323" i="1"/>
  <c r="U323" i="1"/>
  <c r="I402" i="1"/>
  <c r="U402" i="1"/>
  <c r="I1233" i="1"/>
  <c r="I202" i="1"/>
  <c r="I182" i="1"/>
  <c r="I164" i="1"/>
  <c r="I244" i="1"/>
  <c r="I464" i="1"/>
  <c r="U464" i="1"/>
  <c r="I312" i="1"/>
  <c r="U312" i="1"/>
  <c r="I199" i="1"/>
  <c r="I179" i="1"/>
  <c r="I169" i="1"/>
  <c r="I165" i="1"/>
  <c r="I154" i="1"/>
  <c r="I1231" i="1"/>
  <c r="I381" i="15"/>
  <c r="AC381" i="15"/>
  <c r="I341" i="15"/>
  <c r="AC341" i="15"/>
  <c r="I301" i="15"/>
  <c r="AC301" i="15"/>
  <c r="I224" i="15"/>
  <c r="AC224" i="15"/>
  <c r="I988" i="15"/>
  <c r="AC988" i="15"/>
  <c r="I377" i="15"/>
  <c r="AC377" i="15"/>
  <c r="I337" i="15"/>
  <c r="AC337" i="15"/>
  <c r="I297" i="15"/>
  <c r="AC297" i="15"/>
  <c r="I220" i="15"/>
  <c r="AC220" i="15"/>
  <c r="I230" i="15"/>
  <c r="AC230" i="15"/>
  <c r="I374" i="15"/>
  <c r="AC374" i="15"/>
  <c r="I334" i="15"/>
  <c r="AC334" i="15"/>
  <c r="I282" i="15"/>
  <c r="AC282" i="15"/>
  <c r="I209" i="15"/>
  <c r="AC209" i="15"/>
  <c r="I335" i="15"/>
  <c r="AC335" i="15"/>
  <c r="I336" i="15"/>
  <c r="AC336" i="15"/>
  <c r="I211" i="15"/>
  <c r="AC211" i="15"/>
  <c r="I244" i="15"/>
  <c r="AC244" i="15"/>
  <c r="I372" i="15"/>
  <c r="AC372" i="15"/>
  <c r="I333" i="15"/>
  <c r="AC333" i="15"/>
  <c r="I248" i="15"/>
  <c r="AC248" i="15"/>
  <c r="I199" i="15"/>
  <c r="AC199" i="15"/>
  <c r="I359" i="15"/>
  <c r="AC359" i="15"/>
  <c r="I987" i="15"/>
  <c r="AC987" i="15"/>
  <c r="I242" i="15"/>
  <c r="AC242" i="15"/>
  <c r="I379" i="15"/>
  <c r="AC379" i="15"/>
  <c r="I973" i="15"/>
  <c r="AC973" i="15"/>
  <c r="I203" i="15"/>
  <c r="AC203" i="15"/>
  <c r="I376" i="15"/>
  <c r="AC376" i="15"/>
  <c r="I361" i="15"/>
  <c r="AC361" i="15"/>
  <c r="I332" i="15"/>
  <c r="AC332" i="15"/>
  <c r="I202" i="15"/>
  <c r="AC202" i="15"/>
  <c r="I210" i="15"/>
  <c r="AC210" i="15"/>
  <c r="I358" i="15"/>
  <c r="AC358" i="15"/>
  <c r="I975" i="15"/>
  <c r="AC975" i="15"/>
  <c r="I241" i="15"/>
  <c r="AC241" i="15"/>
  <c r="I356" i="15"/>
  <c r="AC356" i="15"/>
  <c r="I384" i="15"/>
  <c r="AC384" i="15"/>
  <c r="I355" i="15"/>
  <c r="AC355" i="15"/>
  <c r="I322" i="15"/>
  <c r="AC322" i="15"/>
  <c r="I229" i="15"/>
  <c r="AC229" i="15"/>
  <c r="I375" i="15"/>
  <c r="AC375" i="15"/>
  <c r="I283" i="15"/>
  <c r="AC283" i="15"/>
  <c r="I247" i="15"/>
  <c r="AC247" i="15"/>
  <c r="I974" i="15"/>
  <c r="AC974" i="15"/>
  <c r="I240" i="15"/>
  <c r="AC240" i="15"/>
  <c r="I360" i="15"/>
  <c r="AC360" i="15"/>
  <c r="I382" i="15"/>
  <c r="AC382" i="15"/>
  <c r="I342" i="15"/>
  <c r="AC342" i="15"/>
  <c r="I321" i="15"/>
  <c r="AC321" i="15"/>
  <c r="I227" i="15"/>
  <c r="AC227" i="15"/>
  <c r="I300" i="15"/>
  <c r="AC300" i="15"/>
  <c r="I378" i="15"/>
  <c r="AC378" i="15"/>
  <c r="I338" i="15"/>
  <c r="AC338" i="15"/>
  <c r="I298" i="15"/>
  <c r="AC298" i="15"/>
  <c r="I221" i="15"/>
  <c r="AC221" i="15"/>
  <c r="I340" i="15"/>
  <c r="AC340" i="15"/>
  <c r="I226" i="15"/>
  <c r="AC226" i="15"/>
  <c r="I284" i="15"/>
  <c r="AC284" i="15"/>
  <c r="I357" i="15"/>
  <c r="AC357" i="15"/>
  <c r="H263" i="1"/>
  <c r="X264" i="1"/>
  <c r="H264" i="1" s="1"/>
  <c r="X183" i="15"/>
  <c r="H183" i="15" s="1"/>
  <c r="X182" i="15"/>
  <c r="H182" i="15" s="1"/>
  <c r="H181" i="15"/>
  <c r="X63" i="1"/>
  <c r="H63" i="1" s="1"/>
  <c r="Q63" i="1" s="1"/>
  <c r="X31" i="15"/>
  <c r="H31" i="15" s="1"/>
  <c r="Q31" i="15" s="1"/>
  <c r="G386" i="4"/>
  <c r="G376" i="4"/>
  <c r="G367" i="4"/>
  <c r="G354" i="4"/>
  <c r="X237" i="1" s="1"/>
  <c r="G349" i="4"/>
  <c r="X235" i="1" s="1"/>
  <c r="H235" i="1" s="1"/>
  <c r="X236" i="1"/>
  <c r="G325" i="4"/>
  <c r="X234" i="1" s="1"/>
  <c r="H234" i="1" s="1"/>
  <c r="G313" i="4"/>
  <c r="G299" i="4"/>
  <c r="X230" i="1" s="1"/>
  <c r="H230" i="1" s="1"/>
  <c r="G288" i="4"/>
  <c r="X224" i="1" s="1"/>
  <c r="H224" i="1" s="1"/>
  <c r="G277" i="4"/>
  <c r="X223" i="1" s="1"/>
  <c r="H223" i="1" s="1"/>
  <c r="G263" i="4"/>
  <c r="X221" i="1" s="1"/>
  <c r="H221" i="1" s="1"/>
  <c r="G249" i="4"/>
  <c r="X220" i="1" s="1"/>
  <c r="H220" i="1" s="1"/>
  <c r="G235" i="4"/>
  <c r="X219" i="1" s="1"/>
  <c r="H219" i="1" s="1"/>
  <c r="G226" i="4"/>
  <c r="X218" i="1" s="1"/>
  <c r="H218" i="1" s="1"/>
  <c r="G216" i="4"/>
  <c r="G206" i="4"/>
  <c r="G182" i="4"/>
  <c r="X196" i="1" s="1"/>
  <c r="H196" i="1" s="1"/>
  <c r="G171" i="4"/>
  <c r="G160" i="4"/>
  <c r="G141" i="4"/>
  <c r="G152" i="4"/>
  <c r="G130" i="4"/>
  <c r="G119" i="4"/>
  <c r="G108" i="4"/>
  <c r="G99" i="4"/>
  <c r="G88" i="4"/>
  <c r="G78" i="4"/>
  <c r="G67" i="4"/>
  <c r="G55" i="4"/>
  <c r="G47" i="4"/>
  <c r="G38" i="4"/>
  <c r="X200" i="15" s="1"/>
  <c r="H200" i="15" s="1"/>
  <c r="G30" i="4"/>
  <c r="G22" i="4"/>
  <c r="H55" i="1"/>
  <c r="X147" i="1"/>
  <c r="H147" i="1" s="1"/>
  <c r="N30" i="9" l="1"/>
  <c r="O31" i="9"/>
  <c r="Q198" i="15"/>
  <c r="U198" i="15" s="1"/>
  <c r="U200" i="15"/>
  <c r="Q205" i="15"/>
  <c r="U205" i="15" s="1"/>
  <c r="U176" i="15"/>
  <c r="I972" i="15"/>
  <c r="I1241" i="1"/>
  <c r="Q1241" i="1"/>
  <c r="U1241" i="1" s="1"/>
  <c r="C42" i="9" s="1"/>
  <c r="I982" i="15"/>
  <c r="I1227" i="1"/>
  <c r="I63" i="1"/>
  <c r="U63" i="1"/>
  <c r="I218" i="1"/>
  <c r="I263" i="1"/>
  <c r="I235" i="1"/>
  <c r="I219" i="1"/>
  <c r="I221" i="1"/>
  <c r="I230" i="1"/>
  <c r="I264" i="1"/>
  <c r="I196" i="1"/>
  <c r="U196" i="1"/>
  <c r="I224" i="1"/>
  <c r="Q1227" i="1"/>
  <c r="U1227" i="1" s="1"/>
  <c r="C40" i="9" s="1"/>
  <c r="I147" i="1"/>
  <c r="I220" i="1"/>
  <c r="I234" i="1"/>
  <c r="I55" i="1"/>
  <c r="I223" i="1"/>
  <c r="I368" i="15"/>
  <c r="I206" i="15"/>
  <c r="I31" i="15"/>
  <c r="U31" i="15" s="1"/>
  <c r="AC31" i="15"/>
  <c r="I200" i="15"/>
  <c r="AC200" i="15"/>
  <c r="I181" i="15"/>
  <c r="AC181" i="15"/>
  <c r="I182" i="15"/>
  <c r="AC182" i="15"/>
  <c r="I183" i="15"/>
  <c r="AC183" i="15"/>
  <c r="X247" i="1"/>
  <c r="H247" i="1" s="1"/>
  <c r="X168" i="15"/>
  <c r="H168" i="15" s="1"/>
  <c r="U168" i="15" s="1"/>
  <c r="X246" i="1"/>
  <c r="H246" i="1" s="1"/>
  <c r="X167" i="15"/>
  <c r="H167" i="15" s="1"/>
  <c r="U167" i="15" s="1"/>
  <c r="X233" i="1"/>
  <c r="H233" i="1" s="1"/>
  <c r="X159" i="15"/>
  <c r="H159" i="15" s="1"/>
  <c r="X248" i="1"/>
  <c r="H248" i="1" s="1"/>
  <c r="X170" i="15"/>
  <c r="H170" i="15" s="1"/>
  <c r="U170" i="15" s="1"/>
  <c r="X70" i="1"/>
  <c r="X79" i="1" s="1"/>
  <c r="H79" i="1" s="1"/>
  <c r="X46" i="15"/>
  <c r="H46" i="15" s="1"/>
  <c r="Q46" i="15" s="1"/>
  <c r="U46" i="15" s="1"/>
  <c r="X38" i="15"/>
  <c r="H38" i="15" s="1"/>
  <c r="Q38" i="15" s="1"/>
  <c r="U38" i="15" s="1"/>
  <c r="X146" i="1"/>
  <c r="H146" i="1" s="1"/>
  <c r="X77" i="15"/>
  <c r="H77" i="15" s="1"/>
  <c r="X189" i="1"/>
  <c r="H189" i="1" s="1"/>
  <c r="X122" i="15"/>
  <c r="H122" i="15" s="1"/>
  <c r="U122" i="15" s="1"/>
  <c r="X69" i="1"/>
  <c r="H69" i="1" s="1"/>
  <c r="X37" i="15"/>
  <c r="H37" i="15" s="1"/>
  <c r="Q37" i="15" s="1"/>
  <c r="U37" i="15" s="1"/>
  <c r="X45" i="15"/>
  <c r="H45" i="15" s="1"/>
  <c r="Q45" i="15" s="1"/>
  <c r="U45" i="15" s="1"/>
  <c r="X183" i="1"/>
  <c r="H183" i="1" s="1"/>
  <c r="X115" i="15"/>
  <c r="H115" i="15" s="1"/>
  <c r="U115" i="15" s="1"/>
  <c r="X68" i="1"/>
  <c r="X77" i="1" s="1"/>
  <c r="H77" i="1" s="1"/>
  <c r="X36" i="15"/>
  <c r="H36" i="15" s="1"/>
  <c r="Q36" i="15" s="1"/>
  <c r="U36" i="15" s="1"/>
  <c r="X44" i="15"/>
  <c r="H44" i="15" s="1"/>
  <c r="Q44" i="15" s="1"/>
  <c r="U44" i="15" s="1"/>
  <c r="X92" i="1"/>
  <c r="H92" i="1" s="1"/>
  <c r="Q92" i="1" s="1"/>
  <c r="U92" i="1" s="1"/>
  <c r="X57" i="15"/>
  <c r="H57" i="15" s="1"/>
  <c r="Q57" i="15" s="1"/>
  <c r="U57" i="15" s="1"/>
  <c r="X153" i="1"/>
  <c r="H153" i="1" s="1"/>
  <c r="X85" i="15"/>
  <c r="H85" i="15" s="1"/>
  <c r="U85" i="15" s="1"/>
  <c r="X175" i="1"/>
  <c r="H175" i="1" s="1"/>
  <c r="X107" i="15"/>
  <c r="H107" i="15" s="1"/>
  <c r="X213" i="1"/>
  <c r="H213" i="1" s="1"/>
  <c r="X142" i="15"/>
  <c r="H142" i="15" s="1"/>
  <c r="U142" i="15" s="1"/>
  <c r="X162" i="1"/>
  <c r="H162" i="1" s="1"/>
  <c r="X94" i="15"/>
  <c r="H94" i="15" s="1"/>
  <c r="U94" i="15" s="1"/>
  <c r="X64" i="1"/>
  <c r="H64" i="1" s="1"/>
  <c r="X32" i="15"/>
  <c r="H32" i="15" s="1"/>
  <c r="Q32" i="15" s="1"/>
  <c r="X75" i="1"/>
  <c r="X88" i="1" s="1"/>
  <c r="H88" i="1" s="1"/>
  <c r="X42" i="15"/>
  <c r="H42" i="15" s="1"/>
  <c r="Q42" i="15" s="1"/>
  <c r="U42" i="15" s="1"/>
  <c r="X53" i="15"/>
  <c r="H53" i="15" s="1"/>
  <c r="Q53" i="15" s="1"/>
  <c r="U53" i="15" s="1"/>
  <c r="X148" i="1"/>
  <c r="H148" i="1" s="1"/>
  <c r="X79" i="15"/>
  <c r="H79" i="15" s="1"/>
  <c r="X176" i="1"/>
  <c r="H176" i="1" s="1"/>
  <c r="X129" i="15"/>
  <c r="H129" i="15" s="1"/>
  <c r="U129" i="15" s="1"/>
  <c r="X108" i="15"/>
  <c r="H108" i="15" s="1"/>
  <c r="U108" i="15" s="1"/>
  <c r="X173" i="1"/>
  <c r="X184" i="1" s="1"/>
  <c r="X126" i="15"/>
  <c r="H126" i="15" s="1"/>
  <c r="U126" i="15" s="1"/>
  <c r="X136" i="15"/>
  <c r="H136" i="15" s="1"/>
  <c r="U136" i="15" s="1"/>
  <c r="X105" i="15"/>
  <c r="H105" i="15" s="1"/>
  <c r="U105" i="15" s="1"/>
  <c r="X116" i="15"/>
  <c r="H116" i="15" s="1"/>
  <c r="U116" i="15" s="1"/>
  <c r="X100" i="1"/>
  <c r="H100" i="1" s="1"/>
  <c r="Q100" i="1" s="1"/>
  <c r="U100" i="1" s="1"/>
  <c r="X64" i="15"/>
  <c r="H64" i="15" s="1"/>
  <c r="Q64" i="15" s="1"/>
  <c r="U64" i="15" s="1"/>
  <c r="X214" i="1"/>
  <c r="H214" i="1" s="1"/>
  <c r="X143" i="15"/>
  <c r="H143" i="15" s="1"/>
  <c r="U143" i="15" s="1"/>
  <c r="H236" i="1"/>
  <c r="H237" i="1"/>
  <c r="P31" i="9" l="1"/>
  <c r="O30" i="9"/>
  <c r="L40" i="9"/>
  <c r="AB41" i="9"/>
  <c r="M41" i="9" s="1"/>
  <c r="I42" i="9"/>
  <c r="E42" i="9"/>
  <c r="L42" i="9"/>
  <c r="H42" i="9"/>
  <c r="G42" i="9"/>
  <c r="J42" i="9"/>
  <c r="AB43" i="9"/>
  <c r="M43" i="9" s="1"/>
  <c r="M42" i="9" s="1"/>
  <c r="K42" i="9"/>
  <c r="Q158" i="15"/>
  <c r="U158" i="15" s="1"/>
  <c r="U159" i="15"/>
  <c r="Q164" i="15"/>
  <c r="U164" i="15" s="1"/>
  <c r="Q141" i="15"/>
  <c r="U141" i="15" s="1"/>
  <c r="Q34" i="15"/>
  <c r="U34" i="15" s="1"/>
  <c r="W106" i="15"/>
  <c r="Q107" i="15"/>
  <c r="I198" i="15"/>
  <c r="V174" i="1"/>
  <c r="S150" i="1"/>
  <c r="Q66" i="15"/>
  <c r="U66" i="15" s="1"/>
  <c r="I205" i="15"/>
  <c r="I176" i="15"/>
  <c r="I248" i="1"/>
  <c r="I162" i="1"/>
  <c r="I176" i="1"/>
  <c r="I183" i="1"/>
  <c r="I100" i="1"/>
  <c r="I64" i="1"/>
  <c r="I246" i="1"/>
  <c r="I175" i="1"/>
  <c r="I146" i="1"/>
  <c r="I148" i="1"/>
  <c r="I69" i="1"/>
  <c r="I247" i="1"/>
  <c r="I153" i="1"/>
  <c r="I88" i="1"/>
  <c r="I77" i="1"/>
  <c r="I233" i="1"/>
  <c r="I92" i="1"/>
  <c r="I79" i="1"/>
  <c r="I214" i="1"/>
  <c r="I236" i="1"/>
  <c r="I237" i="1"/>
  <c r="I213" i="1"/>
  <c r="I189" i="1"/>
  <c r="I57" i="15"/>
  <c r="AC57" i="15"/>
  <c r="I170" i="15"/>
  <c r="AC170" i="15"/>
  <c r="I79" i="15"/>
  <c r="AC79" i="15"/>
  <c r="I94" i="15"/>
  <c r="AC94" i="15"/>
  <c r="I105" i="15"/>
  <c r="AC105" i="15"/>
  <c r="I136" i="15"/>
  <c r="AC136" i="15"/>
  <c r="I126" i="15"/>
  <c r="AC126" i="15"/>
  <c r="I42" i="15"/>
  <c r="AC42" i="15"/>
  <c r="I107" i="15"/>
  <c r="AC107" i="15"/>
  <c r="I77" i="15"/>
  <c r="AC77" i="15"/>
  <c r="I116" i="15"/>
  <c r="AC116" i="15"/>
  <c r="I44" i="15"/>
  <c r="AC44" i="15"/>
  <c r="I53" i="15"/>
  <c r="AC53" i="15"/>
  <c r="I115" i="15"/>
  <c r="AC115" i="15"/>
  <c r="I167" i="15"/>
  <c r="AC167" i="15"/>
  <c r="I122" i="15"/>
  <c r="AC122" i="15"/>
  <c r="I159" i="15"/>
  <c r="AC159" i="15"/>
  <c r="I108" i="15"/>
  <c r="AC108" i="15"/>
  <c r="I32" i="15"/>
  <c r="U32" i="15" s="1"/>
  <c r="AC32" i="15"/>
  <c r="I85" i="15"/>
  <c r="AC85" i="15"/>
  <c r="I38" i="15"/>
  <c r="AC38" i="15"/>
  <c r="I37" i="15"/>
  <c r="AC37" i="15"/>
  <c r="I142" i="15"/>
  <c r="AC142" i="15"/>
  <c r="I36" i="15"/>
  <c r="AC36" i="15"/>
  <c r="I143" i="15"/>
  <c r="AC143" i="15"/>
  <c r="I64" i="15"/>
  <c r="AC64" i="15"/>
  <c r="I129" i="15"/>
  <c r="AC129" i="15"/>
  <c r="I45" i="15"/>
  <c r="AC45" i="15"/>
  <c r="I46" i="15"/>
  <c r="AC46" i="15"/>
  <c r="I168" i="15"/>
  <c r="AC168" i="15"/>
  <c r="X78" i="1"/>
  <c r="X282" i="1" s="1"/>
  <c r="H282" i="1" s="1"/>
  <c r="H75" i="1"/>
  <c r="H173" i="1"/>
  <c r="H70" i="1"/>
  <c r="H68" i="1"/>
  <c r="H78" i="1"/>
  <c r="H184" i="1"/>
  <c r="X193" i="1"/>
  <c r="Q31" i="9" l="1"/>
  <c r="Q30" i="9" s="1"/>
  <c r="P30" i="9"/>
  <c r="N41" i="9"/>
  <c r="M40" i="9"/>
  <c r="X42" i="9"/>
  <c r="Q82" i="15"/>
  <c r="U107" i="15"/>
  <c r="W105" i="15"/>
  <c r="W138" i="1"/>
  <c r="S82" i="15"/>
  <c r="I158" i="15"/>
  <c r="I212" i="1"/>
  <c r="I34" i="15"/>
  <c r="Q212" i="1"/>
  <c r="U212" i="1" s="1"/>
  <c r="C20" i="9" s="1"/>
  <c r="I232" i="1"/>
  <c r="Q232" i="1"/>
  <c r="U232" i="1" s="1"/>
  <c r="C24" i="9" s="1"/>
  <c r="AB25" i="9" s="1"/>
  <c r="I70" i="1"/>
  <c r="I68" i="1"/>
  <c r="I78" i="1"/>
  <c r="I184" i="1"/>
  <c r="I282" i="1"/>
  <c r="Q280" i="1"/>
  <c r="U280" i="1" s="1"/>
  <c r="C36" i="9" s="1"/>
  <c r="I75" i="1"/>
  <c r="I173" i="1"/>
  <c r="I66" i="15"/>
  <c r="I141" i="15"/>
  <c r="I164" i="15"/>
  <c r="I82" i="15"/>
  <c r="H193" i="1"/>
  <c r="X204" i="1"/>
  <c r="H204" i="1" s="1"/>
  <c r="O41" i="9" l="1"/>
  <c r="N40" i="9"/>
  <c r="L25" i="9"/>
  <c r="M25" i="9"/>
  <c r="X30" i="9"/>
  <c r="J20" i="9"/>
  <c r="L20" i="9"/>
  <c r="AB21" i="9"/>
  <c r="M21" i="9" s="1"/>
  <c r="K20" i="9"/>
  <c r="K36" i="9"/>
  <c r="J36" i="9"/>
  <c r="L36" i="9"/>
  <c r="AB37" i="9"/>
  <c r="S37" i="9" s="1"/>
  <c r="K24" i="9"/>
  <c r="J24" i="9"/>
  <c r="I24" i="9"/>
  <c r="L24" i="9"/>
  <c r="S1015" i="15"/>
  <c r="U82" i="15"/>
  <c r="I280" i="1"/>
  <c r="I204" i="1"/>
  <c r="I193" i="1"/>
  <c r="P41" i="9" l="1"/>
  <c r="O40" i="9"/>
  <c r="N25" i="9"/>
  <c r="M24" i="9"/>
  <c r="T37" i="9"/>
  <c r="T36" i="9" s="1"/>
  <c r="S36" i="9"/>
  <c r="N21" i="9"/>
  <c r="N20" i="9" s="1"/>
  <c r="M20" i="9"/>
  <c r="X36" i="9"/>
  <c r="Q150" i="1"/>
  <c r="U150" i="1" s="1"/>
  <c r="C18" i="9" s="1"/>
  <c r="I150" i="1"/>
  <c r="AB148" i="1"/>
  <c r="AB147" i="1"/>
  <c r="AB146" i="1"/>
  <c r="AB145" i="1"/>
  <c r="X145" i="1"/>
  <c r="H145" i="1" s="1"/>
  <c r="AB144" i="1"/>
  <c r="X144" i="1"/>
  <c r="H144" i="1" s="1"/>
  <c r="AB143" i="1"/>
  <c r="X143" i="1"/>
  <c r="H143" i="1" s="1"/>
  <c r="AB142" i="1"/>
  <c r="X142" i="1"/>
  <c r="H142" i="1" s="1"/>
  <c r="AB141" i="1"/>
  <c r="X141" i="1"/>
  <c r="H141" i="1" s="1"/>
  <c r="AB140" i="1"/>
  <c r="X140" i="1"/>
  <c r="H140" i="1" s="1"/>
  <c r="AB139" i="1"/>
  <c r="X139" i="1"/>
  <c r="H139" i="1" s="1"/>
  <c r="AB138" i="1"/>
  <c r="X138" i="1"/>
  <c r="H138" i="1" s="1"/>
  <c r="AB137" i="1"/>
  <c r="X137" i="1"/>
  <c r="H137" i="1" s="1"/>
  <c r="AB136" i="1"/>
  <c r="X136" i="1"/>
  <c r="H136" i="1" s="1"/>
  <c r="H107" i="1" s="1"/>
  <c r="I107" i="1" s="1"/>
  <c r="AB98" i="1"/>
  <c r="X98" i="1"/>
  <c r="H98" i="1" s="1"/>
  <c r="AB97" i="1"/>
  <c r="X97" i="1"/>
  <c r="H97" i="1" s="1"/>
  <c r="Q97" i="1" s="1"/>
  <c r="U97" i="1" s="1"/>
  <c r="AB96" i="1"/>
  <c r="X96" i="1"/>
  <c r="H96" i="1" s="1"/>
  <c r="Q96" i="1" s="1"/>
  <c r="U96" i="1" s="1"/>
  <c r="AB95" i="1"/>
  <c r="X95" i="1"/>
  <c r="H95" i="1" s="1"/>
  <c r="Q95" i="1" s="1"/>
  <c r="U95" i="1" s="1"/>
  <c r="AB94" i="1"/>
  <c r="X94" i="1"/>
  <c r="H94" i="1" s="1"/>
  <c r="Q94" i="1" s="1"/>
  <c r="U94" i="1" s="1"/>
  <c r="AB93" i="1"/>
  <c r="X93" i="1"/>
  <c r="H93" i="1" s="1"/>
  <c r="Q93" i="1" s="1"/>
  <c r="U93" i="1" s="1"/>
  <c r="AB92" i="1"/>
  <c r="AB91" i="1"/>
  <c r="X91" i="1"/>
  <c r="H91" i="1" s="1"/>
  <c r="AB90" i="1"/>
  <c r="X90" i="1"/>
  <c r="H90" i="1" s="1"/>
  <c r="Q90" i="1" s="1"/>
  <c r="AB88" i="1"/>
  <c r="AB87" i="1"/>
  <c r="X87" i="1"/>
  <c r="H87" i="1" s="1"/>
  <c r="AB86" i="1"/>
  <c r="X86" i="1"/>
  <c r="H86" i="1" s="1"/>
  <c r="AB85" i="1"/>
  <c r="X85" i="1"/>
  <c r="H85" i="1" s="1"/>
  <c r="AB84" i="1"/>
  <c r="X84" i="1"/>
  <c r="H84" i="1" s="1"/>
  <c r="AB83" i="1"/>
  <c r="X83" i="1"/>
  <c r="H83" i="1" s="1"/>
  <c r="AB82" i="1"/>
  <c r="X82" i="1"/>
  <c r="H82" i="1" s="1"/>
  <c r="AB81" i="1"/>
  <c r="X81" i="1"/>
  <c r="H81" i="1" s="1"/>
  <c r="AB80" i="1"/>
  <c r="X80" i="1"/>
  <c r="H80" i="1" s="1"/>
  <c r="AB79" i="1"/>
  <c r="AB78" i="1"/>
  <c r="AB77" i="1"/>
  <c r="AB57" i="1"/>
  <c r="AB55" i="1"/>
  <c r="B51" i="1"/>
  <c r="AB39" i="1"/>
  <c r="X39" i="1"/>
  <c r="H39" i="1" s="1"/>
  <c r="B25" i="1"/>
  <c r="X1040" i="1"/>
  <c r="H1040" i="1" s="1"/>
  <c r="X1038" i="1"/>
  <c r="H1038" i="1" s="1"/>
  <c r="X1039" i="1"/>
  <c r="H1039" i="1" s="1"/>
  <c r="X679" i="1"/>
  <c r="H679" i="1" s="1"/>
  <c r="X678" i="1"/>
  <c r="H678" i="1" s="1"/>
  <c r="X1225" i="1"/>
  <c r="H1225" i="1" s="1"/>
  <c r="X266" i="1"/>
  <c r="H266" i="1" s="1"/>
  <c r="X569" i="1"/>
  <c r="H1274" i="1"/>
  <c r="X25" i="1"/>
  <c r="H25" i="1" s="1"/>
  <c r="X20" i="9" l="1"/>
  <c r="P40" i="9"/>
  <c r="Q41" i="9"/>
  <c r="O25" i="9"/>
  <c r="N24" i="9"/>
  <c r="I18" i="9"/>
  <c r="G18" i="9"/>
  <c r="AB19" i="9"/>
  <c r="H18" i="9"/>
  <c r="F18" i="9"/>
  <c r="E18" i="9"/>
  <c r="Q66" i="1"/>
  <c r="U66" i="1" s="1"/>
  <c r="C14" i="9" s="1"/>
  <c r="Q39" i="1"/>
  <c r="U39" i="1" s="1"/>
  <c r="U90" i="1"/>
  <c r="I81" i="1"/>
  <c r="I140" i="1"/>
  <c r="I39" i="1"/>
  <c r="I84" i="1"/>
  <c r="I94" i="1"/>
  <c r="I98" i="1"/>
  <c r="I139" i="1"/>
  <c r="I143" i="1"/>
  <c r="I85" i="1"/>
  <c r="I136" i="1"/>
  <c r="S135" i="1"/>
  <c r="I90" i="1"/>
  <c r="I1040" i="1"/>
  <c r="U1040" i="1"/>
  <c r="I87" i="1"/>
  <c r="I142" i="1"/>
  <c r="I25" i="1"/>
  <c r="I1038" i="1"/>
  <c r="U1038" i="1"/>
  <c r="I678" i="1"/>
  <c r="U678" i="1"/>
  <c r="I95" i="1"/>
  <c r="I144" i="1"/>
  <c r="I266" i="1"/>
  <c r="S253" i="1"/>
  <c r="I1274" i="1"/>
  <c r="I93" i="1"/>
  <c r="I138" i="1"/>
  <c r="I1039" i="1"/>
  <c r="U1039" i="1"/>
  <c r="I86" i="1"/>
  <c r="I96" i="1"/>
  <c r="I137" i="1"/>
  <c r="I141" i="1"/>
  <c r="I145" i="1"/>
  <c r="I80" i="1"/>
  <c r="I83" i="1"/>
  <c r="I97" i="1"/>
  <c r="I82" i="1"/>
  <c r="I679" i="1"/>
  <c r="U679" i="1"/>
  <c r="I91" i="1"/>
  <c r="I1225" i="1"/>
  <c r="X1046" i="1"/>
  <c r="H1046" i="1" s="1"/>
  <c r="H569" i="1"/>
  <c r="X654" i="1"/>
  <c r="H654" i="1" s="1"/>
  <c r="X1029" i="1"/>
  <c r="H1029" i="1" s="1"/>
  <c r="X1051" i="1"/>
  <c r="H1051" i="1" s="1"/>
  <c r="X711" i="1"/>
  <c r="H711" i="1" s="1"/>
  <c r="X712" i="1"/>
  <c r="H712" i="1" s="1"/>
  <c r="X630" i="1"/>
  <c r="H630" i="1" s="1"/>
  <c r="X37" i="1"/>
  <c r="I37" i="1" s="1"/>
  <c r="X1202" i="1"/>
  <c r="H1202" i="1" s="1"/>
  <c r="X1044" i="1"/>
  <c r="H1044" i="1" s="1"/>
  <c r="X579" i="1"/>
  <c r="H579" i="1" s="1"/>
  <c r="H1275" i="1"/>
  <c r="H1248" i="1"/>
  <c r="X868" i="1"/>
  <c r="H868" i="1" s="1"/>
  <c r="X341" i="1"/>
  <c r="H341" i="1" s="1"/>
  <c r="X267" i="1"/>
  <c r="H267" i="1" s="1"/>
  <c r="X658" i="1"/>
  <c r="H658" i="1" s="1"/>
  <c r="X1266" i="1"/>
  <c r="H1266" i="1" s="1"/>
  <c r="X336" i="1"/>
  <c r="H336" i="1" s="1"/>
  <c r="X748" i="1"/>
  <c r="H748" i="1" s="1"/>
  <c r="X659" i="1"/>
  <c r="H659" i="1" s="1"/>
  <c r="X661" i="1"/>
  <c r="H661" i="1" s="1"/>
  <c r="X245" i="1"/>
  <c r="H245" i="1" s="1"/>
  <c r="X275" i="1"/>
  <c r="H275" i="1" s="1"/>
  <c r="H571" i="1"/>
  <c r="U571" i="1" s="1"/>
  <c r="X1037" i="1"/>
  <c r="H1037" i="1" s="1"/>
  <c r="X1052" i="1"/>
  <c r="X1028" i="1"/>
  <c r="H1028" i="1" s="1"/>
  <c r="X1043" i="1"/>
  <c r="H1043" i="1" s="1"/>
  <c r="X580" i="1"/>
  <c r="X583" i="1"/>
  <c r="X1042" i="1" s="1"/>
  <c r="H1042" i="1" s="1"/>
  <c r="X629" i="1"/>
  <c r="H629" i="1" s="1"/>
  <c r="X51" i="1"/>
  <c r="H51" i="1" s="1"/>
  <c r="X749" i="1"/>
  <c r="H749" i="1" s="1"/>
  <c r="X225" i="1"/>
  <c r="H225" i="1" s="1"/>
  <c r="X334" i="1"/>
  <c r="H334" i="1" s="1"/>
  <c r="X222" i="1"/>
  <c r="H222" i="1" s="1"/>
  <c r="X1255" i="1"/>
  <c r="H1255" i="1" s="1"/>
  <c r="X1045" i="1"/>
  <c r="H1045" i="1" s="1"/>
  <c r="H1249" i="1"/>
  <c r="X480" i="1"/>
  <c r="H480" i="1" s="1"/>
  <c r="X482" i="1"/>
  <c r="H482" i="1" s="1"/>
  <c r="X340" i="1"/>
  <c r="H340" i="1" s="1"/>
  <c r="X1265" i="1"/>
  <c r="H1265" i="1" s="1"/>
  <c r="P25" i="9" l="1"/>
  <c r="O24" i="9"/>
  <c r="Q40" i="9"/>
  <c r="X40" i="9" s="1"/>
  <c r="R41" i="9"/>
  <c r="R40" i="9" s="1"/>
  <c r="M19" i="9"/>
  <c r="M18" i="9" s="1"/>
  <c r="D14" i="9"/>
  <c r="E14" i="9"/>
  <c r="AB15" i="9"/>
  <c r="F14" i="9"/>
  <c r="Q135" i="1"/>
  <c r="U135" i="1" s="1"/>
  <c r="C16" i="9" s="1"/>
  <c r="I677" i="1"/>
  <c r="Q677" i="1"/>
  <c r="U677" i="1" s="1"/>
  <c r="I135" i="1"/>
  <c r="I1029" i="1"/>
  <c r="U1029" i="1"/>
  <c r="I1265" i="1"/>
  <c r="I1051" i="1"/>
  <c r="U1051" i="1"/>
  <c r="I222" i="1"/>
  <c r="I1043" i="1"/>
  <c r="U1043" i="1"/>
  <c r="I659" i="1"/>
  <c r="U659" i="1"/>
  <c r="I1248" i="1"/>
  <c r="I711" i="1"/>
  <c r="U711" i="1"/>
  <c r="I1028" i="1"/>
  <c r="U1028" i="1"/>
  <c r="I661" i="1"/>
  <c r="U661" i="1"/>
  <c r="I1045" i="1"/>
  <c r="U1045" i="1"/>
  <c r="I341" i="1"/>
  <c r="U341" i="1"/>
  <c r="I1249" i="1"/>
  <c r="I275" i="1"/>
  <c r="I270" i="1" s="1"/>
  <c r="I267" i="1"/>
  <c r="Q253" i="1"/>
  <c r="U253" i="1" s="1"/>
  <c r="C32" i="9" s="1"/>
  <c r="AB33" i="9" s="1"/>
  <c r="L33" i="9" s="1"/>
  <c r="M33" i="9" s="1"/>
  <c r="I569" i="1"/>
  <c r="U569" i="1"/>
  <c r="I225" i="1"/>
  <c r="I579" i="1"/>
  <c r="U579" i="1"/>
  <c r="I748" i="1"/>
  <c r="U748" i="1"/>
  <c r="I712" i="1"/>
  <c r="U712" i="1"/>
  <c r="I245" i="1"/>
  <c r="Q242" i="1"/>
  <c r="U242" i="1" s="1"/>
  <c r="C28" i="9" s="1"/>
  <c r="I1046" i="1"/>
  <c r="U1046" i="1"/>
  <c r="I629" i="1"/>
  <c r="U629" i="1"/>
  <c r="I480" i="1"/>
  <c r="U480" i="1"/>
  <c r="I51" i="1"/>
  <c r="I658" i="1"/>
  <c r="U658" i="1"/>
  <c r="I1202" i="1"/>
  <c r="Q1154" i="1"/>
  <c r="U1154" i="1" s="1"/>
  <c r="I654" i="1"/>
  <c r="U654" i="1"/>
  <c r="I340" i="1"/>
  <c r="U340" i="1"/>
  <c r="I336" i="1"/>
  <c r="U336" i="1"/>
  <c r="I334" i="1"/>
  <c r="U334" i="1"/>
  <c r="I1275" i="1"/>
  <c r="Q1273" i="1"/>
  <c r="U1273" i="1" s="1"/>
  <c r="C48" i="9" s="1"/>
  <c r="I1255" i="1"/>
  <c r="I868" i="1"/>
  <c r="U868" i="1"/>
  <c r="I1042" i="1"/>
  <c r="U1042" i="1"/>
  <c r="I630" i="1"/>
  <c r="U630" i="1"/>
  <c r="I482" i="1"/>
  <c r="U482" i="1"/>
  <c r="I749" i="1"/>
  <c r="U749" i="1"/>
  <c r="I1037" i="1"/>
  <c r="U1037" i="1"/>
  <c r="I1266" i="1"/>
  <c r="I1044" i="1"/>
  <c r="U1044" i="1"/>
  <c r="I571" i="1"/>
  <c r="X1062" i="1"/>
  <c r="H1062" i="1" s="1"/>
  <c r="H1052" i="1"/>
  <c r="X832" i="1"/>
  <c r="X980" i="1"/>
  <c r="H980" i="1" s="1"/>
  <c r="X971" i="1"/>
  <c r="H971" i="1" s="1"/>
  <c r="X936" i="1"/>
  <c r="H936" i="1" s="1"/>
  <c r="X833" i="1"/>
  <c r="X972" i="1"/>
  <c r="H972" i="1" s="1"/>
  <c r="H583" i="1"/>
  <c r="H580" i="1"/>
  <c r="X655" i="1"/>
  <c r="H655" i="1" s="1"/>
  <c r="H582" i="1"/>
  <c r="H657" i="1"/>
  <c r="AB74" i="1"/>
  <c r="X74" i="1"/>
  <c r="H74" i="1" s="1"/>
  <c r="AB73" i="1"/>
  <c r="X73" i="1"/>
  <c r="H73" i="1" s="1"/>
  <c r="AB72" i="1"/>
  <c r="X72" i="1"/>
  <c r="H72" i="1" s="1"/>
  <c r="AB69" i="1"/>
  <c r="AB68" i="1"/>
  <c r="AB64" i="1"/>
  <c r="AB63" i="1"/>
  <c r="AB60" i="1"/>
  <c r="X60" i="1"/>
  <c r="H60" i="1" s="1"/>
  <c r="Q60" i="1" s="1"/>
  <c r="U60" i="1" s="1"/>
  <c r="AB59" i="1"/>
  <c r="X59" i="1"/>
  <c r="H59" i="1" s="1"/>
  <c r="AB45" i="1"/>
  <c r="X45" i="1"/>
  <c r="H45" i="1" s="1"/>
  <c r="AB44" i="1"/>
  <c r="X44" i="1"/>
  <c r="H44" i="1" s="1"/>
  <c r="AB43" i="1"/>
  <c r="X43" i="1"/>
  <c r="H43" i="1" s="1"/>
  <c r="AB42" i="1"/>
  <c r="X42" i="1"/>
  <c r="H42" i="1" s="1"/>
  <c r="AB41" i="1"/>
  <c r="X41" i="1"/>
  <c r="H41" i="1" s="1"/>
  <c r="AB40" i="1"/>
  <c r="X40" i="1"/>
  <c r="H40" i="1" s="1"/>
  <c r="AB38" i="1"/>
  <c r="X38" i="1"/>
  <c r="H38" i="1" s="1"/>
  <c r="AB32" i="1"/>
  <c r="X32" i="1"/>
  <c r="H32" i="1" s="1"/>
  <c r="S22" i="1" s="1"/>
  <c r="S1279" i="1" s="1"/>
  <c r="S1020" i="15" s="1"/>
  <c r="S1025" i="15" s="1"/>
  <c r="S1026" i="15" s="1"/>
  <c r="AB28" i="1"/>
  <c r="X28" i="1"/>
  <c r="H28" i="1" s="1"/>
  <c r="AB27" i="1"/>
  <c r="X27" i="1"/>
  <c r="H27" i="1" s="1"/>
  <c r="AB26" i="1"/>
  <c r="X26" i="1"/>
  <c r="H26" i="1" s="1"/>
  <c r="AB24" i="1"/>
  <c r="X24" i="1"/>
  <c r="H24" i="1" s="1"/>
  <c r="AB23" i="1"/>
  <c r="X23" i="1"/>
  <c r="H23" i="1" s="1"/>
  <c r="Q23" i="1" s="1"/>
  <c r="N19" i="9" l="1"/>
  <c r="Q25" i="9"/>
  <c r="P24" i="9"/>
  <c r="O19" i="9"/>
  <c r="N18" i="9"/>
  <c r="N33" i="9"/>
  <c r="M32" i="9"/>
  <c r="M15" i="9"/>
  <c r="M14" i="9" s="1"/>
  <c r="AB17" i="9"/>
  <c r="K48" i="9"/>
  <c r="AB49" i="9"/>
  <c r="V49" i="9" s="1"/>
  <c r="V48" i="9" s="1"/>
  <c r="L48" i="9"/>
  <c r="J48" i="9"/>
  <c r="G16" i="9"/>
  <c r="H16" i="9"/>
  <c r="I16" i="9"/>
  <c r="F16" i="9"/>
  <c r="L32" i="9"/>
  <c r="K32" i="9"/>
  <c r="J28" i="9"/>
  <c r="I28" i="9"/>
  <c r="AB29" i="9"/>
  <c r="K28" i="9"/>
  <c r="L28" i="9"/>
  <c r="U23" i="1"/>
  <c r="Q288" i="1"/>
  <c r="U288" i="1" s="1"/>
  <c r="I1154" i="1"/>
  <c r="I242" i="1"/>
  <c r="I253" i="1"/>
  <c r="I1273" i="1"/>
  <c r="I745" i="1"/>
  <c r="Q451" i="1"/>
  <c r="U451" i="1" s="1"/>
  <c r="Q270" i="1"/>
  <c r="U270" i="1" s="1"/>
  <c r="C34" i="9" s="1"/>
  <c r="AB35" i="9" s="1"/>
  <c r="L35" i="9" s="1"/>
  <c r="M35" i="9" s="1"/>
  <c r="I451" i="1"/>
  <c r="I681" i="1"/>
  <c r="I288" i="1"/>
  <c r="I216" i="1"/>
  <c r="I1251" i="1"/>
  <c r="I1017" i="1"/>
  <c r="I1247" i="1"/>
  <c r="Q681" i="1"/>
  <c r="U681" i="1" s="1"/>
  <c r="Q745" i="1"/>
  <c r="U745" i="1" s="1"/>
  <c r="I40" i="1"/>
  <c r="I971" i="1"/>
  <c r="U971" i="1"/>
  <c r="I26" i="1"/>
  <c r="I38" i="1"/>
  <c r="I43" i="1"/>
  <c r="I60" i="1"/>
  <c r="I73" i="1"/>
  <c r="I936" i="1"/>
  <c r="U936" i="1"/>
  <c r="Q1017" i="1"/>
  <c r="U1017" i="1" s="1"/>
  <c r="I27" i="1"/>
  <c r="I657" i="1"/>
  <c r="U657" i="1"/>
  <c r="I42" i="1"/>
  <c r="I72" i="1"/>
  <c r="I583" i="1"/>
  <c r="U583" i="1"/>
  <c r="I1062" i="1"/>
  <c r="U1062" i="1"/>
  <c r="Q1247" i="1"/>
  <c r="U1247" i="1" s="1"/>
  <c r="C44" i="9" s="1"/>
  <c r="I44" i="1"/>
  <c r="I980" i="1"/>
  <c r="U980" i="1"/>
  <c r="I24" i="1"/>
  <c r="I59" i="1"/>
  <c r="I972" i="1"/>
  <c r="U972" i="1"/>
  <c r="I28" i="1"/>
  <c r="I45" i="1"/>
  <c r="I580" i="1"/>
  <c r="U580" i="1"/>
  <c r="I1052" i="1"/>
  <c r="U1052" i="1"/>
  <c r="I74" i="1"/>
  <c r="I582" i="1"/>
  <c r="U582" i="1"/>
  <c r="I32" i="1"/>
  <c r="U32" i="1"/>
  <c r="I23" i="1"/>
  <c r="I41" i="1"/>
  <c r="I655" i="1"/>
  <c r="Q1251" i="1"/>
  <c r="U1251" i="1" s="1"/>
  <c r="C46" i="9" s="1"/>
  <c r="Q216" i="1"/>
  <c r="U216" i="1" s="1"/>
  <c r="C22" i="9" s="1"/>
  <c r="X846" i="1"/>
  <c r="H846" i="1" s="1"/>
  <c r="H833" i="1"/>
  <c r="X844" i="1"/>
  <c r="H832" i="1"/>
  <c r="N35" i="9" l="1"/>
  <c r="M34" i="9"/>
  <c r="N32" i="9"/>
  <c r="O33" i="9"/>
  <c r="Q24" i="9"/>
  <c r="R25" i="9"/>
  <c r="P19" i="9"/>
  <c r="O18" i="9"/>
  <c r="N15" i="9"/>
  <c r="X16" i="9"/>
  <c r="Z16" i="9" s="1"/>
  <c r="W49" i="9"/>
  <c r="AB47" i="9"/>
  <c r="U47" i="9" s="1"/>
  <c r="U46" i="9" s="1"/>
  <c r="J46" i="9"/>
  <c r="L46" i="9"/>
  <c r="K46" i="9"/>
  <c r="K34" i="9"/>
  <c r="J34" i="9"/>
  <c r="L34" i="9"/>
  <c r="AB23" i="9"/>
  <c r="Q23" i="9" s="1"/>
  <c r="K22" i="9"/>
  <c r="I22" i="9"/>
  <c r="L22" i="9"/>
  <c r="J22" i="9"/>
  <c r="L44" i="9"/>
  <c r="K44" i="9"/>
  <c r="AB45" i="9"/>
  <c r="U45" i="9" s="1"/>
  <c r="X28" i="9"/>
  <c r="Z28" i="9" s="1"/>
  <c r="Q646" i="1"/>
  <c r="U646" i="1" s="1"/>
  <c r="U655" i="1"/>
  <c r="Q1048" i="1"/>
  <c r="U1048" i="1" s="1"/>
  <c r="Q22" i="1"/>
  <c r="U22" i="1" s="1"/>
  <c r="C8" i="9" s="1"/>
  <c r="I646" i="1"/>
  <c r="I35" i="1"/>
  <c r="Q566" i="1"/>
  <c r="U566" i="1" s="1"/>
  <c r="I566" i="1"/>
  <c r="I1048" i="1"/>
  <c r="I66" i="1"/>
  <c r="I22" i="1"/>
  <c r="I833" i="1"/>
  <c r="U833" i="1"/>
  <c r="I846" i="1"/>
  <c r="U846" i="1"/>
  <c r="I832" i="1"/>
  <c r="U832" i="1"/>
  <c r="Q35" i="1"/>
  <c r="U35" i="1" s="1"/>
  <c r="C10" i="9" s="1"/>
  <c r="X857" i="1"/>
  <c r="H844" i="1"/>
  <c r="Z20" i="9"/>
  <c r="Z30" i="9"/>
  <c r="Z36" i="9"/>
  <c r="Z40" i="9"/>
  <c r="Z42" i="9"/>
  <c r="W48" i="9" l="1"/>
  <c r="X48" i="9" s="1"/>
  <c r="Z48" i="9" s="1"/>
  <c r="O35" i="9"/>
  <c r="N34" i="9"/>
  <c r="V45" i="9"/>
  <c r="U44" i="9"/>
  <c r="S25" i="9"/>
  <c r="R24" i="9"/>
  <c r="Q19" i="9"/>
  <c r="P18" i="9"/>
  <c r="O15" i="9"/>
  <c r="O14" i="9" s="1"/>
  <c r="N14" i="9"/>
  <c r="O32" i="9"/>
  <c r="P33" i="9"/>
  <c r="R23" i="9"/>
  <c r="Q22" i="9"/>
  <c r="K8" i="9"/>
  <c r="H8" i="9"/>
  <c r="E8" i="9"/>
  <c r="J8" i="9"/>
  <c r="I8" i="9"/>
  <c r="AB9" i="9"/>
  <c r="M9" i="9" s="1"/>
  <c r="G8" i="9"/>
  <c r="D8" i="9"/>
  <c r="L8" i="9"/>
  <c r="F8" i="9"/>
  <c r="V47" i="9"/>
  <c r="V46" i="9" s="1"/>
  <c r="AB11" i="9"/>
  <c r="E10" i="9"/>
  <c r="D10" i="9"/>
  <c r="X37" i="9"/>
  <c r="X43" i="9"/>
  <c r="X17" i="9"/>
  <c r="AC17" i="9" s="1"/>
  <c r="X21" i="9"/>
  <c r="AC21" i="9" s="1"/>
  <c r="X31" i="9"/>
  <c r="AC31" i="9" s="1"/>
  <c r="X41" i="9"/>
  <c r="I844" i="1"/>
  <c r="U844" i="1"/>
  <c r="H857" i="1"/>
  <c r="X869" i="1"/>
  <c r="O34" i="9" l="1"/>
  <c r="P35" i="9"/>
  <c r="P32" i="9"/>
  <c r="Q33" i="9"/>
  <c r="S24" i="9"/>
  <c r="T25" i="9"/>
  <c r="X14" i="9"/>
  <c r="Z14" i="9" s="1"/>
  <c r="R19" i="9"/>
  <c r="R18" i="9" s="1"/>
  <c r="Q18" i="9"/>
  <c r="W45" i="9"/>
  <c r="W44" i="9" s="1"/>
  <c r="V44" i="9"/>
  <c r="N9" i="9"/>
  <c r="M8" i="9"/>
  <c r="S23" i="9"/>
  <c r="S22" i="9" s="1"/>
  <c r="R22" i="9"/>
  <c r="AA43" i="9"/>
  <c r="AC43" i="9"/>
  <c r="M11" i="9"/>
  <c r="M10" i="9" s="1"/>
  <c r="AA41" i="9"/>
  <c r="AC41" i="9"/>
  <c r="AA37" i="9"/>
  <c r="AC37" i="9"/>
  <c r="W47" i="9"/>
  <c r="X29" i="9"/>
  <c r="X49" i="9"/>
  <c r="I857" i="1"/>
  <c r="U857" i="1"/>
  <c r="Z37" i="9"/>
  <c r="Z41" i="9"/>
  <c r="Z43" i="9"/>
  <c r="AA21" i="9"/>
  <c r="Z21" i="9"/>
  <c r="AA17" i="9"/>
  <c r="Z17" i="9"/>
  <c r="AA31" i="9"/>
  <c r="Z31" i="9"/>
  <c r="X882" i="1"/>
  <c r="H869" i="1"/>
  <c r="N11" i="9" l="1"/>
  <c r="X45" i="9"/>
  <c r="AA45" i="9" s="1"/>
  <c r="X22" i="9"/>
  <c r="Z22" i="9" s="1"/>
  <c r="X19" i="9"/>
  <c r="AC19" i="9" s="1"/>
  <c r="Z29" i="9"/>
  <c r="AC29" i="9"/>
  <c r="W46" i="9"/>
  <c r="X46" i="9" s="1"/>
  <c r="Z46" i="9" s="1"/>
  <c r="Q35" i="9"/>
  <c r="P34" i="9"/>
  <c r="O9" i="9"/>
  <c r="N8" i="9"/>
  <c r="AA19" i="9"/>
  <c r="O11" i="9"/>
  <c r="O10" i="9" s="1"/>
  <c r="N10" i="9"/>
  <c r="R33" i="9"/>
  <c r="Q32" i="9"/>
  <c r="T24" i="9"/>
  <c r="X24" i="9" s="1"/>
  <c r="Z24" i="9" s="1"/>
  <c r="X25" i="9"/>
  <c r="X18" i="9"/>
  <c r="Z18" i="9" s="1"/>
  <c r="X23" i="9"/>
  <c r="AC23" i="9" s="1"/>
  <c r="X44" i="9"/>
  <c r="Z44" i="9" s="1"/>
  <c r="Z49" i="9"/>
  <c r="AC49" i="9"/>
  <c r="AC45" i="9"/>
  <c r="X47" i="9"/>
  <c r="AC47" i="9" s="1"/>
  <c r="X15" i="9"/>
  <c r="AA29" i="9"/>
  <c r="Z45" i="9"/>
  <c r="AA49" i="9"/>
  <c r="I869" i="1"/>
  <c r="U869" i="1"/>
  <c r="H882" i="1"/>
  <c r="X897" i="1"/>
  <c r="Z19" i="9" l="1"/>
  <c r="X10" i="9"/>
  <c r="Z10" i="9" s="1"/>
  <c r="R35" i="9"/>
  <c r="Q34" i="9"/>
  <c r="R32" i="9"/>
  <c r="S33" i="9"/>
  <c r="P9" i="9"/>
  <c r="O8" i="9"/>
  <c r="AC25" i="9"/>
  <c r="Z25" i="9"/>
  <c r="AA25" i="9"/>
  <c r="X11" i="9"/>
  <c r="AC11" i="9" s="1"/>
  <c r="Z23" i="9"/>
  <c r="AA23" i="9"/>
  <c r="AA15" i="9"/>
  <c r="AC15" i="9"/>
  <c r="AA47" i="9"/>
  <c r="Z47" i="9"/>
  <c r="Z15" i="9"/>
  <c r="I882" i="1"/>
  <c r="U882" i="1"/>
  <c r="H897" i="1"/>
  <c r="X912" i="1"/>
  <c r="AA11" i="9" l="1"/>
  <c r="Z11" i="9"/>
  <c r="S35" i="9"/>
  <c r="R34" i="9"/>
  <c r="Q9" i="9"/>
  <c r="P8" i="9"/>
  <c r="T33" i="9"/>
  <c r="T32" i="9" s="1"/>
  <c r="S32" i="9"/>
  <c r="X33" i="9"/>
  <c r="I897" i="1"/>
  <c r="U897" i="1"/>
  <c r="H912" i="1"/>
  <c r="X924" i="1"/>
  <c r="H924" i="1" s="1"/>
  <c r="X32" i="9" l="1"/>
  <c r="Z32" i="9" s="1"/>
  <c r="T35" i="9"/>
  <c r="S34" i="9"/>
  <c r="Z33" i="9"/>
  <c r="AA33" i="9"/>
  <c r="AC33" i="9"/>
  <c r="R9" i="9"/>
  <c r="Q8" i="9"/>
  <c r="I912" i="1"/>
  <c r="U912" i="1"/>
  <c r="I924" i="1"/>
  <c r="U924" i="1"/>
  <c r="T34" i="9" l="1"/>
  <c r="X34" i="9" s="1"/>
  <c r="Z34" i="9" s="1"/>
  <c r="X35" i="9"/>
  <c r="S9" i="9"/>
  <c r="R8" i="9"/>
  <c r="I806" i="1"/>
  <c r="Q806" i="1"/>
  <c r="AC35" i="9" l="1"/>
  <c r="Z35" i="9"/>
  <c r="AA35" i="9"/>
  <c r="T9" i="9"/>
  <c r="S8" i="9"/>
  <c r="Q488" i="1"/>
  <c r="U806" i="1"/>
  <c r="I488" i="1"/>
  <c r="U9" i="9" l="1"/>
  <c r="T8" i="9"/>
  <c r="Q287" i="1"/>
  <c r="U287" i="1" s="1"/>
  <c r="C38" i="9" s="1"/>
  <c r="AB39" i="9" s="1"/>
  <c r="L39" i="9" s="1"/>
  <c r="M39" i="9" s="1"/>
  <c r="M38" i="9" s="1"/>
  <c r="U488" i="1"/>
  <c r="I287" i="1"/>
  <c r="V9" i="9" l="1"/>
  <c r="U8" i="9"/>
  <c r="I38" i="9"/>
  <c r="G38" i="9"/>
  <c r="N39" i="9"/>
  <c r="K38" i="9"/>
  <c r="H38" i="9"/>
  <c r="E38" i="9"/>
  <c r="J38" i="9"/>
  <c r="L38" i="9"/>
  <c r="H25" i="15"/>
  <c r="H57" i="1"/>
  <c r="Q53" i="1" s="1"/>
  <c r="U53" i="1" s="1"/>
  <c r="G10" i="4"/>
  <c r="G11" i="4" s="1"/>
  <c r="W9" i="9" l="1"/>
  <c r="V8" i="9"/>
  <c r="O39" i="9"/>
  <c r="N38" i="9"/>
  <c r="K50" i="9"/>
  <c r="K58" i="9" s="1"/>
  <c r="J50" i="9"/>
  <c r="J58" i="9" s="1"/>
  <c r="L50" i="9"/>
  <c r="L58" i="9" s="1"/>
  <c r="G50" i="9"/>
  <c r="G58" i="9" s="1"/>
  <c r="I50" i="9"/>
  <c r="H50" i="9"/>
  <c r="H58" i="9" s="1"/>
  <c r="Q25" i="15"/>
  <c r="Q21" i="15" s="1"/>
  <c r="U21" i="15" s="1"/>
  <c r="C12" i="9" s="1"/>
  <c r="I25" i="15"/>
  <c r="AC25" i="15"/>
  <c r="AC1009" i="15" s="1"/>
  <c r="I57" i="1"/>
  <c r="X25" i="15"/>
  <c r="X57" i="1"/>
  <c r="I58" i="9" l="1"/>
  <c r="W8" i="9"/>
  <c r="X8" i="9" s="1"/>
  <c r="X9" i="9"/>
  <c r="P39" i="9"/>
  <c r="O38" i="9"/>
  <c r="O50" i="9"/>
  <c r="O58" i="9" s="1"/>
  <c r="E12" i="9"/>
  <c r="D12" i="9"/>
  <c r="AB13" i="9"/>
  <c r="M13" i="9" s="1"/>
  <c r="F12" i="9"/>
  <c r="Q1015" i="15"/>
  <c r="U1015" i="15" s="1"/>
  <c r="U25" i="15"/>
  <c r="I21" i="15"/>
  <c r="C50" i="9" s="1"/>
  <c r="I53" i="1"/>
  <c r="I1279" i="1" s="1"/>
  <c r="AC1010" i="15"/>
  <c r="I1010" i="15"/>
  <c r="Q1279" i="1"/>
  <c r="AA9" i="9" l="1"/>
  <c r="AC9" i="9"/>
  <c r="Z9" i="9"/>
  <c r="N13" i="9"/>
  <c r="M12" i="9"/>
  <c r="P38" i="9"/>
  <c r="P50" i="9"/>
  <c r="Q39" i="9"/>
  <c r="U1288" i="1"/>
  <c r="U1279" i="1"/>
  <c r="Q1020" i="15"/>
  <c r="U1020" i="15" s="1"/>
  <c r="X1011" i="15"/>
  <c r="X1010" i="15" s="1"/>
  <c r="AD1010" i="15" s="1"/>
  <c r="I1011" i="15"/>
  <c r="I1014" i="15" s="1"/>
  <c r="I1013" i="15"/>
  <c r="I1277" i="1"/>
  <c r="Z1285" i="1"/>
  <c r="Z1286" i="1" s="1"/>
  <c r="X22" i="1"/>
  <c r="N50" i="9" l="1"/>
  <c r="N58" i="9" s="1"/>
  <c r="N12" i="9"/>
  <c r="X12" i="9" s="1"/>
  <c r="Z12" i="9" s="1"/>
  <c r="Q38" i="9"/>
  <c r="Q50" i="9"/>
  <c r="R39" i="9"/>
  <c r="D58" i="9"/>
  <c r="C57" i="9"/>
  <c r="Q1025" i="15"/>
  <c r="E58" i="9"/>
  <c r="F50" i="9"/>
  <c r="F58" i="9" s="1"/>
  <c r="I1286" i="1"/>
  <c r="I1015" i="15"/>
  <c r="I1285" i="1"/>
  <c r="AD1009" i="15"/>
  <c r="I1284" i="1"/>
  <c r="R38" i="9" l="1"/>
  <c r="R50" i="9"/>
  <c r="S39" i="9"/>
  <c r="X13" i="9"/>
  <c r="AC13" i="9" s="1"/>
  <c r="D51" i="9"/>
  <c r="E51" i="9" s="1"/>
  <c r="F51" i="9" s="1"/>
  <c r="G51" i="9" s="1"/>
  <c r="H51" i="9" s="1"/>
  <c r="I51" i="9" s="1"/>
  <c r="J51" i="9" s="1"/>
  <c r="K51" i="9" s="1"/>
  <c r="L51" i="9" s="1"/>
  <c r="U1025" i="15"/>
  <c r="O1033" i="15" s="1"/>
  <c r="Q1026" i="15"/>
  <c r="S38" i="9" l="1"/>
  <c r="S50" i="9"/>
  <c r="T39" i="9"/>
  <c r="AA13" i="9"/>
  <c r="Z13" i="9"/>
  <c r="X27" i="9"/>
  <c r="AC27" i="9" s="1"/>
  <c r="X26" i="9"/>
  <c r="Z26" i="9" s="1"/>
  <c r="T38" i="9" l="1"/>
  <c r="U39" i="9"/>
  <c r="T50" i="9"/>
  <c r="Z27" i="9"/>
  <c r="AA27" i="9"/>
  <c r="M50" i="9"/>
  <c r="U38" i="9" l="1"/>
  <c r="U50" i="9"/>
  <c r="V39" i="9"/>
  <c r="M51" i="9"/>
  <c r="N51" i="9" s="1"/>
  <c r="O51" i="9" s="1"/>
  <c r="M58" i="9"/>
  <c r="X58" i="9" s="1"/>
  <c r="V38" i="9" l="1"/>
  <c r="V50" i="9"/>
  <c r="W39" i="9"/>
  <c r="P51" i="9"/>
  <c r="Q51" i="9" s="1"/>
  <c r="R51" i="9" s="1"/>
  <c r="S51" i="9" s="1"/>
  <c r="T51" i="9" s="1"/>
  <c r="U51" i="9" s="1"/>
  <c r="O57" i="9"/>
  <c r="X39" i="9" l="1"/>
  <c r="AC39" i="9" s="1"/>
  <c r="W38" i="9"/>
  <c r="X38" i="9" s="1"/>
  <c r="Z38" i="9" s="1"/>
  <c r="V51" i="9"/>
  <c r="AA39" i="9" l="1"/>
  <c r="Z39" i="9"/>
  <c r="X50" i="9"/>
  <c r="Z51" i="9" s="1"/>
  <c r="W51" i="9"/>
  <c r="X54" i="9" s="1"/>
  <c r="Z50" i="9" l="1"/>
  <c r="X51" i="9"/>
</calcChain>
</file>

<file path=xl/sharedStrings.xml><?xml version="1.0" encoding="utf-8"?>
<sst xmlns="http://schemas.openxmlformats.org/spreadsheetml/2006/main" count="17761" uniqueCount="4195">
  <si>
    <t>ITEM</t>
  </si>
  <si>
    <t>CÓDIGO</t>
  </si>
  <si>
    <t>DESCRIÇÃO</t>
  </si>
  <si>
    <t>FONTE</t>
  </si>
  <si>
    <t>UNID</t>
  </si>
  <si>
    <t>PREÇO UNITÁRIO R$</t>
  </si>
  <si>
    <t>PREÇO
TOTAL R$</t>
  </si>
  <si>
    <t>SEM BDI</t>
  </si>
  <si>
    <t>BDI</t>
  </si>
  <si>
    <t>COM BDI</t>
  </si>
  <si>
    <t>ADMINISTRAÇÃO LOCAL</t>
  </si>
  <si>
    <t>ENGENHEIRO CIVIL DE SEGURANÇA DO TRABALHO JUNIOR COM ENCARGOS COMPLEMENTARES PARA EXECUÇÃO DE PCMAT E PCSMO</t>
  </si>
  <si>
    <t>SINAPI</t>
  </si>
  <si>
    <t>MES</t>
  </si>
  <si>
    <t>ENGENHEIRO CIVIL DE OBRA JUNIOR COM ENCARGOS COMPLEMENTARES</t>
  </si>
  <si>
    <t>ART DE EXECUÇÃO - TERESINA / CREA-PI</t>
  </si>
  <si>
    <t>PROPRIA</t>
  </si>
  <si>
    <t>UN</t>
  </si>
  <si>
    <t>ENGENHEIRO ELETRICISTA COM ENCARGOS COMPLEMENTARES</t>
  </si>
  <si>
    <t>H</t>
  </si>
  <si>
    <t>MESTRE DE OBRAS COM ENCARGOS COMPLEMENTARES</t>
  </si>
  <si>
    <t>APONTADOR OU APROPRIADOR COM ENCARGOS COMPLEMENTARES</t>
  </si>
  <si>
    <t>VIGIA NOTURNO COM ENCARGOS COMPLEMENTARES</t>
  </si>
  <si>
    <t>INSTALAÇÃO DO CANTEIRO</t>
  </si>
  <si>
    <t>CANTEIRO DE OBRAS</t>
  </si>
  <si>
    <t>PLACA DE OBRA EM CHAPA DE ACO GALVANIZADO</t>
  </si>
  <si>
    <t>M2</t>
  </si>
  <si>
    <t>SCO</t>
  </si>
  <si>
    <t>LOCAÇÃO DE OBRAS</t>
  </si>
  <si>
    <t>LOCACAO CONVENCIONAL DE OBRA, ATRAVÉS DE GABARITO DE TABUAS CORRIDAS PONTALETADAS A CADA 1,50M, SEM REAPROVEITAMENTO</t>
  </si>
  <si>
    <t>MOVIMENTO DE TERRA</t>
  </si>
  <si>
    <t>LIMPEZA E PREPARO DA ÁREA</t>
  </si>
  <si>
    <t>DESMATAMENTO E LIMPEZA MECANIZADA DE TERRENO COM REMOCAO DE CAMADA VEGETAL, UTILIZANDO TRATOR DE ESTEIRAS</t>
  </si>
  <si>
    <t>ESCAVAÇÕES</t>
  </si>
  <si>
    <t>ESCAVACAO MECANICA CAMPO ABERTO EM SOLO EXCETO ROCHA ATE 2,00M PROFUNDIDADE</t>
  </si>
  <si>
    <t>M3</t>
  </si>
  <si>
    <t>ATERRO COMPACTADO</t>
  </si>
  <si>
    <t>BOTA-FORA</t>
  </si>
  <si>
    <t>CARGA, MANOBRAS E DESCARGA DE MATERIAIS DIVERSOS, COM CAMINHAO BASCULANTE 6M3 (CARGA E DESCARGA MANUAIS)</t>
  </si>
  <si>
    <t>ESPALHAMENTO DE MATERIAL EM BOTA FORA, COM UTILIZACAO DE TRATOR DE ESTEIRAS DE 165 HP</t>
  </si>
  <si>
    <t>INFRAESTRUTURA</t>
  </si>
  <si>
    <t>FUNDAÇÕES DIRETAS</t>
  </si>
  <si>
    <t>LASTRO DE CONCRETO, ESPESSURA (5CM), PREPARO MECANICO, INCLUSO ADITIVO IMPERMEABILIZANTE</t>
  </si>
  <si>
    <t>FORMA TABUA P/CONCRETO EM FUNDAÇÃO S/REAPROVEITAMENTO</t>
  </si>
  <si>
    <t>ORSE</t>
  </si>
  <si>
    <t>KG</t>
  </si>
  <si>
    <t>74157/004</t>
  </si>
  <si>
    <t>LANCAMENTO/APLICACAO MANUAL DE CONCRETO EM FUNDACOES</t>
  </si>
  <si>
    <t>CINTAS E BALDRAMES</t>
  </si>
  <si>
    <t>LASTRO DE CONCRETO, PREPARO MECÂNICO, INCLUSOS ADITIVO IMPERMEABILIZANTE, LANÇAMENTO E ADENSAMENTO</t>
  </si>
  <si>
    <t>CISTERNAS</t>
  </si>
  <si>
    <t>PAREDES E PAINÉIS</t>
  </si>
  <si>
    <t>M</t>
  </si>
  <si>
    <t>CONTRAMARCO DE ALUMÍNIO, FIXAÇÃO COM PARAFUSO</t>
  </si>
  <si>
    <t>COBOGO DE CONCRETO (ELEMENTO VAZADO), 7X50X50CM, ASSENTADO COM ARGAMASSA TRACO 1:3 (CIMENTO E AREIA)</t>
  </si>
  <si>
    <t>BLOCOS DE VIDRO TIPO XADREZ 20X20X10CM, ASSENTADO COM ARGAMASSA TRACO 1:3 (CIMENTO E AREIA GROSSA) PREPARO MECANICO, COM REJUNTAMENTO EM CIMENTO BRANCO E BARRAS DE ACO</t>
  </si>
  <si>
    <t>SUPERESTRUTURA</t>
  </si>
  <si>
    <t>ESTRUTURAS DE CONCRETO</t>
  </si>
  <si>
    <t>PILARES</t>
  </si>
  <si>
    <t>VIGAS</t>
  </si>
  <si>
    <t>LAJES</t>
  </si>
  <si>
    <t>ARMACAO EM TELA DE ACO SOLDADA NERVURADA Q-92, ACO CA-60, 4,2MM, MALHA15X15CM PARA LAJE TRELIÇADA, COMO ARMAÇÃO NEGATIVA.</t>
  </si>
  <si>
    <t>ESCADAS</t>
  </si>
  <si>
    <t>CAIXAS D'ÁGUA</t>
  </si>
  <si>
    <t>ESTRUTURAS METÁLICAS</t>
  </si>
  <si>
    <t>FACHADAS</t>
  </si>
  <si>
    <t>ESTRUTURA METÁLICA P/ BRISES, EM PERFIS U DOBRADO DE CHAPA UDC 100X50X3 MM (4.50 KG/M) COMPOSTA DE MONTANTES VERTICAIS CONSTITUÍDOS POR 02 PERFIS UDC SOLDADOS ESPAÇADOS DE 1,40M, 02 PERFIS UDC SIMPLES DISTANCIADOS 1,70M, DENSIDADE DE UDC ATÉ 40KG/M2</t>
  </si>
  <si>
    <t>BRISE METÁLICO FIXO E LINEAR EM CHAPA MICROPERFURADA ALUMÍNIO PRÉ-PINTADA. FORNECIMENTO E INSTALAÇÃO.</t>
  </si>
  <si>
    <t>M²</t>
  </si>
  <si>
    <t>MARQUISES</t>
  </si>
  <si>
    <t>SEINFRA</t>
  </si>
  <si>
    <t>ESQUADRIAS DE MADEIRA</t>
  </si>
  <si>
    <t>PORTA DE MADEIRA FRISADA, SEMI-OCA (LEVE OU MÉDIA), PADRÃO MÉDIO, 80X210CM, ESPESSURA DE 3,5CM, ITENS INCLUSOS: DOBRADIÇAS, MONTAGEM E INSTALAÇÃO DO BATENTE, FECHADURA COM EXECUÇÃO DO FURO E ACABAMENTO EM MELAMINA COR CARVALHO- FORNECIMENTO E INSTALAÇÃO. (C01)</t>
  </si>
  <si>
    <t>PORTA DE MADEIRA FRISADA, SEMI-OCA (LEVE OU MÉDIA), PADRÃO MÉDIO, 80X210CM, ESPESSURA DE 3,5CM, ITENS INCLUSOS: DOBRADIÇAS, MONTAGEM E INSTALAÇÃO DO BATENTE, FECHADURA COM EXECUÇÃO DO FURO E ACABAMENTO MELAMÍNICO, COM CHAPA DE AÇO INOX NA BASE DA PORTA - FORNECIMENTO E INSTALAÇÃO. (C02)</t>
  </si>
  <si>
    <t>ESQUADRIAS METÁLICAS</t>
  </si>
  <si>
    <t>PORTAS</t>
  </si>
  <si>
    <t>PORTA DE ALUMÍNIO ANODIZADO DE ABRIR DE 1,60X2,10M COM DUAS FOLHAS NA COR BRANCA, COM GUARNIÇÃO E VIDRO TRANSPARENTE, FIXAÇÃO COM PARAFUSOS - FORNECIMENTO E INSTALAÇÃO. (C03)</t>
  </si>
  <si>
    <t>PORTA CORTA-FOGO 100X210X4CM - FORNECIMENTO E INSTALAÇÃO. (C04)</t>
  </si>
  <si>
    <t>PORTA DE ABRIR, DUAS FOLHAS E DIMENSÃO 1,72X2,12M. COM PUXADOR ANTIPÂNICO ROSETA INOX, ASSENTADA EM ALVENARIA.(C05)</t>
  </si>
  <si>
    <t>PORTA DE ABRIR, DUAS FOLHAS E DIMENSÃO 1,80X2,60M. COM PUXADOR ANTI-PÂNICO ROSETA INOX, ASSENTADA EM ALVENARIA.(C06)</t>
  </si>
  <si>
    <t>PORTA DE ABRIR, DUAS FOLHAS E DIMENSÃO 1,50X2,10M. COM PUXADOR ANTI-PÂNICO ROSETA INOX, ASSENTADA EM ALVENARIA.(C08)</t>
  </si>
  <si>
    <t>PORTA DE ALUMÍNIO, NA COR BRANCO COM PUXADOR DO TIPO ALAVANCA INOX, ROSETA INOX E FERRAGENS CROMADAS, DE ABRIR UMA FOLHA, DIMENSÃO: 0,90X2,10M (C09)</t>
  </si>
  <si>
    <t>JANELAS</t>
  </si>
  <si>
    <t>JANELA BASCULANTE EM ALUMÍNIO ANODIZADO COM VEDAÇÃO EM VIDRO TRANSPARENTE (REF. JC1,JC6,GJ6,GJ7,JC3,JC11,JC10,JC13)</t>
  </si>
  <si>
    <t>ESQUADRIAS DE VIDRO</t>
  </si>
  <si>
    <t>CORTINA DE VIDRO COM BASCULANTE E VEDAÇÃO COM VIDRO FUMÊ (REF.JC4, JC5, JC15, JC16, JC14)</t>
  </si>
  <si>
    <t>DIVISÓRIA EM ALUMÍNIO ANODIZADO NA COR BRANCA COM VEDAÇÃO EM VIDRO JATEADO (REF. JC9, JC26, JC27)</t>
  </si>
  <si>
    <t xml:space="preserve">VITRINE EM ALUMÍNIO NA COR BRANCA E VIDRO DUPLO ACÚSTICO TRANSPARENTE SOBRE CONTRAMARCO. FORNECIMENTO E INSTALAÇÃO (REF. JC2) </t>
  </si>
  <si>
    <t>VITRINE EM ALUMÍNIO NA COR BRANCA E VIDRO TEMPERADO DE 6MM TRANSPARENTE SOBRE CONTRAMARCO(INCLUSIVE). FORNECIMENTO E INSTALAÇÃO (REF.JC7)</t>
  </si>
  <si>
    <t>SBC</t>
  </si>
  <si>
    <t>VIDROS</t>
  </si>
  <si>
    <t>ESPELHO CRISTAL ESPESSURA 4MM, COM MOLDURA EM ALUMINIO E COMPENSADO 6MM PLASTIFICADO COLADO</t>
  </si>
  <si>
    <t>COBERTURAS E PROTEÇÕES</t>
  </si>
  <si>
    <t>CHAPIM DE CONCRETO APARENTE COM ACABAMENTO DESEMPENADO, FORMA DE COMPENSADO PLASTIFICADO (MADEIRIT) DE 14 X 10 CM, FUNDIDO NO LOCAL.</t>
  </si>
  <si>
    <t>CALHA EM CONCRETO SIMPLES, EM MEIA CANA, DIAMETRO 400 MM</t>
  </si>
  <si>
    <t>RUFO CHAPA ZINCADA COM ARREMATES ARGAMASSA</t>
  </si>
  <si>
    <t>FORROS</t>
  </si>
  <si>
    <t>ESTRUTURA METÁLICA GALVANIZADA, REVESTIDA POR PLACAS DE ACM (ALUMÍNIO COMPOSTO) RECORTADO, E=0,3MM, NA COR COBRE, 1,00 NX 1,00M, FIXAÇÃO DA ESTRUTURA METÁLICA SEM AVANÇO NA EST. ESPACIAL EXISTENTE NO LOCAL POR PARAFUSOS. - FORNECIMENTO E MONTAGEM</t>
  </si>
  <si>
    <t>REVESTIMENTOS</t>
  </si>
  <si>
    <t>REVESTIMENTO CERÂMICO PARA PAREDES INTERNAS COM PLACAS TIPO ESMALTADA EXTRA DE BRANCO MATE 15X15 CM APLICADAS EM AMBIENTES DE ÁREA MAIOR QUE 5 M² NA ALTURA INTEIRA DAS PAREDES.</t>
  </si>
  <si>
    <t>REVESTIMENTO CERÂMICO PARA PAREDES INTERNAS COM PLACAS TIPO ESMALTADA EXTRA DE DIMENSÕES 30X60 CM APLICADAS EM AMBIENTES DE ÁREA MAIOR QUE 5 M² NA ALTURA INTEIRA DAS PAREDES.</t>
  </si>
  <si>
    <t>REVESTIMENTO CERÂMICO PARA PAREDES INTERNAS COM PLACAS TIPO GRÊS OU SEMI-GRÊS-30X60 CM APLICADAS EM AMBIENTES DE ÁREA MAIOR QUE 10 M² NA ALTURA INTEIRA DAS PAREDES.</t>
  </si>
  <si>
    <t>FORNECIMENTO E INSTALAÇÃO DE FACHADA VENTILADA EM PLACAS DE GRÊS PORCELÂNICO EXTRUDADO (E=16MM), FIXADO COM SUBESTRUTURA DE ALUMÍNIO, DA TEMPIO, REF.: GRIS GR02-02</t>
  </si>
  <si>
    <t>CERÂMICA ESMALTADA C/ ARG. PRÉ-FABRICADA ATÉ 25X25CM - DECORATIVA - P/ PAREDE</t>
  </si>
  <si>
    <t>REVESTIMENTO COM PLACA MDF 6MM REVESTIDO COM LAMINADO MELAMINICO E FITA DE BORDO - ACABAMENTO: LINHO</t>
  </si>
  <si>
    <t>REVESTIMENTO COM PLACA MDF 6MM REVESTIDO COM LAMINADO MELAMINICO E FITA DE BORDO. ACABAMENTO: TEKA PROVENCE</t>
  </si>
  <si>
    <t>REVESTIMENTO METÁLICO EM ALUMÍNIO COMPOSTO (ALUCOBOND), E=0,3MM, PINTURA KAYNAR 500 COMPOSTA POR SEIS CAMADAS, INCLUSIVE ESTRUTURA METÁLICA AUXILIAR EM PERFIL DE VIGA "U" DE 2" - FORNECIMENTO E MONTAGEM (MARQUISES)</t>
  </si>
  <si>
    <t>PEITORIL EM GRANITO BRANCO CEARÁ POLIDO, C/LARGURA = 25 CM, ESP = 2,5 CM</t>
  </si>
  <si>
    <t>PISOS</t>
  </si>
  <si>
    <t>CONTRAPISO EM ARGAMASSA TRAÇO 1:4 (CIMENTO E AREIA), PREPARO MANUAL, APLICADO EM ÁREAS SECAS SOBRE LAJE, ADERIDO, ESPESSURA 2CM.</t>
  </si>
  <si>
    <t>PAVIMENTAÇÕES</t>
  </si>
  <si>
    <t>REGULARIZACAO E COMPACTACAO DE SUBLEITO ATE 20 CM DE ESPESSURA</t>
  </si>
  <si>
    <t>PISO CIMENTADO E=1,5CM C/ARGAMASSA 1:3 CIMENTO AREIA ALISADO COLHER SOBRE BASE EXISTENTE E ARGAMASSA EM PREPARO MECANIZADO</t>
  </si>
  <si>
    <t>PISO DE CONCRETO FCK=13,5MPA ESP=7 CM, INCL. PREPARO DE CAIXA, MOLDADO "IN LOCO", ESTAMPADO COM DESENHO TIPO ASSENTAMENTO ROMANO, COR CONCRETO NATURAL PARA AS CALÇADAS INTERNAS E EXTERNAS.</t>
  </si>
  <si>
    <t>INSTALAÇÕES E APARELHOS</t>
  </si>
  <si>
    <t>INSTALAÇÕES HIDRÁULICAS E SANITÁRIAS</t>
  </si>
  <si>
    <t>ÁGUA FRIA</t>
  </si>
  <si>
    <t>TUBULAÇÕES E CONEXÕES DE  PVC RÍGIDO</t>
  </si>
  <si>
    <t>ADAPTADOR PVC P/ REGISTRO 32MM (1")</t>
  </si>
  <si>
    <t>ADAPTADOR PVC P/ REGISTRO 40MM (1 1/4")</t>
  </si>
  <si>
    <t>ADAPTADOR PVC P/ REGISTRO 60MM (2")</t>
  </si>
  <si>
    <t>CAIXA SIFONADA, COM TAMPA CEGA, DE 250X230X75MM</t>
  </si>
  <si>
    <t>RALO HEMISFÉRICO EM FERRO FUNDIDO TIPO ABACAXI, DN=150MM</t>
  </si>
  <si>
    <t>LUVA DE CORRER, PVC, SOLDÁVEL, DN 40MM, INSTALADO EM RAMAL DE DISTRIBUIÇÃO DE ÁGUA FORNECIMENTO E INSTALAÇÃO.</t>
  </si>
  <si>
    <t>APARELHOS E ACESSÓRIOS SANITÁRIOS</t>
  </si>
  <si>
    <t>VASO SANITÁRIO SIFONADO COM DESCARGA EMBUTIDA DE DUPLO ACIONAMENTO 6 OU 10 LITROS, LOUÇA BRANCA, INCLUSO ASSENTO SANITÁRIO DE PLÁSTICO COM TAMPA - FORNECIMENTO E INSTALAÇÃO.</t>
  </si>
  <si>
    <t>TOALHEIRO PLASTICO TIPO DISPENSER PARA PAPEL TOALHA INTERFOLHADO INCLUSO FIXAÇÃO.</t>
  </si>
  <si>
    <t>C1619</t>
  </si>
  <si>
    <t>LAVATÓRIO DE LOUÇA BRANCA S/COLUNA C/TORNEIRA E ACESSÓRIOS - DE CANTO</t>
  </si>
  <si>
    <t>SIFÃO DO TIPO GARRAFA EM METAL CROMADO 1 X 1.1/4" - FORNECIMENTO E INSTALAÇÃO</t>
  </si>
  <si>
    <t>DUCHA P/ WC METALICA (INSTALADO)</t>
  </si>
  <si>
    <t>BARRA DE APOIO RETA, EM ACO INOX POLIDO, COMPRIMENTO 80CM, DIAMETRO MINIMO 3CM</t>
  </si>
  <si>
    <t>BARRA DE APOIO RETA, EM ACO INOX POLIDO, COMPRIMENTO 40CM, DIAMETRO MINIMO 3CM</t>
  </si>
  <si>
    <t>REGISTRO DE PRESSÃO</t>
  </si>
  <si>
    <t>REGISTRO DE GAVETA</t>
  </si>
  <si>
    <t>EQUIPAMENTOS</t>
  </si>
  <si>
    <t>CHAVE DE BOIA AUTOMÁTICA SUPERIOR 10A/250V - FORNECIMENTO E INSTALACAO</t>
  </si>
  <si>
    <t>BOMBA CENTRÍFUGA P/ PRESSURIZAÇÃO/HIDRANTE 3,0 CV</t>
  </si>
  <si>
    <t>BOMBA CENTRÍFUGA P/ PRESSURIZAÇÃO/HIDRANTE 1,5 CV</t>
  </si>
  <si>
    <t>DRENAGEM DE ÁGUAS PLUVIAIS</t>
  </si>
  <si>
    <t>TUBULAÇÕES E CONEXÕES DE PVC</t>
  </si>
  <si>
    <t>ACESSÓRIOS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</si>
  <si>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</si>
  <si>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CAIXA DE AREIA 40X40X40CM EM ALVENARIA - EXECUÇÃO</t>
  </si>
  <si>
    <t>BOMBA SUBMERSA P/ POÇO DE DRENAGEM/ESTAÇÃO ELEVATÓRIA/REUSO 2,0 CV - TRIFÁSICA</t>
  </si>
  <si>
    <t>ESGOTOS SANITÁRIOS</t>
  </si>
  <si>
    <t>JUNÇÃO SIMPLES DE REDUÇÃO PVC P/ESGOTO 100X50MM (4"X2")-C/ANÉIS</t>
  </si>
  <si>
    <t>TE PVC REDUÇÃO ESGOTO DE 100X50MM</t>
  </si>
  <si>
    <t>TE, PVC, SERIE NORMAL, ESGOTO PREDIAL, DN 100 X 50 MM, JUNTA ELÁSTICA, FORNECIDO E INSTALADO EM PRUMADA DE ESGOTO SANITÁRIO OU VENTILAÇÃO.</t>
  </si>
  <si>
    <t>REDUÇÃO EXCENTRICA EM PVC RÍGIDO SOLDÁVEL, PARA ESGOTO, D=150X100MM</t>
  </si>
  <si>
    <t>REDUÇÃO EXCENTRICA EM PVC RÍGIDO SOLDÁVEL, PARA ESGOTO PRIMÁRIO, DIÂM =   75 X 50MM</t>
  </si>
  <si>
    <t>CAP (TAMPÃO) OU PLUG (BUJÃO) PVC P/ESGOTO D=100MM SOLD.</t>
  </si>
  <si>
    <t>CAP (TAMPÃO) OU PLUG (BUJÃO) PVC P/ESGOTO D=50MM-SOLD.</t>
  </si>
  <si>
    <t>CAIXA DE GORDURA DUPLA EM CONCRETO PRE-MOLDADO DN 60MM COM TAMPA - FORNECIMENTO E INSTALACAO</t>
  </si>
  <si>
    <t>VEDACAO PVC, 100 MM, PARA SAIDA VASO SANITARIO</t>
  </si>
  <si>
    <t>SERVIÇOS DIVERSOS</t>
  </si>
  <si>
    <t>CAIXAS DE PASSAGEM</t>
  </si>
  <si>
    <t>ASSENTAMENTO DE TUBO DE QUEDA</t>
  </si>
  <si>
    <t>CAIXA EM ALVENARIA (80X80X60CM) DE 1 TIJOLO COMUM, LASTRO DE CONCRETO E TAMPA DE CONCRETO</t>
  </si>
  <si>
    <t>CAIXA DE GORDURA EM PVC, DIAMETRO MINIMO 300 MM, DIAMETRO DE SAIDA 100 MM,CAPACIDADE APROXIMADA 18 LITROS, COM TAMPA</t>
  </si>
  <si>
    <t>CAIXA DE INSPECAO EM ANEL DE CONCRETO PRE MOLDADO, COM 950MM DE ALTURA TOTAL. ANEIS COM ESP=50MM, DIAM.=600MM. EXCLUSIVE TAMPAO E ESCAVACAO - FORNECIMENTO E INSTALACAO</t>
  </si>
  <si>
    <t>POCO DE VISITA PARA REDE DE ESG. SANIT., EM ANEIS DE CONCRETO, DIÂMETRO = 110CM, PROF = 170CM, EXCLUINDO TAMPAO FERRO FUNDIDO.</t>
  </si>
  <si>
    <t>CAIXA DE GORDURA/SABÃO EM ALVENARIA</t>
  </si>
  <si>
    <t>GRELHA DE FERRO P/ CALHAS E CAIXAS</t>
  </si>
  <si>
    <t>DRENOS DE CONDICIONADORES DE AR</t>
  </si>
  <si>
    <t>INSTALAÇÕES DE PREVENÇÃO E COMBATE A INCÊNDIO</t>
  </si>
  <si>
    <t>PREVENÇÃO E COMBATE A INCÊNDIO</t>
  </si>
  <si>
    <t>TUBULAÇÕES E CONEXÕES DE FERRO FUNDIDO</t>
  </si>
  <si>
    <t>TUBO DE AÇO GALVANIZADO COM COSTURA, CLASSE MÉDIA, CONEXÃO RANHURADA,DN 75 (3"), INSTALADO EM PRUMADAS - FORNECIMENTO E INSTALAÇÃO.</t>
  </si>
  <si>
    <t>TUBO DE AÇO GALVANIZADO COM COSTURA, CLASSE MÉDIA, CONEXÃO RANHURADA,DN 40 (1.1/2"), INSTALADO EM PRUMADAS - FORNECIMENTO E INSTALAÇÃO.</t>
  </si>
  <si>
    <t>TUBO DE AÇO GALVANIZADO COM COSTURA, CLASSE MÉDIA, CONEXÃO RANHURADA,DN 32 (1.1/4"), INSTALADO EM PRUMADAS - FORNECIMENTO E INSTALAÇÃO.</t>
  </si>
  <si>
    <t>TUBO DE AÇO GALVANIZADO COM COSTURA, CLASSE MÉDIA, CONEXÃO RANHURADA,DN 25 (1"), INSTALADO EM PRUMADAS - FORNECIMENTO E INSTALAÇÃO.</t>
  </si>
  <si>
    <t>TUBO DE AÇO GALVANIZADO COM COSTURA, CLASSE MÉDIA, CONEXÃO RANHURADA,DN 100 (4"), INSTALADO EM PRUMADAS - FORNECIMENTO E INSTALAÇÃO.</t>
  </si>
  <si>
    <t>COTOVELO 90 GRAUS, EM FERRO GALVANIZADO, CONEXÃO ROSQUEADA, DN 25 (1"), INSTALADO EM RESERVAÇÃO DE ÁGUA DE EDIFICAÇÃO QUE POSSUA RESERVATÓRIO DE FIBRA/FIBROCIMENTO FORNECIMENTO E INSTALAÇÃO.</t>
  </si>
  <si>
    <t>TE AÇO GALVANIZADO DE 2 1/2'</t>
  </si>
  <si>
    <t>ADAPTADOR PVC SOLDAVEL, COM FLANGES LIVRES, 75 MM X 2 1/2", PARA CAIXA D' AGUA</t>
  </si>
  <si>
    <t>CHUMBADOR DE ACO 5/8" X 200MM C/ ROSCA E PORCA</t>
  </si>
  <si>
    <t>PINTURA ESMALTE FOSCO, DUAS DEMAOS, SOBRE SUPERFICIE METALICA</t>
  </si>
  <si>
    <t>EQUIPAMENTOS E ACESSÓRIOS</t>
  </si>
  <si>
    <t>PINTURA ACRILICA EM PISO CIMENTADO, TRES DEMAOS</t>
  </si>
  <si>
    <t>EXTINTOR INCENDIO TP PO QUIMICO 4KG FORNECIMENTO E COLOCACAO</t>
  </si>
  <si>
    <t>EXTINTOR DE CO2 6KG - FORNECIMENTO E INSTALACAO</t>
  </si>
  <si>
    <t>HIDRANTE C/REGISTRO GLOBO ANGULAR D= 65MM (2 1/2")</t>
  </si>
  <si>
    <t>SOBRETAMPA EM FERRO FUNDIDO C/ D=800 MM</t>
  </si>
  <si>
    <t>TAMPAO COM CORRENTE, EM LATAO, ENGATE RAPIDO 2 1/2", PARA INSTALACAO PREDIALDE COMBATE A INCENDIO</t>
  </si>
  <si>
    <t>VÁLVULA DE RETENÇÃO HORIZONTAL Ø 65MM (2.1/2") - FORNECIMENTO E INSTALAÇÃO</t>
  </si>
  <si>
    <t>MANOMETRO 0 A 200 PSI (0 A 14 KGF/CM2), D = 50MM - FORNECIMENTO E COLOCACAO</t>
  </si>
  <si>
    <t>ELETRODUTO EM FERRO GALVANIZADO PESADO SEM COSTURA 3/4"</t>
  </si>
  <si>
    <t>LÂMPADA SINALIZADORAS ATE 5W</t>
  </si>
  <si>
    <t>VALVULA DE ALÍVIO DN 3" COMPLETA</t>
  </si>
  <si>
    <t>VÁLVULA DE FLUXO EM AÇO GALVANIZADO DE (2 1/2")</t>
  </si>
  <si>
    <t>INSTALAÇÕES ELÉTRICAS E ELETRÔNICAS</t>
  </si>
  <si>
    <t>ALIMENTADORES DE QUADROS</t>
  </si>
  <si>
    <t>ELETRODUTOS E ELETROCALHAS</t>
  </si>
  <si>
    <t>ELETRODUTO DE PVC RÍGIDO ROSCÁVEL, DIÂM = 32MM (1")</t>
  </si>
  <si>
    <t>LUVA PARA ELETRODUTO DE PVC RÍGIDO ROSCÁVEL, DIÂM = 32MM (1")</t>
  </si>
  <si>
    <t>ELETRODUTO DE PVC RÍGIDO ROSCÁVEL, DIÂM = 50MM (1 1/2")</t>
  </si>
  <si>
    <t>LUVA PARA ELETRODUTO DE PVC RÍGIDO ROSCÁVEL, DIÂM = 50MM (1 1/2")</t>
  </si>
  <si>
    <t>FORNECIMENTO E INSTALAÇÃO DE ELETROCALHA METÁLICA 75 X 50 X 3000 MM</t>
  </si>
  <si>
    <t>CURVA HORIZONTAL PARA ELETROCALHA 75X50MM</t>
  </si>
  <si>
    <t>CURVA DE INVERSÃO 75 X 50 MM PARA ELETROCALHA METÁLICA</t>
  </si>
  <si>
    <t>FORNECIMENTO E INSTALAÇÃO DE ELETROCALHA METÁLICA 150 X 50 X 300 MM</t>
  </si>
  <si>
    <t>CURVA DE INVERSÃO 150 X 50 MM PARA ELETROCALHA METÁLICA</t>
  </si>
  <si>
    <t>FORNECIMENTO E INSTALAÇÃO DE ELETROCALHA PERFURADA 200 X 50 X 300 MM</t>
  </si>
  <si>
    <t>CURVA HORIZONTAL LISA P/A ELETROCALHA 400X50MM</t>
  </si>
  <si>
    <t>CURVA VERTICAL EXTERNA LISA P/A ELETROCALHA 700X50MM</t>
  </si>
  <si>
    <t>FORNECIMENTO E INSTALAÇÃO DE SAÍDA HORIZONTAL PARA ELETRODUTO 1"</t>
  </si>
  <si>
    <t>FORNECIMENTO E INSTALAÇÃO DE SAÍDA HORIZONTAL PARA ELETRODUTO 1 1/2"</t>
  </si>
  <si>
    <t>ENVELOPE DE CONCRETO P/PROTEÇÃO DE TUBO PVC ENTERRADO</t>
  </si>
  <si>
    <t>FIXAÇÃO DE ELETROCALHA</t>
  </si>
  <si>
    <t>FIXAÇÃO DE ELETROCALHA COM VERGALHÃO (TIRANTE) COM ROSCA TOTAL Ø 1/4"X1000MM</t>
  </si>
  <si>
    <t>SUPORTE VERTICAL 200 X 50 MM PARA FIXAÇÃO DE ELETROCALHA METÁLICA</t>
  </si>
  <si>
    <t>SUPORTE VERTICAL 400 X 50 MM PARA FIXAÇÃO DE ELETROCALHA METÁLICA</t>
  </si>
  <si>
    <t>SUPORTE VERTICAL 700 X 100 MM PARA FIXAÇÃO DE ELETROCALHA METÁLICA</t>
  </si>
  <si>
    <t>CABOS</t>
  </si>
  <si>
    <t>CABO DE COBRE FLEXÍVEL ISOLADO NA COR PRETA, 4 MM², ANTI-CHAMA 0,6/1,0 KV, PARA DISTRIBUIÇÃO - FORNECIMENTO E INSTALAÇÃO</t>
  </si>
  <si>
    <t>CAIXAS E ACESSÓRIOS</t>
  </si>
  <si>
    <t>CAIXA DE PASSAGEM COM TAMPA PARAFUSADA 300X300X100MM</t>
  </si>
  <si>
    <t>CABEAMENTO ESTRUTURADO</t>
  </si>
  <si>
    <t>RACK E ACESSÓRIOS</t>
  </si>
  <si>
    <t>RÉGUA DE TOMADAS ELÉTRICAS, COM 08 TOMADAS, PADRÃO RACK 19"</t>
  </si>
  <si>
    <t>UND.</t>
  </si>
  <si>
    <t>FORNECIMENTO E MONTAGEM DE GUIA DE CABOS HORIZONTAIS CORPO DE AÇO SAE 1020, PROF=40MM</t>
  </si>
  <si>
    <t>FORNECIMENTO E INSTALAÇÃO DE NO-BREAK 110/220 V, 1.2 KVA COM 03 SAÍDAS 110 V AC</t>
  </si>
  <si>
    <t>ELETRODUTOS</t>
  </si>
  <si>
    <t>TÊ HORIZONTAL 400 X 50 MM COM BASE LISA PERFURADA PARA ELETROCALHA METÁLICA</t>
  </si>
  <si>
    <t>CURVA PARA ELETRODUTO DE PVC RÍGIDO ROSCÁVEL, DIÂM = 32MM (1")</t>
  </si>
  <si>
    <t>TOMADA LÓGICA</t>
  </si>
  <si>
    <t>CAIXA DE PASSAGEM COM TAMPA PARAFUSADA 150X150X80MM</t>
  </si>
  <si>
    <t>FIXAÇÃO DE ELETROCALHAS COM VERGALHÃO (TIRANTE) COM ROSCA TOTAL Ø 1/4"X1000MM</t>
  </si>
  <si>
    <t>CFTV</t>
  </si>
  <si>
    <t>CÂMERAS E EQUIPAMENTOS PARA DETECÇÃO DE ALARME</t>
  </si>
  <si>
    <t>SENSOR DE PRESENÇA INFRAVERMELHO PASSIVO.</t>
  </si>
  <si>
    <t>CENTRAL DE CONTROLE DE ALARME DE INTRUSÃO</t>
  </si>
  <si>
    <t>FORNECIMENTO E INSTALAÇÃO DE CONECTOR RJ 45 MACHO CAT 6</t>
  </si>
  <si>
    <t>FORNECIMENTO E INSTALAÇÃO DE SAÍDA HORIZONTAL PARA ELETRODUTO 3/4"</t>
  </si>
  <si>
    <t>CONTROLE DE ACESSO</t>
  </si>
  <si>
    <t>FORÇA ESTABILIZADA</t>
  </si>
  <si>
    <t>UND</t>
  </si>
  <si>
    <t>FIXAÇÃO PARA ELETROCALHAS</t>
  </si>
  <si>
    <t>TOMADAS E INTERRUPTORES</t>
  </si>
  <si>
    <t>FOTOVOLTAICA</t>
  </si>
  <si>
    <t>MÓDULOS FOTOVOLTAICOS</t>
  </si>
  <si>
    <t>FORNECIMENTO E INSTALAÇÃO DE KIT GERADOR FOTOVOLTAICO 50,70KWP, INCLUINDO MÓDULOS, INVERSOR, CABOS, FIXAÇÃO E PROTEÇÃO</t>
  </si>
  <si>
    <t>ELETRODUTO DE ALUMÍNIO, INCLUSIVE CONEXÕES DE 3/4"</t>
  </si>
  <si>
    <t>ELETRODUTO DE ALUMÍNIO, INCLUSIVE CONEXÕES DE 1"</t>
  </si>
  <si>
    <t>TÊ HORIZONTAL PARA ELETROCALHA 75X50</t>
  </si>
  <si>
    <t>ILUMINAÇÃO E FORÇA COMUM</t>
  </si>
  <si>
    <t>LUMINÁRIAS</t>
  </si>
  <si>
    <t>LUMINÁRIA TIPO SPOT DE EMBUTIR COM LÂMPADA LED 8,5W</t>
  </si>
  <si>
    <t>LUMINÁRIA LED DE EMBUTIR NO PISO, COM CORPO EM ALUMÍNIO INJETADO, BORRACHA DE VEDAÇÃO, DIFUSOR EM VIDRO TEMPERADO, IP66, COM UMA LÂMPADA LED 50</t>
  </si>
  <si>
    <t>INTERRUPTOR INTERMEDIARIO (FOUR-WAY) - FORNECIMENTO E INSTALACAO</t>
  </si>
  <si>
    <t>DIVERSOS</t>
  </si>
  <si>
    <t>SENSOR DE PRESENÇA INSTALADO NO FORRO JUNTO A ILUMINAÇÃO.</t>
  </si>
  <si>
    <t>QUADROS</t>
  </si>
  <si>
    <t>QDJ5</t>
  </si>
  <si>
    <t>CAIXA EM CHAPA METÁLICA GALVANIZADA 60 X 50 X 20CM, PARA QUADRO DE DISTRIBUIÇÃO ELÉTRICA</t>
  </si>
  <si>
    <t>BARRAMENTO COBRE INTERLIGACAO 380V 2""X1.1/4""</t>
  </si>
  <si>
    <t>QDJ6</t>
  </si>
  <si>
    <t>DISJUNTOR TERMOMAGNETICO TRIPOLAR EM CAIXA MOLDADA 500 A 600A 600V, FORNECIMENTO E INSTALACAO</t>
  </si>
  <si>
    <t>DISJUNTOR TERMOMAGNÉTICO TRIPOLAR 100 A COM CAIXA MOLDADA 10 KA</t>
  </si>
  <si>
    <t>TERMINAL OU CONECTOR DE PRESSAO - PARA CABO 120MM2 - FORNECIMENTO E INSTALACAO</t>
  </si>
  <si>
    <t>TERMINAL OU CONECTOR DE PRESSAO - PARA CABO 16MM2 - FORNECIMENTO E INSTALACAO</t>
  </si>
  <si>
    <t>QDJ7</t>
  </si>
  <si>
    <t>1CQDFL - TÉRREO</t>
  </si>
  <si>
    <t>DISJUNTOR DIFERENCIAL DR-16A - 40A, 30MA</t>
  </si>
  <si>
    <t>DISJUNTOR TERMOMAGNÉTICO TRIPOLAR 63 A</t>
  </si>
  <si>
    <t>2CQDFL - PAV. 1</t>
  </si>
  <si>
    <t>3CQDFE - TÉRREO</t>
  </si>
  <si>
    <t>4EQDFE - PAV. 1</t>
  </si>
  <si>
    <t>DISJUNTOR TERMOMAGNETICO TRIPOLAR EM CAIXA MOLDADA 175 A 225A 240V, FORNECIMENTO E INSTALACAO</t>
  </si>
  <si>
    <t>5CQDCLIM - COBERTA</t>
  </si>
  <si>
    <t>6CQDCLIM - COBERTA</t>
  </si>
  <si>
    <t>DISJUNTOR TERMOMAGNETICO TRIPOLAR 80 A, PADRÃO DIN (EUROPEU - LINHA BRANCA), CURVA C, 5KA</t>
  </si>
  <si>
    <t>7CQDELEV - COBERTA</t>
  </si>
  <si>
    <t>8CQDELEV - COBERTA</t>
  </si>
  <si>
    <t>9CQBIN - TOPO</t>
  </si>
  <si>
    <t>RELÉ FALTA DE FASE 380/220V</t>
  </si>
  <si>
    <t>RELÉ DE SOBRECARGA TÉRMICA PARA MOTOR</t>
  </si>
  <si>
    <t>CONTATOR TRIPOLAR I NOMINAL 65A - FORNECIMENTO E INSTALACAO INCLUSIVE ELETROTÉCNICO</t>
  </si>
  <si>
    <t>CHAVE BLINDADA 3 POSICOES 30A PARA COMANDO DE BOMBAS</t>
  </si>
  <si>
    <t>RELÉ DE TEMPO 7PV00 20S 220V</t>
  </si>
  <si>
    <t>BOTÃO DE COMANDO 22,5MM</t>
  </si>
  <si>
    <t>SINALIZADOR LED DE COMANDO 22,5MM</t>
  </si>
  <si>
    <t>QD - ENTRADA - 1CQUPS</t>
  </si>
  <si>
    <t>QD - SAÍDA - 1CQUPS</t>
  </si>
  <si>
    <t>QD - ENTRADA - 2CQUPS</t>
  </si>
  <si>
    <t>QD - SAÍDA - 2CQUPS</t>
  </si>
  <si>
    <t>1GQDFL  - EXTERNO - GUARITA 03</t>
  </si>
  <si>
    <t>2GQDFE - EXTERNO - GUARITA 03</t>
  </si>
  <si>
    <t>10CQBR - TÉRREO</t>
  </si>
  <si>
    <t>CONTATOR TRIPOLAR I NOMINAL 22A - FORNECIMENTO E INSTALACAO INCLUSIVE ELETROTÉCNICO</t>
  </si>
  <si>
    <t>CONTATOR TRIPOLAR I NOMINAL 16A - FORNECIMENTO E INSTALACAO INCLUSIVE ELETROTÉCNICO</t>
  </si>
  <si>
    <t>11CQBRU - TÉRREO</t>
  </si>
  <si>
    <t>SONORIZAÇÃO</t>
  </si>
  <si>
    <t>FIO FLEXÍVEL 2 X 2,5MM2 PARA SOM</t>
  </si>
  <si>
    <t>EQUIPAMENTOS DE SONORIZAÇÃO</t>
  </si>
  <si>
    <t>MICROFONES GOOSENECK PARA JUIZ/PRESIDENTE</t>
  </si>
  <si>
    <t>PRE-AMPLIFICADOR COM GONGO (RECEIVER)</t>
  </si>
  <si>
    <t>SPDA</t>
  </si>
  <si>
    <t>MALHA DE CAPTAÇÃO</t>
  </si>
  <si>
    <t>TERMINAL AEREO EM ACO GALVANIZADO COM BASE DE FIXACAO H = 30CM</t>
  </si>
  <si>
    <t>CONECTOR MINI GAR - FORNECIMENTO E INSTALACAO</t>
  </si>
  <si>
    <t>DESCIDA</t>
  </si>
  <si>
    <t>FORNECIMENTO E INSTALAÇAO DE HASTE DE ATERRAMENTO GALVANIZADA A FOGO 3/8"X3,45M (RE-BAR) TEL-760, EXCLISIVE CLIPS</t>
  </si>
  <si>
    <t>MALHA DE ATERRAMENTO</t>
  </si>
  <si>
    <t>SOLDA EXOTÉRMICA</t>
  </si>
  <si>
    <t>SUBESTAÇÃO</t>
  </si>
  <si>
    <t>CUBICULOS E GERADOR</t>
  </si>
  <si>
    <t>CUBICULOS DE MT</t>
  </si>
  <si>
    <t>QUADROS DE BT</t>
  </si>
  <si>
    <t>ILUMINAÇÃO E TOMADAS</t>
  </si>
  <si>
    <t>LUMINÁRIA DE EMERGÊNCIA 2 X 55W</t>
  </si>
  <si>
    <t>ATERRAMENTO</t>
  </si>
  <si>
    <t>TRANSFORMADORES</t>
  </si>
  <si>
    <t>TRANSFORMADOR DE FORÇA À SECO 500 KVA/13.800-380/220V (FORNECIMENTO E MONTAGEM)</t>
  </si>
  <si>
    <t>TRANSFORMADOR DE FORÇA À SECO 300 KVA/13.800-380/220V (FORNECIMENTO E MONTAGEM)</t>
  </si>
  <si>
    <t>FIXAÇÃO DE DUTOS E ELETROCALHAS</t>
  </si>
  <si>
    <t>PERFILADO DE SEÇÃO 38X76 MM PARA SUPORTE DE LEITO PESADO, LARGURA ATE 50 MM.</t>
  </si>
  <si>
    <t>SUPORTE VERTICAL 50 X 50MM PARA FIXAÇÃO DE ELETROCALHA METÁLICA</t>
  </si>
  <si>
    <t>TELA DE AÇO GALVANIZADO FIO 13BWG, COM REVESTIMENTO EM PVC, MALHA 3"</t>
  </si>
  <si>
    <t>INSTALAÇÕES MECÂNICAS E DE UTILIDADES</t>
  </si>
  <si>
    <t>AR CONDICIONADO CENTRAL</t>
  </si>
  <si>
    <t>ELÉTRICA/FIXAÇÃO</t>
  </si>
  <si>
    <t>CABO SHIELDADO DE COMUNICAÇÃO DO SISTEMA DE VRV</t>
  </si>
  <si>
    <t>DUTOS, DIFUSORES E GRELHAS</t>
  </si>
  <si>
    <t>EXAUSTOR MULTIVAC MOD MURO 150A, VAZÃO 70M3/H, MOTOR POT. 12W 220V/1Ø/60HZ, COM SISTEMA INTERTRAVADO COM INTERRUPTOR DE LUZ.</t>
  </si>
  <si>
    <t>DRENO</t>
  </si>
  <si>
    <t>TUBULAÇÃO FRIGORÍGENA</t>
  </si>
  <si>
    <t>REDE FRIGORÍGENA C/ TUBO DE COBRE 1 1/8", ISOLADO COM BORRACHA ELASTOMÉRICA, SUSTENTAÇÃO, SOLDA E LIMPEZA</t>
  </si>
  <si>
    <t>REDE FRIGORÍGENA C/ TUBO DE COBRE 1/2" FLEXÍVEL, ISOLADO COM BORRACHA ELASTOMÉRICA, SUSTENTAÇÃO, SOLDA E LIMPEZA</t>
  </si>
  <si>
    <t>REDE FRIGORÍGENA C/ TUBO DE COBRE 1/4" FLEXÍVEL, ISOLADO COM BORRACHA ELASTOMÉRICA, SUSTENTAÇÃO, SOLDA E LIMPEZA</t>
  </si>
  <si>
    <t>REDE FRIGORÍGENA C/ TUBO DE COBRE 7/8" FLEXÍVEL, ISOLADO COM BORRACHA ELASTOMÉRICA, SUSTENTAÇÃO, SOLDA E LIMPEZA</t>
  </si>
  <si>
    <t>REDE FRIGORÍGENA C/ TUBO DE COBRE 5/8" FLEXÍVEL, ISOLADO COM BORRACHA ELASTOMÉRICA, SUSTENTAÇÃO, SOLDA E LIMPEZA</t>
  </si>
  <si>
    <t>REDE FRIGORÍGENA C/ TUBO DE COBRE 3/8" FLEXÍVEL, ISOLADO COM BORRACHA ELASTOMÉRICA, SUSTENTAÇÃO, SOLDA E LIMPEZA</t>
  </si>
  <si>
    <t>REDE FRIGORÍGENA C/ TUBO DE COBRE 3/4" FLEXÍVEL, ISOLADO COM BORRACHA ELASTOMÉRICA, SUSTENTAÇÃO, SOLDA E LIMPEZA</t>
  </si>
  <si>
    <t>REDE FRIGORÍGENA C/ TUBO DE COBRE 1", ISOLADO COM BORRACHA ELASTOMÉRICA, SUSTENTAÇÃO, SOLDA E LIMPEZA</t>
  </si>
  <si>
    <t>PAR</t>
  </si>
  <si>
    <t>PINTURAS</t>
  </si>
  <si>
    <t>PINTURA LISA COM TINTA ACRÍLICA NA COR BRANCO FOSCO</t>
  </si>
  <si>
    <t>PINTURA LISA COM TINTA ACRÍLICA NA COR BRANCO COM QUARTZO</t>
  </si>
  <si>
    <t>PINTURA LISA COM TINTA ACRÍLICA NA COR CINZA ESCURO</t>
  </si>
  <si>
    <t>PINTURA LISA COM TINTA ACRÍLICA PRETO MARFIM</t>
  </si>
  <si>
    <t xml:space="preserve">APLICAÇÃO MANUAL DE PINTURA COM TINTA LÁTEX ACRÍLICA EM PAREDES, DUAS DEMÃOS. BRANCO ACETINADO </t>
  </si>
  <si>
    <t>IMPERMEABILIZAÇÕES</t>
  </si>
  <si>
    <t>IMPERMEABILIZACAO DE ESTRUTURAS ENTERRADAS, COM TINTA ASFALTICA, DUAS DEMAOS.</t>
  </si>
  <si>
    <t>IMPERMEABILIZACAO DE SUPERFICIE COM ARGAMASSA DE CIMENTO E AREIA (MEDIA), TRACO 1:3, COM ADITIVO IMPERMEABILIZANTE, E=2CM.</t>
  </si>
  <si>
    <t>IMPERMEABILIZACAO DE SUPERFICIE COM MANTA ASFALTICA PROTEGIDA COM FILME DE ALUMINIO GOFRADO (DE ESPESSURA 0,8MM), INCLUSA APLICACAO DE EMULSAO ASFALTICA, E=3MM. (CALHAS E LAJE DA CAIXA DÁGUA)</t>
  </si>
  <si>
    <t>PEÇAS DE ACABAMENTO E/OU ARREMATES</t>
  </si>
  <si>
    <t>CORRIMÃO EM AÇO INOX Ø=1 1/2", DUPLO, H=90CM</t>
  </si>
  <si>
    <t>GUARDA-CORPO EM TUBO DE AÇO INOX Ø=1 1/2", DUPLO, COM MONTANTES E FECHAMENTO EM TUBO INOX Ø=1 1/2", H=96CM, C/ACABAMENTO POLIDO, P/FIXAÇÃO EM PISO</t>
  </si>
  <si>
    <t>SERVIÇOS COMPLEMENTARES</t>
  </si>
  <si>
    <t>PAISAGISMO</t>
  </si>
  <si>
    <t>ESCADA MARINHEIRO PERFIL 1.1/2"" DE ACO COM GUARDA CORPO</t>
  </si>
  <si>
    <t>ESCADA METÁLICA EM AÇO INOX</t>
  </si>
  <si>
    <t>ESCADA MARINHEIRO PERFIL DE FERRO C/ ANCORAGEM S/ PROTECAO</t>
  </si>
  <si>
    <t>COMUNICAÇÃO VISUAL</t>
  </si>
  <si>
    <t>SINALIZACAO HORIZONTAL COM TINTA RETRORREFLETIVA A BASE DE RESINA ACRILICA COM MICROESFERAS DE VIDRO - VAGAS DE ESTACIONAMENTO</t>
  </si>
  <si>
    <t>SINALIZACAO HORIZONTAL COM TINTA RETRORREFLETIVA A BASE DE RESINA ACRILICA COM MICROESFERAS DE VIDRO - TRANSFERÊNCIA DEFICIENTE</t>
  </si>
  <si>
    <t>SINALIZACAO HORIZONTAL COM TINTA RETRORREFLETIVA A BASE DE RESINA ACRILICA COM MICROESFERAS DE VIDRO - SIMBOLO DE ACESSIBILIDADE</t>
  </si>
  <si>
    <t>SERVIÇOS FINAIS</t>
  </si>
  <si>
    <t>ELABORAÇÃO DE PROJETO "AS BUILT" DE TODA A EDIFICAÇÃO.</t>
  </si>
  <si>
    <t>LIMPEZA FINAL DA OBRA</t>
  </si>
  <si>
    <t>MÃO DE OBRA</t>
  </si>
  <si>
    <t>MATERIAL</t>
  </si>
  <si>
    <t>EQUIPAMENTO</t>
  </si>
  <si>
    <t>GERAL</t>
  </si>
  <si>
    <t>PREÇO UNITÁRIO</t>
  </si>
  <si>
    <t>TOTAL</t>
  </si>
  <si>
    <t>MAO DE OBRA</t>
  </si>
  <si>
    <t>SERVICO</t>
  </si>
  <si>
    <t>CONSUMO</t>
  </si>
  <si>
    <t>CUSTO UNITÁRIO</t>
  </si>
  <si>
    <t>SARRAFO DE MADEIRA NAO APARELHADA *2,5 X 7* CM, MACARANDUBA, ANGELIM OU EQUIVALENTE DA REGIAO</t>
  </si>
  <si>
    <t>PLACA DE OBRA (PARA CONSTRUCAO CIVIL) EM CHAPA GALVANIZADA *N. 22*, DE *2,0 X 1,125* M</t>
  </si>
  <si>
    <t>PREGO DE ACO POLIDO COM CABECA 18 X 30 (2 3/4 X 10)</t>
  </si>
  <si>
    <t>CARPINTEIRO DE FORMAS COM ENCARGOS COMPLEMENTARES</t>
  </si>
  <si>
    <t>SERVENTE COM ENCARGOS COMPLEMENTARES</t>
  </si>
  <si>
    <t>ARRUELA REDONDA DE LATAO, DIAMETRO EXTERNO = 34 MM, ESPESSURA = 2,5 MM, DIAMETRO DO FURO = 17 MM</t>
  </si>
  <si>
    <t>ELETRICISTA COM ENCARGOS COMPLEMENTARES</t>
  </si>
  <si>
    <t>PREGO DE ACO POLIDO COM CABECA 17 X 27 (2 1/2 X 11)</t>
  </si>
  <si>
    <t>L</t>
  </si>
  <si>
    <t>PINTOR COM ENCARGOS COMPLEMENTARES</t>
  </si>
  <si>
    <t>CJ</t>
  </si>
  <si>
    <t>TABUA MADEIRA 2A QUALIDADE 2,5 X 20,0CM (1 X 8") NAO APARELHADA</t>
  </si>
  <si>
    <t>ARAME RECOZIDO 18 BWG, 1,25 MM (0,01 KG/M)</t>
  </si>
  <si>
    <t>PREGO DE ACO POLIDO COM CABECA 18 X 27 (2 1/2 X 10)</t>
  </si>
  <si>
    <t>TABUA MADEIRA 2A QUALIDADE 2,5 X 30,0CM (1 X 12") NAO APARELHADA</t>
  </si>
  <si>
    <t>CHP</t>
  </si>
  <si>
    <t>CHI</t>
  </si>
  <si>
    <t>PEDREIRO COM ENCARGOS COMPLEMENTARES</t>
  </si>
  <si>
    <t>ADITIVO IMPERMEABILIZANTE DE PEGA NORMAL PARA ARGAMASSAS E  CONCRETOS SEM ARMACAO</t>
  </si>
  <si>
    <t>PECA DE MADEIRA 3A QUALIDADE 2,5 X 10CM NAO APARELHADA</t>
  </si>
  <si>
    <t>AJUDANTE DE CARPINTEIRO COM ENCARGOS COMPLEMENTARES</t>
  </si>
  <si>
    <t>AJUDANTE DE ARMADOR COM ENCARGOS COMPLEMENTARES</t>
  </si>
  <si>
    <t>ARMADOR COM ENCARGOS COMPLEMENTARES</t>
  </si>
  <si>
    <t>AREIA MEDIA - POSTO JAZIDA/FORNECEDOR (RETIRADO NA JAZIDA, SEM TRANSPORTE)</t>
  </si>
  <si>
    <t>CIMENTO PORTLAND COMPOSTO CP II-32</t>
  </si>
  <si>
    <t>PEDRA BRITADA N. 1 (9,5 A 19 MM) POSTO PEDREIRA/FORNECEDOR, SEM FRETE</t>
  </si>
  <si>
    <t>DESMOLDANTE PROTETOR PARA FORMAS DE MADEIRA, DE BASE OLEOSA EMULSIONADA EM AGUA</t>
  </si>
  <si>
    <t>PREGO DE ACO POLIDO COM CABECA DUPLA 17 X 27 (2 1/2 X 11)</t>
  </si>
  <si>
    <t>CONCRETO USINADO BOMBEAVEL, CLASSE DE RESISTENCIA C30, COM BRITA 0 E 1, SLUMP = 100 +/- 20 MM, INCLUI SERVICO DE BOMBEAMENTO (NBR 8953)</t>
  </si>
  <si>
    <t>BLOCO CERAMICO (ALVENARIA VEDACAO), 6 FUROS, DE 9 X 14 X 19 CM</t>
  </si>
  <si>
    <t>TIJOLO CERAMICO MACICO *5 X 10 X 20* CM</t>
  </si>
  <si>
    <t>BUCHA DE NYLON SEM ABA S6, COM PARAFUSO DE 4,20 X 40 MM EM ACO ZINCADO COM ROSCA SOBERBA, CABECA CHATA E FENDA PHILLIPS</t>
  </si>
  <si>
    <t>SILICONE ACETICO USO GERAL INCOLOR 280 G</t>
  </si>
  <si>
    <t>GUARNICAO/MOLDURA DE ACABAMENTO PARA ESQUADRIA DE ALUMINIO ANODIZADO NATURAL, PARA 1 FACE</t>
  </si>
  <si>
    <t>ACO CA-60, 4,2 MM, VERGALHAO</t>
  </si>
  <si>
    <t>BLOCO DE VIDRO INCOLOR XADREZ, DE *20 X 20 X 10* CM</t>
  </si>
  <si>
    <t>CIMENTO BRANCO</t>
  </si>
  <si>
    <t>LOCACAO DE ESCORA METALICA TELESCOPICA, COM ALTURA REGULAVEL DE *1,80* A *3,20* M, COM CAPACIDADE DE CARGA DE NO MINIMO 1000 KGF (10 KN), INCLUSO TRIPE E FORCADO</t>
  </si>
  <si>
    <t>VIGA DE ESCORAMAENTO H20, DE MADEIRA, PESO DE 5,00 A 5,20 KG/M, COM EXTREMIDADES PLASTICAS</t>
  </si>
  <si>
    <t>LOCACAO DE FORMA PLASTICA PARA LAJE NERVURADA, DIMENSOES *60* X *60* X *16* CM</t>
  </si>
  <si>
    <t>TELA DE ACO SOLDADA NERVURADA CA-60, Q-92, (1,48 KG/M2), DIAMETRO DO FIO = 4,2 MM, LARGURA =  2,45 X 60 M DE COMPRIMENTO, ESPACAMENTO DA MALHA = 15  X 15 CM</t>
  </si>
  <si>
    <t>PREGO DE ACO POLIDO COM CABECA 15 X 18 (1 1/2 X 13)</t>
  </si>
  <si>
    <t>SOLDADOR COM ENCARGOS COMPLEMENTARES</t>
  </si>
  <si>
    <t>AJUDANTE ESPECIALIZADO COM ENCARGOS COMPLEMENTARES</t>
  </si>
  <si>
    <t>ALUGUEL DE LIXADEIRA INDUSTRIAL MARCA BOSCH</t>
  </si>
  <si>
    <t>DISCO DE DESBASTE 7", PARA FERRO</t>
  </si>
  <si>
    <t>PERFIL AÇO, U DOBRADO DE CHAPA - UDC SIMPLES - 100 X 50 X 3 MM (4.48 KG/M)</t>
  </si>
  <si>
    <t>SERRALHEIRO COM ENCARGOS COMPLEMENTARES</t>
  </si>
  <si>
    <t>EXECUÇÃO DE SOLDA CONTÍNUA MIG</t>
  </si>
  <si>
    <t>CHAPA ACO INOX AISI 304 NUMERO 9 (E = 4 MM), ACABAMENTO NUMERO 1 (LAMINADO A QUENTE, FOSCO)</t>
  </si>
  <si>
    <t>SELANTE ELASTICO MONOCOMPONENTE A BASE DE POLIURETANO PARA JUNTAS DIVERSAS</t>
  </si>
  <si>
    <t>310ML</t>
  </si>
  <si>
    <t>BUCHA DE NYLON SEM ABA S10, COM PARAFUSO DE 6,10 X 65 MM EM ACO ZINCADO COM ROSCA SOBERBA, CABECA CHATA E FENDA PHILLIPS</t>
  </si>
  <si>
    <t>PORTA DE ABRIR EM ALUMINIO COM DIVISAO HORIZONTAL  PARA VIDROS,  ACABAMENTO ANODIZADO NATURAL, VIDROS INCLUSOS, SEM GUARNICAO/ALIZAR/VISTA , 87 X 210 CM</t>
  </si>
  <si>
    <t>PORTA CORTA-FOGO PARA SAIDA DE EMERGENCIA, COM FECHADURA, VAO LUZ DE 90 X 210 CM, CLASSE P-90 (NBR 11742)</t>
  </si>
  <si>
    <t>BARRA ANTIPANICO DUPLA, CEGA LADO OPOSTO, COR CINZA</t>
  </si>
  <si>
    <t>ROSETA REDONDA DE SOBREPOR, SEM FUROS, EM ACO INOX POLIDO, DIAMETRO APROXIMADO DE 50 MM, PARA FECHADURA DE PORTA - PARAFUSOS INCLUIDOS</t>
  </si>
  <si>
    <t>FECHADURA DE EMBUTIR PARA PORTA EXTERNA / ENTRADA, MAQUINA 55 MM, COM CILINDRO, MACANETA ALAVANCA E ESPELHO EM METAL CROMADO - NIVEL SEGURANCA MEDIO - COMPLETA</t>
  </si>
  <si>
    <t>PORTA DE MADEIRA, FOLHA MEDIA (NBR 15930) DE 100 X 210 CM, E = 35 MM, NUCLEO SARRAFEADO, CAPA LISA EM HDF, ACABAMENTO EM PRIMER PARA PINTURA</t>
  </si>
  <si>
    <t>DOBRADICA EM ACO/FERRO, 3 1/2" X  3", E= 1,9  A 2 MM, COM ANEL,  CROMADO OU ZINCADO, TAMPA BOLA, COM PARAFUSOS</t>
  </si>
  <si>
    <t>PARAFUSO ROSCA SOBERBA ZINCADO CABECA CHATA FENDA SIMPLES 3,5 X 25 MM (1 ")</t>
  </si>
  <si>
    <t>BARRA ANTIPANICO SIMPLES, CEGA LADO OPOSTO, COR CINZA</t>
  </si>
  <si>
    <t>CARPINTEIRO DE ESQUADRIA COM ENCARGOS COMPLEMENTARES</t>
  </si>
  <si>
    <t>PORTA DE ABRIR EM GRADIL COM BARRA CHATA 3 CM X 1/4", COM REQUADRO E GUARNICAO - COMPLETO - ACABAMENTO NATURAL</t>
  </si>
  <si>
    <t>PUXADOR CENTRAL, TIPO ALCA, EM ZAMAC CROMADO, COM ROSETAS, COMPRIMENTO *100* MM, PARA PORTA / JANELA EM MADEIRA OU METALICA - INCLUI PARAFUSOS</t>
  </si>
  <si>
    <t>JANELA MAXIM AR EM ALUMINIO, 80 X 60 CM (A X L), BATENTE/REQUADRO DE 4 A 14 CM, COM VIDRO, SEM GUARNICAO/ALIZAR</t>
  </si>
  <si>
    <t>JANELA FIXA EM ALUMINIO, 60  X 80 CM (A X L), BATENTE/REQUADRO DE 3 A 14 CM, COM VIDRO, SEM GUARNICAO/ALIZAR</t>
  </si>
  <si>
    <t>PELICULA ADESIVA PARA VIDROS INSULFILM</t>
  </si>
  <si>
    <t>JATEAMENTO SOBRE VIDRO TEMPERADO</t>
  </si>
  <si>
    <t>PARAFUSO DE ACO ZINCADO COM ROSCA SOBERBA, CABECA CHATA E FENDA SIMPLES, DIAMETRO 4,2 MM, COMPRIMENTO * 32 * MM</t>
  </si>
  <si>
    <t>CIMENTO PORTLAND DE ALTO FORNO (AF) CP III-32</t>
  </si>
  <si>
    <t>AREIA GROSSA - POSTO JAZIDA/FORNECEDOR (RETIRADO NA JAZIDA, SEM TRANSPORTE)</t>
  </si>
  <si>
    <t>AUXILIAR DE SERRALHEIRO COM ENCARGOS COMPLEMENTARES</t>
  </si>
  <si>
    <t>CANTONEIRA ALUMINIO ABAS DESIGUAIS 1" X 3/4 ", E = 1/8 "</t>
  </si>
  <si>
    <t>CHAPA DE MADEIRA COMPENSADA NAVAL (COM COLA FENOLICA), E = 6 MM, DE *1,60 X 2,20* M</t>
  </si>
  <si>
    <t>ADITIVO ADESIVO LIQUIDO PARA ARGAMASSAS DE REVESTIMENTOS CIMENTICIOS</t>
  </si>
  <si>
    <t>ESPELHO CRISTAL E = 4 MM</t>
  </si>
  <si>
    <t>VIDRACEIRO COM ENCARGOS COMPLEMENTARES</t>
  </si>
  <si>
    <t>CHAPA DE MADEIRA COMPENSADA PLASTIFICADA PARA FORMA DE CONCRETO, DE 2,20 X 1,10 M, E = 10 MM</t>
  </si>
  <si>
    <t>TABUA MADEIRA 3A QUALIDADE 2,5 X 23,0CM (1 X 9") NAO APARELHADA</t>
  </si>
  <si>
    <t>CALHA/CANALETA DE CONCRETO SIMPLES, TIPO MEIA CANA, D= 40 CM, PARA AGUA PLUVIAL</t>
  </si>
  <si>
    <t>CHAPA DE ACO GALVANIZADA BITOLA GSG 19, E = 1,11 MM (8,88 KG/M2)</t>
  </si>
  <si>
    <t>AZULEJISTA OU LADRILHISTA COM ENCARGOS COMPLEMENTARES</t>
  </si>
  <si>
    <t>ARGAMASSA PRONTA PARA REJUNTAMENTO CERAMICO(0,45KG/M2)</t>
  </si>
  <si>
    <t>CERAMICA 29,5X29,5CM PORTOBELLO CARGA PESADA</t>
  </si>
  <si>
    <t>ARGAMASSA COLANTE TIPO ACIII E</t>
  </si>
  <si>
    <t>AJUDANTE DE PEDREIRO COM ENCARGOS COMPLEMENTARES</t>
  </si>
  <si>
    <t>AUXILIAR DE SERVIÇOS GERAIS COM ENCARGOS COMPLEMENTARES</t>
  </si>
  <si>
    <t>FITA ACABAMENTO BORDO, EM PVC, COR BRANCA, E=19MM</t>
  </si>
  <si>
    <t>CHAPA DE MDF CRU, E = 6 MM, DE *2,75 X 1,85* M</t>
  </si>
  <si>
    <t>COLA A BASE DE RESINA SINTETICA PARA CHAPA DE LAMINADO MELAMINICO</t>
  </si>
  <si>
    <t>CHAPA DE LAMINADO MELAMINICO, LISO FOSCO, DE *1,25 X 3,08* M, E = 0,8 MM</t>
  </si>
  <si>
    <t>ARGAMASSA COLANTE TIPO ACIII</t>
  </si>
  <si>
    <t>PREGO DE ACO POLIDO COM CABECA 16 X 24 (2 1/4 X 12)</t>
  </si>
  <si>
    <t>PEDRA BRITADA GRADUADA, CLASSIFICADA (POSTO PEDREIRA/FORNECEDOR, SEM FRETE)</t>
  </si>
  <si>
    <t>RIPA DE MADEIRA NAO APARELHADA *1,5 X 5* CM, MACARANDUBA, ANGELIM OU EQUIVALENTE DA REGIAO</t>
  </si>
  <si>
    <t>ADESIVO PLASTICO PARA PVC, BISNAGA COM 75 GR</t>
  </si>
  <si>
    <t>ADAPTADOR PVC SOLDAVEL CURTO COM BOLSA E ROSCA, 32 MM X 1", PARA AGUA FRIA</t>
  </si>
  <si>
    <t>FITA VEDA ROSCA EM ROLOS DE 18 MM X 10 M (L X C)</t>
  </si>
  <si>
    <t>ENCANADOR OU BOMBEIRO HIDRÁULICO COM ENCARGOS COMPLEMENTARES</t>
  </si>
  <si>
    <t>AUXILIAR DE ENCANADOR OU BOMBEIRO HIDRÁULICO COM ENCARGOS COMPLEMENTARES</t>
  </si>
  <si>
    <t>ADAPTADOR PVC SOLDAVEL CURTO COM BOLSA E ROSCA, 40 MM X 1 1/2", PARA AGUA FRIA</t>
  </si>
  <si>
    <t>ADESIVO PLASTICO PARA PVC, FRASCO COM 175 GR</t>
  </si>
  <si>
    <t>ADAPTADOR PVC SOLDAVEL CURTO COM BOLSA E ROSCA, 60 MM X 2", PARA AGUA FRIA</t>
  </si>
  <si>
    <t>ADESIVO PLASTICO PARA PVC, FRASCO COM 850 GR</t>
  </si>
  <si>
    <t>PASTA LUBRIFICANTE PARA TUBOS E CONEXOES COM JUNTA ELASTICA (USO EM PVC, ACO, POLIETILENO E OUTROS) ( DE *400* G)</t>
  </si>
  <si>
    <t>SOLUCAO LIMPADORA PARA PVC, FRASCO COM 1000 CM3</t>
  </si>
  <si>
    <t>LIXA D'AGUA EM FOLHA, GRAO 100</t>
  </si>
  <si>
    <t>ANEL BORRACHA, DN 50 MM, PARA TUBO SERIE REFORCADA ESGOTO PREDIAL</t>
  </si>
  <si>
    <t>CAIXA SIFONADA PVC, 250 X 230 X 75 MM, COM TAMPA E PORTA TAMPA QUADRADA BRANCA</t>
  </si>
  <si>
    <t>RALO FOFO SEMIESFERICO, 150 MM, PARA LAJES/ CALHAS</t>
  </si>
  <si>
    <t>LUVA DE CORRER PARA TUBO SOLDAVEL, PVC, 50 MM, PARA AGUA FRIA PREDIAL</t>
  </si>
  <si>
    <t>BUCHA DE REDUCAO DE PVC, SOLDAVEL, CURTA, COM 32 X 25 MM, PARA AGUA FRIA PREDIAL</t>
  </si>
  <si>
    <t>BUCHA DE REDUCAO DE PVC, SOLDAVEL, LONGA, COM 40 X 25 MM, PARA AGUA FRIA PREDIAL</t>
  </si>
  <si>
    <t>BUCHA DE REDUCAO DE PVC, SOLDAVEL, LONGA, COM 50 X 32 MM, PARA AGUA FRIA PREDIAL</t>
  </si>
  <si>
    <t>BUCHA DE REDUCAO DE PVC, SOLDAVEL, CURTA, COM 50 X 40 MM, PARA AGUA FRIA PREDIAL</t>
  </si>
  <si>
    <t>TE DE REDUCAO, PVC, SOLDAVEL, 90 GRAUS, 32 MM X 25 MM, PARA AGUA FRIA PREDIAL</t>
  </si>
  <si>
    <t>TE DE REDUCAO, PVC, SOLDAVEL, 90 GRAUS, 40 MM X 32 MM, PARA AGUA FRIA PREDIAL</t>
  </si>
  <si>
    <t>TE DE REDUCAO, PVC, SOLDAVEL, 90 GRAUS, 50 MM X 40 MM, PARA AGUA FRIA PREDIAL</t>
  </si>
  <si>
    <t>PARAFUSO NIQUELADO COM ACABAMENTO CROMADO PARA FIXAR PECA SANITARIA, INCLUI PORCA CEGA, ARRUELA E BUCHA DE NYLON TAMANHO S-10</t>
  </si>
  <si>
    <t>REJUNTE EPOXI BRANCO</t>
  </si>
  <si>
    <t>CAIXA DE DESCARGA PLASTICA DE EMBUTIR COMPLETA, COM ESPELHO PLASTICO, CAPACIDADE 6 A 10 L, ACESSORIOS INCLUSOS</t>
  </si>
  <si>
    <t>BACIA SANITARIA (VASO) CONVENCIONAL DE LOUCA BRANCA</t>
  </si>
  <si>
    <t>ASSENTO SANITARIO DE PLASTICO, TIPO CONVENCIONAL</t>
  </si>
  <si>
    <t>MASSA PLASTICA PARA MARMORE/GRANITO</t>
  </si>
  <si>
    <t>GRANITO PARA BANCADA, POLIDO, TIPO ANDORINHA/ QUARTZ/ CASTELO/ CORUMBA OU OUTROS EQUIVALENTES DA REGIAO, E=  *2,5* CM</t>
  </si>
  <si>
    <t>SUPORTE MAO-FRANCESA EM ACO, ABAS IGUAIS 30 CM, CAPACIDADE MINIMA 60 KG, BRANCO</t>
  </si>
  <si>
    <t>CUBA DE SEMI-ENCAIXE, DIM. 49 X 40CM, INCEPA, LINHA OCEAN PACIFIC, REF. 63027 OU SIIMILAR</t>
  </si>
  <si>
    <t>MARMORISTA/GRANITEIRO COM ENCARGOS COMPLEMENTARES</t>
  </si>
  <si>
    <t>LAVATORIO LOUCA BRANCA SUSPENSO *40 X 30* CM</t>
  </si>
  <si>
    <t>ENGATE / RABICHO FLEXIVEL INOX 1/2 " X 30 CM</t>
  </si>
  <si>
    <t>PARAFUSO NIQUELADO 3 1/2" COM ACABAMENTO CROMADO PARA FIXAR PECA SANITARIA, INCLUI PORCA CEGA, ARRUELA E BUCHA DE NYLON TAMANHO S-8</t>
  </si>
  <si>
    <t>SIFAO EM METAL CROMADO PARA PIA OU LAVATORIO, 1 X 1.1/2 "</t>
  </si>
  <si>
    <t>TORNEIRA CROMADA DE MESA PARA LAVATORIO, PADRAO POPULAR, 1/2 " OU 3/4 " (REF 1193)</t>
  </si>
  <si>
    <t>VALVULA DE DESCARGA METALICA, BASE 1 1/2 " E ACABAMENTO METALICO CROMADO</t>
  </si>
  <si>
    <t>TORNEIRA CROMADA DE MESA PARA LAVATORIO TEMPORIZADA PRESSAO BICA BAIXA</t>
  </si>
  <si>
    <t>FITA VEDA ROSCA EM ROLOS DE 18 MM X 50 M (L X C)</t>
  </si>
  <si>
    <t>AUXILIAR DE ELETRICISTA COM ENCARGOS COMPLEMENTARES</t>
  </si>
  <si>
    <t>ANEL BORRACHA PARA TUBO ESGOTO PREDIAL, DN 100 MM (NBR 5688)</t>
  </si>
  <si>
    <t>TERMINAL DE VENTILACAO, 50 MM, SERIE NORMAL, ESGOTO PREDIAL</t>
  </si>
  <si>
    <t>TERMINAL DE VENTILACAO, 100 MM, SERIE NORMAL, ESGOTO PREDIAL</t>
  </si>
  <si>
    <t>TAMPA EM CONCRETO ARMADO 60X60X5CM P/CX INSPECAO/FOSSA SEPTICA</t>
  </si>
  <si>
    <t>CIMENTO PORTLAND POZOLANICO CP IV- 32</t>
  </si>
  <si>
    <t>50KG</t>
  </si>
  <si>
    <t>BLOCO CERAMICO (ALVENARIA DE VEDACAO), 8 FUROS, DE 9 X 19 X 19 CM</t>
  </si>
  <si>
    <t>TUBO PVC SERIE NORMAL, DN 75 MM, PARA ESGOTO PREDIAL (NBR 5688)</t>
  </si>
  <si>
    <t>ANEL BORRACHA PARA TUBO ESGOTO PREDIAL DN 75 MM (NBR 5688)</t>
  </si>
  <si>
    <t>ANEL BORRACHA, PARA TUBO PVC, REDE COLETOR ESGOTO, DN 150 MM (NBR 7362)</t>
  </si>
  <si>
    <t>ANEL DE BORRACHA P/TUBO PVC 100MM (4'')</t>
  </si>
  <si>
    <t>ANEL DE BORRACHA P/TUBO PVC 50MM (2'')</t>
  </si>
  <si>
    <t>JUNCAO DE REDUCAO INVERTIDA, PVC SOLDAVEL, 100 X 50 MM, SERIE NORMAL PARA ESGOTO PREDIAL</t>
  </si>
  <si>
    <t>TE SANITARIO, PVC, DN 100 X 50 MM, SERIE NORMAL, PARA ESGOTO PREDIAL</t>
  </si>
  <si>
    <t>TE SANITARIO, PVC, DN 75 X 50 MM, SERIE NORMAL PARA ESGOTO PREDIAL</t>
  </si>
  <si>
    <t>TE, PVC LEVE, CURTO, 90 GRAUS, 150 MM, PARA ESGOTO</t>
  </si>
  <si>
    <t>REDUCAO EXCENTRICA PVC P/ ESG PREDIAL DN 75 X 50MM</t>
  </si>
  <si>
    <t>PLUG PVC ESGOTO DE 100MM</t>
  </si>
  <si>
    <t>PLUG PVC ESGOTO DE 50MM</t>
  </si>
  <si>
    <t>CAIXA DE GORDURA EM PVC, DIAMETRO MINIMO 300 MM, DIAMETRO DE SAIDA 100 MM, CAPACIDADE  APROXIMADA 18 LITROS, COM TAMPA</t>
  </si>
  <si>
    <t>TABUA MADEIRA 3A QUALIDADE 2,5 X 30CM (1 X 12 ) NAO APARELHADA</t>
  </si>
  <si>
    <t>PECA DE MADEIRA NAO APARELHADA *7,5 X 7,5* CM (3 X 3 ") MACARANDUBA, ANGELIM OU EQUIVALENTE DA REGIAO</t>
  </si>
  <si>
    <t>CHAPA COMPENSADO RESINADO 12MM (1.10 X 2.20M)</t>
  </si>
  <si>
    <t>TABUA DE MADEIRA APARELHADA *2,5 X 30* CM, MACARANDUBA, ANGELIM OU EQUIVALENTE DA REGIAO</t>
  </si>
  <si>
    <t>CAL HIDRATADA CH-I PARA ARGAMASSAS</t>
  </si>
  <si>
    <t>PEDRA BRITADA N. 2 (19 A 38 MM) POSTO PEDREIRA/FORNECEDOR, SEM FRETE</t>
  </si>
  <si>
    <t>ACO CA-60, 5,0 MM, VERGALHAO</t>
  </si>
  <si>
    <t>ANEL DE CONCRETO ARMADO, D = 0,60 M, H = 0,30 M</t>
  </si>
  <si>
    <t>ANEL DE CONCRETO ARMADO, D = 0,60 M, H = 0,10 M</t>
  </si>
  <si>
    <t>ANEL DE CONCRETO ARMADO, D = 0,60 M, H = 0,15 M</t>
  </si>
  <si>
    <t>LAJE PRE-MOLDADA DE TRANSICAO EXCENTRICA EM CONCRETO ARMADO, DN 1200 MM, FURO CIRCULAR DN 600 MM, ESPESSURA 12 CM</t>
  </si>
  <si>
    <t>ANEL DE CONCRETO ARMADO, D = *1,10* M, H = 0,30 M</t>
  </si>
  <si>
    <t>CAIACAO INT OU EXT SOBRE REVESTIMENTO LISO C/ADOCAO DE FIXADOR COM    COM DUAS DEMAOS</t>
  </si>
  <si>
    <t>PEDRA BRITADA N. 0, OU PEDRISCO (4,8 A 9,5 MM) POSTO PEDREIRA/FORNECEDOR, SEM FRETE</t>
  </si>
  <si>
    <t>GRADIL DE FERRO</t>
  </si>
  <si>
    <t>TUBO ACO GALVANIZADO COM COSTURA, CLASSE MEDIA, DN 3", E = *4,05* MM, PESO *8,47* KG/M (NBR 5580)</t>
  </si>
  <si>
    <t>TUBO ACO GALVANIZADO COM COSTURA, CLASSE MEDIA, DN 1.1/2", E = *3,25* MM, PESO *3,61* KG/M (NBR 5580)</t>
  </si>
  <si>
    <t>TUBO ACO GALVANIZADO COM COSTURA, CLASSE MEDIA, DN 1.1/4", E = *3,25* MM, PESO *3,14* KG/M (NBR 5580)</t>
  </si>
  <si>
    <t>TUBO ACO GALVANIZADO COM COSTURA, CLASSE MEDIA, DN 1", E = 3,38 MM, PESO 2,50 KG/M (NBR 5580)</t>
  </si>
  <si>
    <t>TUBO ACO GALVANIZADO COM COSTURA, CLASSE MEDIA, DN 4", E = 4,50* MM, PESO 12,10* KG/M (NBR 5580)</t>
  </si>
  <si>
    <t>FUNDO ANTICORROSIVO PARA METAIS FERROSOS (ZARCAO)</t>
  </si>
  <si>
    <t>COTOVELO 90 GRAUS DE FERRO GALVANIZADO, COM ROSCA BSP, DE 1"</t>
  </si>
  <si>
    <t>TE 45 GRAUS DE FERRO GALVANIZADO, COM ROSCA BSP, DE 2 1/2"</t>
  </si>
  <si>
    <t>ADAPTADOR PVC SOLDAVEL, COM FLANGES LIVRES, 75 MM X 2  1/2", PARA CAIXA D' AGUA</t>
  </si>
  <si>
    <t>CHUMBADOR DE ACO TIPO PARABOLT, * 5/8" X 200* MM,  COM PORCA E ARRUELA</t>
  </si>
  <si>
    <t>LIXA EM FOLHA PARA FERRO, NUMERO 150</t>
  </si>
  <si>
    <t>SOLVENTE DILUENTE A BASE DE AGUARRAS</t>
  </si>
  <si>
    <t>TINTA ESMALTE SINTETICO PREMIUM FOSCO</t>
  </si>
  <si>
    <t>FITA DE VEDAÇÃO</t>
  </si>
  <si>
    <t>HIDRANTE COM REGISTRO GLOBO AMARELO 2 1/2''</t>
  </si>
  <si>
    <t>AUXILIAR DE ENCANADOR OU BOMBEIRO HIDRAULICO</t>
  </si>
  <si>
    <t>ENCANADOR OU BOMBEIRO HIDRAULICO</t>
  </si>
  <si>
    <t>TAMPAO COM CORRENTE, EM LATAO, ENGATE RAPIDO 2 1/2", PARA INSTALACAO PREDIAL DE COMBATE A INCENDIO</t>
  </si>
  <si>
    <t>ELETRODUTO EM FERRO GALVANIZADO PESADO SEM COSTURA 3/4" X 3M</t>
  </si>
  <si>
    <t>I5739</t>
  </si>
  <si>
    <t>VÁLVULA DE FLUXO EM AÇO GALV. (2 1/2")</t>
  </si>
  <si>
    <t>TUBO DRENO, CORRUGADO, ESPIRALADO, FLEXIVEL, PERFURADO, EM POLIETILENO DE ALTA DENSIDADE (PEAD), DN 65 MM, (2 1/2") PARA DRENAGEM - EM ROLO (NORMA DNIT 093/2006 - EM)</t>
  </si>
  <si>
    <t>ELETROCALHA METÁLICA PERFURADA 75 X 50 X 3000 MM (REF. VL 3.01 75/50 GE VALEMAM OU SIMILAR)</t>
  </si>
  <si>
    <t>TÊ HORIZONTAL 150 X 50MM PARA ELETROCALHA METÁLICA</t>
  </si>
  <si>
    <t>ELETROTÉCNICO COM ENCARGOS COMPLEMENTARES</t>
  </si>
  <si>
    <t>VERGALHÃO (TIRANTE) COM ROSCA TOTAL Ø 1/4"X1000MM (MARVITEC REF. 1431 OU SIMILAR)</t>
  </si>
  <si>
    <t>CAIXA DE PASSAGEM METALICA DE SOBREPOR COM TAMPA PARAFUSADA, DIMENSOES 30 X 30 X 10 CM</t>
  </si>
  <si>
    <t>CAIXA PASSAG. CHAPA C/TAMPA PARAF. 150X150X800MM</t>
  </si>
  <si>
    <t>SENSOR DE PRESENÇA</t>
  </si>
  <si>
    <t>CENTRAL DE ALARME DIGITAL COM 2 BATERIAS ADEMCO VISTA 50 OU SIMILAR (ATÉ 40 PONTOS)</t>
  </si>
  <si>
    <t>I1067</t>
  </si>
  <si>
    <t>ELETRODUTO DE ALUMINIO DE 3/4"</t>
  </si>
  <si>
    <t>I1064</t>
  </si>
  <si>
    <t>ELETRODUTO DE ALUMINIO DE 1"</t>
  </si>
  <si>
    <t>LUMINÁRIA TIPO SPOT DE EMBUTIR COM LÂMPADA LED 15W</t>
  </si>
  <si>
    <t>CAIXA P/QUADRO ELETRICO EM CHAPA METALICA D=60 X 50 X 20CM</t>
  </si>
  <si>
    <t>CONTATOR TRIPOLAR, CORRENTE DE *65* A, TENSAO NOMINAL DE *500* V, CATEGORIA AC-2 E AC-3</t>
  </si>
  <si>
    <t>CHAVE BLINDADA BIPOLAR 30A</t>
  </si>
  <si>
    <t>SINALIZADOR 22,5 MM</t>
  </si>
  <si>
    <t>CONTATOR TRIPOLAR, CORRENTE DE *22* A, TENSAO NOMINAL DE *500* V, CATEGORIA AC-2 E AC-3</t>
  </si>
  <si>
    <t>CONTATOR TRIPOLAR, CORRENTE DE 12 A, TENSAO NOMINAL DE *500* V, CATEGORIA AC-2 E AC-3</t>
  </si>
  <si>
    <t>CABO BALANCEADO 2 X 0,30MM (PARA MICROFONE)</t>
  </si>
  <si>
    <t>PRÉ-AMPLIFICADOR GONGO PGH-3000 AMBIENCE LINE HAYONIK</t>
  </si>
  <si>
    <t>PARAFUSO DE FIXAÇÃO COM BUCHA PLÁSTICA 8 MM</t>
  </si>
  <si>
    <t>HASTE DE ATERRAMENTO GALVANIZADA A FOGO 3/8" X 3,45M (RE-BAR) TEL-760</t>
  </si>
  <si>
    <t>CLIPS 3/8" , P/HASTE DE ATERRAMENTO GALVANIZADA, REF:TEL-5238</t>
  </si>
  <si>
    <t>CARTUCHO DE SOLDA EXOTÉRMICA N.º 90</t>
  </si>
  <si>
    <t>I7378</t>
  </si>
  <si>
    <t>MOLDE P/ SOLDA TIPO "T" ATÉ 35MM²</t>
  </si>
  <si>
    <t>I0457</t>
  </si>
  <si>
    <t>CANALETA 25X30MM PARA CABOS</t>
  </si>
  <si>
    <t>LUMINÁRIA AUTONOMA DE EMERGÊNCIA 2 X 55W, LUXTRON OU SIMILAR</t>
  </si>
  <si>
    <t>CABO DE COBRE ISOLADO EPR, FLEXIVEL,  25MM²,  12/20KV / 90º C (EPROTENAX OU SIMILAR)</t>
  </si>
  <si>
    <t>TRANSFORMADO A SECO 500KVA 13800-380/220V</t>
  </si>
  <si>
    <t>TRANSFORMADOR A SECO 300KVA 13800-380/220V</t>
  </si>
  <si>
    <t>CHUMBADOR, DIAMETRO 1/4" COM PARAFUSO 1/4" X 40 MM</t>
  </si>
  <si>
    <t>PERFILADO PERFURADO DUPLO 38 X 76 MM, CHAPA 22</t>
  </si>
  <si>
    <t>VERGALHAO ZINCADO ROSCA TOTAL, 1/4 " (6,3 MM)</t>
  </si>
  <si>
    <t>PORCA ZINCADA, SEXTAVADA, DIAMETRO 1/4"</t>
  </si>
  <si>
    <t>ARAME GALVANIZADO 12 BWG, 2,76 MM (0,048 KG/M)</t>
  </si>
  <si>
    <t>TELA DE ARAME GALV REVESTIDO EM PVC, QUADRANGULAR / LOSANGULAR,  FIO 2,77 MM (12 BWG), BITOLA FINAL = *3,8* MM, MALHA  7,5 X 7,5 CM, H = 2 M</t>
  </si>
  <si>
    <t>MECÂNICO DE REFRIGERAÇÃO COM ENCARGOS COMPLEMENTARES</t>
  </si>
  <si>
    <t>AUXILIAR DE MECÂNICO COM ENCARGOS COMPLEMENTARES</t>
  </si>
  <si>
    <t>EXAUSTOR AXIAL MULTIVAC MOD MURO 150A</t>
  </si>
  <si>
    <t>I1179</t>
  </si>
  <si>
    <t>FITA DE CALDEAÇÃO</t>
  </si>
  <si>
    <t>MANTA BUTILICA. ESPESSURA 0.8MM</t>
  </si>
  <si>
    <t>PASTA PARA SOLDAR</t>
  </si>
  <si>
    <t>I1872</t>
  </si>
  <si>
    <t>SOLDA 50X50</t>
  </si>
  <si>
    <t>ISOLAMENTO ESPONJOSO ELASTOMÉRICO PARA TUBO DE COBRE 1 1/8"</t>
  </si>
  <si>
    <t>ISOLAMENTO ESPONJOSO ELASTOMÉRICO PARA TUBO DE COBRE 7/8"</t>
  </si>
  <si>
    <t>ISOLAMENTO ESPONJOSO ELASTOMÉRICO PARA TUBO DE COBRE 1"</t>
  </si>
  <si>
    <t>TINTA ASFALTICA IMPERMEABILIZANTE DISPERSA EM AGUA, PARA MATERIAIS CIMENTICIOS</t>
  </si>
  <si>
    <t>MANTA LIQUIDA DE BASE ASFALTICA MODIFICADA COM A ADICAO DE ELASTOMEROS DILUIDOS EM SOLVENTE ORGANICO, APLICACAO A FRIO (MEMBRANA IMPERMEABILIZANTE ASFASTICA)</t>
  </si>
  <si>
    <t>MANTA ASFALTICA ELASTOMERICA EM POLIESTER ALUMINIZADA 3 MM, TIPO III, CLASSE B (NBR 9952)</t>
  </si>
  <si>
    <t>IMPERMEABILIZADOR COM ENCARGOS COMPLEMENTARES</t>
  </si>
  <si>
    <t>GUARDA-CORPO EM TUBO DE AÇO INOX Ø=1 1/2", DUPLO, MONTANTES E FECHAMENTO EM TUBO 1 1/2", H= 96CM, C/ACABAMENTO POLIDO, P/FIXAÇÃO EM PISO</t>
  </si>
  <si>
    <t>CHAPA ACO XADREZ 1/8" (28KG/M2)</t>
  </si>
  <si>
    <t>CHAPA ACO FINA A QUENTE 3/16" 4,75MM (38,00KG/M2)</t>
  </si>
  <si>
    <t>TUBO ACO GALVANIZADO DIN 2440 NBR 5580 1/2" (1.267KG/M)</t>
  </si>
  <si>
    <t>ESCADA MARINHEIRO PERFIL ACO SOLDADO COM GUARDA CORPO</t>
  </si>
  <si>
    <t>LETRA ACO INOX (AISI 304), CHAPA NUM. 22, RECORTADO, H= 20 CM (SEM RELEVO)</t>
  </si>
  <si>
    <t>SALÁRIO HORA</t>
  </si>
  <si>
    <t>CUSTO HORÁRIO</t>
  </si>
  <si>
    <t>ACIDO MURIATICO, DILUICAO 10% A 12% PARA USO EM LIMPEZA</t>
  </si>
  <si>
    <t>C1619 - LAVATÓRIO DE LOUÇA BRANCA S/COLUNA C/TORNEIRA E ACESSÓRIOS - DE CANTO (UN)</t>
  </si>
  <si>
    <t>CHAPA DE LAMINADO MELAMINICO, TEXTURIZADO, DE *1,25 X 3,08* M, E = 0,8 MM</t>
  </si>
  <si>
    <t>PRÓPRIA</t>
  </si>
  <si>
    <t>VALOR (R$)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</si>
  <si>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</si>
  <si>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</si>
  <si>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</si>
  <si>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</si>
  <si>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</si>
  <si>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</si>
  <si>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</si>
  <si>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</si>
  <si>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</si>
  <si>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</si>
  <si>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</si>
  <si>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</si>
  <si>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 PARCELA</t>
  </si>
  <si>
    <r>
      <rPr>
        <sz val="11"/>
        <rFont val="Times New Roman"/>
        <family val="1"/>
      </rPr>
      <t>1.1.1</t>
    </r>
  </si>
  <si>
    <r>
      <rPr>
        <sz val="11"/>
        <rFont val="Times New Roman"/>
        <family val="1"/>
      </rPr>
      <t>1.1.2</t>
    </r>
  </si>
  <si>
    <r>
      <rPr>
        <sz val="11"/>
        <rFont val="Times New Roman"/>
        <family val="1"/>
      </rPr>
      <t>1.1.3</t>
    </r>
  </si>
  <si>
    <r>
      <rPr>
        <sz val="11"/>
        <rFont val="Times New Roman"/>
        <family val="1"/>
      </rPr>
      <t>1.1.4</t>
    </r>
  </si>
  <si>
    <r>
      <rPr>
        <sz val="11"/>
        <rFont val="Times New Roman"/>
        <family val="1"/>
      </rPr>
      <t>1.1.5</t>
    </r>
  </si>
  <si>
    <r>
      <rPr>
        <sz val="11"/>
        <rFont val="Times New Roman"/>
        <family val="1"/>
      </rPr>
      <t>1.1.6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</si>
  <si>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</si>
  <si>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2.1</t>
    </r>
  </si>
  <si>
    <r>
      <rPr>
        <sz val="11"/>
        <rFont val="Times New Roman"/>
        <family val="1"/>
      </rPr>
      <t>2.1.1</t>
    </r>
  </si>
  <si>
    <r>
      <rPr>
        <sz val="11"/>
        <rFont val="Times New Roman"/>
        <family val="1"/>
      </rPr>
      <t>2.1.2</t>
    </r>
  </si>
  <si>
    <r>
      <rPr>
        <sz val="11"/>
        <rFont val="Times New Roman"/>
        <family val="1"/>
      </rPr>
      <t>2.1.3</t>
    </r>
  </si>
  <si>
    <r>
      <rPr>
        <sz val="11"/>
        <rFont val="Times New Roman"/>
        <family val="1"/>
      </rPr>
      <t>2.1.4</t>
    </r>
  </si>
  <si>
    <r>
      <rPr>
        <sz val="11"/>
        <rFont val="Times New Roman"/>
        <family val="1"/>
      </rPr>
      <t>2.1.5</t>
    </r>
  </si>
  <si>
    <r>
      <rPr>
        <sz val="11"/>
        <rFont val="Times New Roman"/>
        <family val="1"/>
      </rPr>
      <t>2.1.6</t>
    </r>
  </si>
  <si>
    <r>
      <rPr>
        <sz val="11"/>
        <rFont val="Times New Roman"/>
        <family val="1"/>
      </rPr>
      <t>2.1.7</t>
    </r>
  </si>
  <si>
    <r>
      <rPr>
        <sz val="11"/>
        <rFont val="Times New Roman"/>
        <family val="1"/>
      </rPr>
      <t>2.1.8</t>
    </r>
  </si>
  <si>
    <r>
      <rPr>
        <sz val="11"/>
        <rFont val="Times New Roman"/>
        <family val="1"/>
      </rPr>
      <t>2.1.9</t>
    </r>
  </si>
  <si>
    <r>
      <rPr>
        <b/>
        <sz val="11"/>
        <rFont val="Times New Roman"/>
        <family val="1"/>
      </rPr>
      <t>2.2</t>
    </r>
  </si>
  <si>
    <r>
      <rPr>
        <sz val="11"/>
        <rFont val="Times New Roman"/>
        <family val="1"/>
      </rPr>
      <t>2.2.1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</si>
  <si>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</si>
  <si>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3.1</t>
    </r>
  </si>
  <si>
    <r>
      <rPr>
        <sz val="11"/>
        <rFont val="Times New Roman"/>
        <family val="1"/>
      </rPr>
      <t>3.1.1</t>
    </r>
  </si>
  <si>
    <r>
      <rPr>
        <b/>
        <sz val="11"/>
        <rFont val="Times New Roman"/>
        <family val="1"/>
      </rPr>
      <t>3.2</t>
    </r>
  </si>
  <si>
    <r>
      <rPr>
        <sz val="11"/>
        <rFont val="Times New Roman"/>
        <family val="1"/>
      </rPr>
      <t>3.2.1</t>
    </r>
  </si>
  <si>
    <r>
      <rPr>
        <b/>
        <sz val="11"/>
        <rFont val="Times New Roman"/>
        <family val="1"/>
      </rPr>
      <t>3.3</t>
    </r>
  </si>
  <si>
    <r>
      <rPr>
        <sz val="11"/>
        <rFont val="Times New Roman"/>
        <family val="1"/>
      </rPr>
      <t>3.3.1</t>
    </r>
  </si>
  <si>
    <r>
      <rPr>
        <sz val="11"/>
        <rFont val="Times New Roman"/>
        <family val="1"/>
      </rPr>
      <t>3.3.2</t>
    </r>
  </si>
  <si>
    <r>
      <rPr>
        <b/>
        <sz val="11"/>
        <rFont val="Times New Roman"/>
        <family val="1"/>
      </rPr>
      <t>3.4</t>
    </r>
  </si>
  <si>
    <r>
      <rPr>
        <sz val="11"/>
        <rFont val="Times New Roman"/>
        <family val="1"/>
      </rPr>
      <t>3.4.1</t>
    </r>
  </si>
  <si>
    <r>
      <rPr>
        <sz val="11"/>
        <rFont val="Times New Roman"/>
        <family val="1"/>
      </rPr>
      <t>3.4.2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</si>
  <si>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</si>
  <si>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4.1</t>
    </r>
  </si>
  <si>
    <r>
      <rPr>
        <sz val="11"/>
        <rFont val="Times New Roman"/>
        <family val="1"/>
      </rPr>
      <t>4.1.1</t>
    </r>
  </si>
  <si>
    <r>
      <rPr>
        <sz val="11"/>
        <rFont val="Times New Roman"/>
        <family val="1"/>
      </rPr>
      <t>4.1.2</t>
    </r>
  </si>
  <si>
    <r>
      <rPr>
        <sz val="11"/>
        <rFont val="Times New Roman"/>
        <family val="1"/>
      </rPr>
      <t>4.1.3</t>
    </r>
  </si>
  <si>
    <r>
      <rPr>
        <b/>
        <sz val="11"/>
        <rFont val="Times New Roman"/>
        <family val="1"/>
      </rPr>
      <t>4.2</t>
    </r>
  </si>
  <si>
    <r>
      <rPr>
        <sz val="11"/>
        <rFont val="Times New Roman"/>
        <family val="1"/>
      </rPr>
      <t>4.2.1</t>
    </r>
  </si>
  <si>
    <r>
      <rPr>
        <sz val="11"/>
        <rFont val="Times New Roman"/>
        <family val="1"/>
      </rPr>
      <t>4.2.2</t>
    </r>
  </si>
  <si>
    <r>
      <rPr>
        <sz val="11"/>
        <rFont val="Times New Roman"/>
        <family val="1"/>
      </rPr>
      <t>4.2.3</t>
    </r>
  </si>
  <si>
    <r>
      <rPr>
        <sz val="11"/>
        <rFont val="Times New Roman"/>
        <family val="1"/>
      </rPr>
      <t>4.2.4</t>
    </r>
  </si>
  <si>
    <r>
      <rPr>
        <sz val="11"/>
        <rFont val="Times New Roman"/>
        <family val="1"/>
      </rPr>
      <t>4.2.5</t>
    </r>
  </si>
  <si>
    <r>
      <rPr>
        <sz val="11"/>
        <rFont val="Times New Roman"/>
        <family val="1"/>
      </rPr>
      <t>4.2.6</t>
    </r>
  </si>
  <si>
    <r>
      <rPr>
        <sz val="11"/>
        <rFont val="Times New Roman"/>
        <family val="1"/>
      </rPr>
      <t>4.2.7</t>
    </r>
  </si>
  <si>
    <r>
      <rPr>
        <sz val="11"/>
        <rFont val="Times New Roman"/>
        <family val="1"/>
      </rPr>
      <t>4.2.8</t>
    </r>
  </si>
  <si>
    <r>
      <rPr>
        <sz val="11"/>
        <rFont val="Times New Roman"/>
        <family val="1"/>
      </rPr>
      <t>4.2.9</t>
    </r>
  </si>
  <si>
    <r>
      <rPr>
        <sz val="11"/>
        <rFont val="Times New Roman"/>
        <family val="1"/>
      </rPr>
      <t>4.2.10</t>
    </r>
  </si>
  <si>
    <r>
      <rPr>
        <sz val="11"/>
        <rFont val="Times New Roman"/>
        <family val="1"/>
      </rPr>
      <t>4.2.11</t>
    </r>
  </si>
  <si>
    <r>
      <rPr>
        <sz val="11"/>
        <rFont val="Times New Roman"/>
        <family val="1"/>
      </rPr>
      <t>4.2.12</t>
    </r>
  </si>
  <si>
    <r>
      <rPr>
        <b/>
        <sz val="11"/>
        <rFont val="Times New Roman"/>
        <family val="1"/>
      </rPr>
      <t>4.3</t>
    </r>
  </si>
  <si>
    <r>
      <rPr>
        <sz val="11"/>
        <rFont val="Times New Roman"/>
        <family val="1"/>
      </rPr>
      <t>4.3.1</t>
    </r>
  </si>
  <si>
    <r>
      <rPr>
        <sz val="11"/>
        <rFont val="Times New Roman"/>
        <family val="1"/>
      </rPr>
      <t>4.3.2</t>
    </r>
  </si>
  <si>
    <r>
      <rPr>
        <sz val="11"/>
        <rFont val="Times New Roman"/>
        <family val="1"/>
      </rPr>
      <t>4.3.3</t>
    </r>
  </si>
  <si>
    <r>
      <rPr>
        <sz val="11"/>
        <rFont val="Times New Roman"/>
        <family val="1"/>
      </rPr>
      <t>4.3.4</t>
    </r>
  </si>
  <si>
    <r>
      <rPr>
        <sz val="11"/>
        <rFont val="Times New Roman"/>
        <family val="1"/>
      </rPr>
      <t>4.3.5</t>
    </r>
  </si>
  <si>
    <r>
      <rPr>
        <sz val="11"/>
        <rFont val="Times New Roman"/>
        <family val="1"/>
      </rPr>
      <t>4.3.6</t>
    </r>
  </si>
  <si>
    <r>
      <rPr>
        <sz val="11"/>
        <rFont val="Times New Roman"/>
        <family val="1"/>
      </rPr>
      <t>4.3.7</t>
    </r>
  </si>
  <si>
    <r>
      <rPr>
        <sz val="11"/>
        <rFont val="Times New Roman"/>
        <family val="1"/>
      </rPr>
      <t>4.3.8</t>
    </r>
  </si>
  <si>
    <r>
      <rPr>
        <sz val="11"/>
        <rFont val="Times New Roman"/>
        <family val="1"/>
      </rPr>
      <t>4.3.9</t>
    </r>
  </si>
  <si>
    <r>
      <rPr>
        <b/>
        <sz val="11"/>
        <rFont val="Times New Roman"/>
        <family val="1"/>
      </rPr>
      <t>5</t>
    </r>
  </si>
  <si>
    <r>
      <rPr>
        <sz val="11"/>
        <rFont val="Times New Roman"/>
        <family val="1"/>
      </rPr>
      <t>5.1</t>
    </r>
  </si>
  <si>
    <r>
      <rPr>
        <sz val="11"/>
        <rFont val="Times New Roman"/>
        <family val="1"/>
      </rPr>
      <t>5.2</t>
    </r>
  </si>
  <si>
    <r>
      <rPr>
        <sz val="11"/>
        <rFont val="Times New Roman"/>
        <family val="1"/>
      </rPr>
      <t>5.4</t>
    </r>
  </si>
  <si>
    <r>
      <rPr>
        <sz val="11"/>
        <rFont val="Times New Roman"/>
        <family val="1"/>
      </rPr>
      <t>5.5</t>
    </r>
  </si>
  <si>
    <r>
      <rPr>
        <sz val="11"/>
        <rFont val="Times New Roman"/>
        <family val="1"/>
      </rPr>
      <t>5.6</t>
    </r>
  </si>
  <si>
    <r>
      <rPr>
        <sz val="11"/>
        <rFont val="Times New Roman"/>
        <family val="1"/>
      </rPr>
      <t>5.7</t>
    </r>
  </si>
  <si>
    <r>
      <rPr>
        <sz val="11"/>
        <rFont val="Times New Roman"/>
        <family val="1"/>
      </rPr>
      <t>5.8</t>
    </r>
  </si>
  <si>
    <r>
      <rPr>
        <sz val="11"/>
        <rFont val="Times New Roman"/>
        <family val="1"/>
      </rPr>
      <t>5.9</t>
    </r>
  </si>
  <si>
    <r>
      <rPr>
        <sz val="11"/>
        <rFont val="Times New Roman"/>
        <family val="1"/>
      </rPr>
      <t>5.10</t>
    </r>
  </si>
  <si>
    <r>
      <rPr>
        <sz val="11"/>
        <rFont val="Times New Roman"/>
        <family val="1"/>
      </rPr>
      <t>5.11</t>
    </r>
  </si>
  <si>
    <r>
      <rPr>
        <sz val="11"/>
        <rFont val="Times New Roman"/>
        <family val="1"/>
      </rPr>
      <t>5.12</t>
    </r>
  </si>
  <si>
    <r>
      <rPr>
        <sz val="11"/>
        <rFont val="Times New Roman"/>
        <family val="1"/>
      </rPr>
      <t>5.13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</si>
  <si>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</si>
  <si>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6.1</t>
    </r>
  </si>
  <si>
    <r>
      <rPr>
        <b/>
        <sz val="11"/>
        <rFont val="Times New Roman"/>
        <family val="1"/>
      </rPr>
      <t>6.1.1</t>
    </r>
  </si>
  <si>
    <r>
      <rPr>
        <sz val="11"/>
        <rFont val="Times New Roman"/>
        <family val="1"/>
      </rPr>
      <t>6.1.1.1</t>
    </r>
  </si>
  <si>
    <r>
      <rPr>
        <sz val="11"/>
        <rFont val="Times New Roman"/>
        <family val="1"/>
      </rPr>
      <t>6.1.1.2</t>
    </r>
  </si>
  <si>
    <r>
      <rPr>
        <sz val="11"/>
        <rFont val="Times New Roman"/>
        <family val="1"/>
      </rPr>
      <t>6.1.1.3</t>
    </r>
  </si>
  <si>
    <r>
      <rPr>
        <sz val="11"/>
        <rFont val="Times New Roman"/>
        <family val="1"/>
      </rPr>
      <t>6.1.1.4</t>
    </r>
  </si>
  <si>
    <r>
      <rPr>
        <sz val="11"/>
        <rFont val="Times New Roman"/>
        <family val="1"/>
      </rPr>
      <t>6.1.1.5</t>
    </r>
  </si>
  <si>
    <r>
      <rPr>
        <sz val="11"/>
        <rFont val="Times New Roman"/>
        <family val="1"/>
      </rPr>
      <t>6.1.1.6</t>
    </r>
  </si>
  <si>
    <r>
      <rPr>
        <sz val="11"/>
        <rFont val="Times New Roman"/>
        <family val="1"/>
      </rPr>
      <t>6.1.1.7</t>
    </r>
  </si>
  <si>
    <r>
      <rPr>
        <sz val="11"/>
        <rFont val="Times New Roman"/>
        <family val="1"/>
      </rPr>
      <t>6.1.1.8</t>
    </r>
  </si>
  <si>
    <r>
      <rPr>
        <sz val="11"/>
        <rFont val="Times New Roman"/>
        <family val="1"/>
      </rPr>
      <t>6.1.1.9</t>
    </r>
  </si>
  <si>
    <r>
      <rPr>
        <sz val="11"/>
        <rFont val="Times New Roman"/>
        <family val="1"/>
      </rPr>
      <t>6.1.1.10</t>
    </r>
  </si>
  <si>
    <r>
      <rPr>
        <b/>
        <sz val="11"/>
        <rFont val="Times New Roman"/>
        <family val="1"/>
      </rPr>
      <t>6.1.2</t>
    </r>
  </si>
  <si>
    <r>
      <rPr>
        <sz val="11"/>
        <rFont val="Times New Roman"/>
        <family val="1"/>
      </rPr>
      <t>6.1.2.1</t>
    </r>
  </si>
  <si>
    <r>
      <rPr>
        <sz val="11"/>
        <rFont val="Times New Roman"/>
        <family val="1"/>
      </rPr>
      <t>6.1.2.2</t>
    </r>
  </si>
  <si>
    <r>
      <rPr>
        <sz val="11"/>
        <rFont val="Times New Roman"/>
        <family val="1"/>
      </rPr>
      <t>6.1.2.3</t>
    </r>
  </si>
  <si>
    <r>
      <rPr>
        <sz val="11"/>
        <rFont val="Times New Roman"/>
        <family val="1"/>
      </rPr>
      <t>6.1.2.4</t>
    </r>
  </si>
  <si>
    <r>
      <rPr>
        <sz val="11"/>
        <rFont val="Times New Roman"/>
        <family val="1"/>
      </rPr>
      <t>6.1.2.5</t>
    </r>
  </si>
  <si>
    <r>
      <rPr>
        <sz val="11"/>
        <rFont val="Times New Roman"/>
        <family val="1"/>
      </rPr>
      <t>6.1.2.6</t>
    </r>
  </si>
  <si>
    <r>
      <rPr>
        <sz val="11"/>
        <rFont val="Times New Roman"/>
        <family val="1"/>
      </rPr>
      <t>6.1.2.7</t>
    </r>
  </si>
  <si>
    <r>
      <rPr>
        <sz val="11"/>
        <rFont val="Times New Roman"/>
        <family val="1"/>
      </rPr>
      <t>6.1.2.8</t>
    </r>
  </si>
  <si>
    <r>
      <rPr>
        <sz val="11"/>
        <rFont val="Times New Roman"/>
        <family val="1"/>
      </rPr>
      <t>6.1.2.9</t>
    </r>
  </si>
  <si>
    <r>
      <rPr>
        <sz val="11"/>
        <rFont val="Times New Roman"/>
        <family val="1"/>
      </rPr>
      <t>6.1.2.10</t>
    </r>
  </si>
  <si>
    <r>
      <rPr>
        <b/>
        <sz val="11"/>
        <rFont val="Times New Roman"/>
        <family val="1"/>
      </rPr>
      <t>6.1.3</t>
    </r>
  </si>
  <si>
    <r>
      <rPr>
        <sz val="11"/>
        <rFont val="Times New Roman"/>
        <family val="1"/>
      </rPr>
      <t>6.1.3.1</t>
    </r>
  </si>
  <si>
    <r>
      <rPr>
        <sz val="11"/>
        <rFont val="Times New Roman"/>
        <family val="1"/>
      </rPr>
      <t>6.1.3.2</t>
    </r>
  </si>
  <si>
    <r>
      <rPr>
        <b/>
        <sz val="11"/>
        <rFont val="Times New Roman"/>
        <family val="1"/>
      </rPr>
      <t>6.1.4</t>
    </r>
  </si>
  <si>
    <r>
      <rPr>
        <sz val="11"/>
        <rFont val="Times New Roman"/>
        <family val="1"/>
      </rPr>
      <t>6.1.4.1</t>
    </r>
  </si>
  <si>
    <r>
      <rPr>
        <sz val="11"/>
        <rFont val="Times New Roman"/>
        <family val="1"/>
      </rPr>
      <t>6.1.4.2</t>
    </r>
  </si>
  <si>
    <r>
      <rPr>
        <sz val="11"/>
        <rFont val="Times New Roman"/>
        <family val="1"/>
      </rPr>
      <t>6.1.4.3</t>
    </r>
  </si>
  <si>
    <r>
      <rPr>
        <sz val="11"/>
        <rFont val="Times New Roman"/>
        <family val="1"/>
      </rPr>
      <t>6.1.4.4</t>
    </r>
  </si>
  <si>
    <r>
      <rPr>
        <b/>
        <sz val="11"/>
        <rFont val="Times New Roman"/>
        <family val="1"/>
      </rPr>
      <t>6.1.5</t>
    </r>
  </si>
  <si>
    <r>
      <rPr>
        <sz val="11"/>
        <rFont val="Times New Roman"/>
        <family val="1"/>
      </rPr>
      <t>6.1.5.1</t>
    </r>
  </si>
  <si>
    <r>
      <rPr>
        <sz val="11"/>
        <rFont val="Times New Roman"/>
        <family val="1"/>
      </rPr>
      <t>6.1.5.2</t>
    </r>
  </si>
  <si>
    <r>
      <rPr>
        <sz val="11"/>
        <rFont val="Times New Roman"/>
        <family val="1"/>
      </rPr>
      <t>6.1.5.3</t>
    </r>
  </si>
  <si>
    <r>
      <rPr>
        <sz val="11"/>
        <rFont val="Times New Roman"/>
        <family val="1"/>
      </rPr>
      <t>6.1.5.4</t>
    </r>
  </si>
  <si>
    <r>
      <rPr>
        <sz val="11"/>
        <rFont val="Times New Roman"/>
        <family val="1"/>
      </rPr>
      <t>6.1.5.5</t>
    </r>
  </si>
  <si>
    <r>
      <rPr>
        <sz val="11"/>
        <rFont val="Times New Roman"/>
        <family val="1"/>
      </rPr>
      <t>6.1.5.6</t>
    </r>
  </si>
  <si>
    <r>
      <rPr>
        <sz val="11"/>
        <rFont val="Times New Roman"/>
        <family val="1"/>
      </rPr>
      <t>6.1.5.7</t>
    </r>
  </si>
  <si>
    <r>
      <rPr>
        <sz val="11"/>
        <rFont val="Times New Roman"/>
        <family val="1"/>
      </rPr>
      <t>6.1.5.8</t>
    </r>
  </si>
  <si>
    <r>
      <rPr>
        <sz val="11"/>
        <rFont val="Times New Roman"/>
        <family val="1"/>
      </rPr>
      <t>6.1.5.9</t>
    </r>
  </si>
  <si>
    <r>
      <rPr>
        <sz val="11"/>
        <rFont val="Times New Roman"/>
        <family val="1"/>
      </rPr>
      <t>6.1.5.10</t>
    </r>
  </si>
  <si>
    <r>
      <rPr>
        <b/>
        <sz val="11"/>
        <rFont val="Times New Roman"/>
        <family val="1"/>
      </rPr>
      <t>6.2</t>
    </r>
  </si>
  <si>
    <r>
      <rPr>
        <b/>
        <sz val="11"/>
        <rFont val="Times New Roman"/>
        <family val="1"/>
      </rPr>
      <t>6.2.1</t>
    </r>
  </si>
  <si>
    <r>
      <rPr>
        <sz val="11"/>
        <rFont val="Times New Roman"/>
        <family val="1"/>
      </rPr>
      <t>6.2.1.1</t>
    </r>
  </si>
  <si>
    <r>
      <rPr>
        <b/>
        <sz val="11"/>
        <rFont val="Times New Roman"/>
        <family val="1"/>
      </rPr>
      <t>7</t>
    </r>
  </si>
  <si>
    <r>
      <rPr>
        <sz val="11"/>
        <rFont val="Times New Roman"/>
        <family val="1"/>
      </rPr>
      <t>7.1</t>
    </r>
  </si>
  <si>
    <r>
      <rPr>
        <sz val="11"/>
        <rFont val="Times New Roman"/>
        <family val="1"/>
      </rPr>
      <t>7.2</t>
    </r>
  </si>
  <si>
    <r>
      <rPr>
        <b/>
        <sz val="11"/>
        <rFont val="Times New Roman"/>
        <family val="1"/>
      </rPr>
      <t>8</t>
    </r>
  </si>
  <si>
    <r>
      <rPr>
        <b/>
        <sz val="11"/>
        <rFont val="Times New Roman"/>
        <family val="1"/>
      </rPr>
      <t>8.1</t>
    </r>
  </si>
  <si>
    <r>
      <rPr>
        <sz val="11"/>
        <rFont val="Times New Roman"/>
        <family val="1"/>
      </rPr>
      <t>8.1.1</t>
    </r>
  </si>
  <si>
    <r>
      <rPr>
        <sz val="11"/>
        <rFont val="Times New Roman"/>
        <family val="1"/>
      </rPr>
      <t>8.1.2</t>
    </r>
  </si>
  <si>
    <r>
      <rPr>
        <sz val="11"/>
        <rFont val="Times New Roman"/>
        <family val="1"/>
      </rPr>
      <t>8.1.3</t>
    </r>
  </si>
  <si>
    <r>
      <rPr>
        <sz val="11"/>
        <rFont val="Times New Roman"/>
        <family val="1"/>
      </rPr>
      <t>8.1.4</t>
    </r>
  </si>
  <si>
    <r>
      <rPr>
        <sz val="11"/>
        <rFont val="Times New Roman"/>
        <family val="1"/>
      </rPr>
      <t>8.1.5</t>
    </r>
  </si>
  <si>
    <r>
      <rPr>
        <sz val="11"/>
        <rFont val="Times New Roman"/>
        <family val="1"/>
      </rPr>
      <t>8.1.6</t>
    </r>
  </si>
  <si>
    <r>
      <rPr>
        <sz val="11"/>
        <rFont val="Times New Roman"/>
        <family val="1"/>
      </rPr>
      <t>8.1.7</t>
    </r>
  </si>
  <si>
    <r>
      <rPr>
        <b/>
        <sz val="11"/>
        <rFont val="Times New Roman"/>
        <family val="1"/>
      </rPr>
      <t>8.2</t>
    </r>
  </si>
  <si>
    <r>
      <rPr>
        <sz val="11"/>
        <rFont val="Times New Roman"/>
        <family val="1"/>
      </rPr>
      <t>8.2.1</t>
    </r>
  </si>
  <si>
    <r>
      <rPr>
        <b/>
        <sz val="11"/>
        <rFont val="Times New Roman"/>
        <family val="1"/>
      </rPr>
      <t>9</t>
    </r>
  </si>
  <si>
    <r>
      <rPr>
        <sz val="11"/>
        <rFont val="Times New Roman"/>
        <family val="1"/>
      </rPr>
      <t>9.1</t>
    </r>
  </si>
  <si>
    <r>
      <rPr>
        <sz val="11"/>
        <rFont val="Times New Roman"/>
        <family val="1"/>
      </rPr>
      <t>9.2</t>
    </r>
  </si>
  <si>
    <r>
      <rPr>
        <b/>
        <sz val="11"/>
        <rFont val="Times New Roman"/>
        <family val="1"/>
      </rPr>
      <t>10</t>
    </r>
  </si>
  <si>
    <r>
      <rPr>
        <sz val="11"/>
        <rFont val="Times New Roman"/>
        <family val="1"/>
      </rPr>
      <t>10.1</t>
    </r>
  </si>
  <si>
    <r>
      <rPr>
        <b/>
        <sz val="11"/>
        <rFont val="Times New Roman"/>
        <family val="1"/>
      </rPr>
      <t>11</t>
    </r>
  </si>
  <si>
    <r>
      <rPr>
        <sz val="11"/>
        <rFont val="Times New Roman"/>
        <family val="1"/>
      </rPr>
      <t>11.1</t>
    </r>
  </si>
  <si>
    <r>
      <rPr>
        <sz val="11"/>
        <rFont val="Times New Roman"/>
        <family val="1"/>
      </rPr>
      <t>11.2</t>
    </r>
  </si>
  <si>
    <r>
      <rPr>
        <sz val="11"/>
        <rFont val="Times New Roman"/>
        <family val="1"/>
      </rPr>
      <t>11.3</t>
    </r>
  </si>
  <si>
    <r>
      <rPr>
        <sz val="11"/>
        <rFont val="Times New Roman"/>
        <family val="1"/>
      </rPr>
      <t>11.4</t>
    </r>
  </si>
  <si>
    <r>
      <rPr>
        <sz val="11"/>
        <rFont val="Times New Roman"/>
        <family val="1"/>
      </rPr>
      <t>11.5</t>
    </r>
  </si>
  <si>
    <r>
      <rPr>
        <sz val="11"/>
        <rFont val="Times New Roman"/>
        <family val="1"/>
      </rPr>
      <t>11.6</t>
    </r>
  </si>
  <si>
    <r>
      <rPr>
        <b/>
        <sz val="11"/>
        <rFont val="Times New Roman"/>
        <family val="1"/>
      </rPr>
      <t>12</t>
    </r>
  </si>
  <si>
    <r>
      <rPr>
        <sz val="11"/>
        <rFont val="Times New Roman"/>
        <family val="1"/>
      </rPr>
      <t>12.1</t>
    </r>
  </si>
  <si>
    <r>
      <rPr>
        <sz val="11"/>
        <rFont val="Times New Roman"/>
        <family val="1"/>
      </rPr>
      <t>12.2</t>
    </r>
  </si>
  <si>
    <r>
      <rPr>
        <b/>
        <sz val="11"/>
        <rFont val="Times New Roman"/>
        <family val="1"/>
      </rPr>
      <t>13</t>
    </r>
  </si>
  <si>
    <r>
      <rPr>
        <sz val="11"/>
        <rFont val="Times New Roman"/>
        <family val="1"/>
      </rPr>
      <t>13.1</t>
    </r>
  </si>
  <si>
    <r>
      <rPr>
        <sz val="11"/>
        <rFont val="Times New Roman"/>
        <family val="1"/>
      </rPr>
      <t>13.2</t>
    </r>
  </si>
  <si>
    <r>
      <rPr>
        <sz val="11"/>
        <rFont val="Times New Roman"/>
        <family val="1"/>
      </rPr>
      <t>13.3</t>
    </r>
  </si>
  <si>
    <r>
      <rPr>
        <sz val="11"/>
        <rFont val="Times New Roman"/>
        <family val="1"/>
      </rPr>
      <t>13.4</t>
    </r>
  </si>
  <si>
    <r>
      <rPr>
        <sz val="11"/>
        <rFont val="Times New Roman"/>
        <family val="1"/>
      </rPr>
      <t>13.5</t>
    </r>
  </si>
  <si>
    <r>
      <rPr>
        <sz val="11"/>
        <rFont val="Times New Roman"/>
        <family val="1"/>
      </rPr>
      <t>13.6</t>
    </r>
  </si>
  <si>
    <r>
      <rPr>
        <sz val="11"/>
        <rFont val="Times New Roman"/>
        <family val="1"/>
      </rPr>
      <t>13.7</t>
    </r>
  </si>
  <si>
    <r>
      <rPr>
        <sz val="11"/>
        <rFont val="Times New Roman"/>
        <family val="1"/>
      </rPr>
      <t>13.8</t>
    </r>
  </si>
  <si>
    <r>
      <rPr>
        <sz val="11"/>
        <rFont val="Times New Roman"/>
        <family val="1"/>
      </rPr>
      <t>13.10</t>
    </r>
  </si>
  <si>
    <r>
      <rPr>
        <b/>
        <sz val="11"/>
        <rFont val="Times New Roman"/>
        <family val="1"/>
      </rPr>
      <t>14</t>
    </r>
  </si>
  <si>
    <r>
      <rPr>
        <sz val="11"/>
        <rFont val="Times New Roman"/>
        <family val="1"/>
      </rPr>
      <t>14.1</t>
    </r>
  </si>
  <si>
    <r>
      <rPr>
        <sz val="11"/>
        <rFont val="Times New Roman"/>
        <family val="1"/>
      </rPr>
      <t>14.2</t>
    </r>
  </si>
  <si>
    <r>
      <rPr>
        <sz val="11"/>
        <rFont val="Times New Roman"/>
        <family val="1"/>
      </rPr>
      <t>14.3</t>
    </r>
  </si>
  <si>
    <r>
      <rPr>
        <sz val="11"/>
        <rFont val="Times New Roman"/>
        <family val="1"/>
      </rPr>
      <t>14.4</t>
    </r>
  </si>
  <si>
    <r>
      <rPr>
        <sz val="11"/>
        <rFont val="Times New Roman"/>
        <family val="1"/>
      </rPr>
      <t>14.5</t>
    </r>
  </si>
  <si>
    <r>
      <rPr>
        <b/>
        <sz val="11"/>
        <rFont val="Times New Roman"/>
        <family val="1"/>
      </rPr>
      <t>15</t>
    </r>
  </si>
  <si>
    <r>
      <rPr>
        <sz val="11"/>
        <rFont val="Times New Roman"/>
        <family val="1"/>
      </rPr>
      <t>15.1</t>
    </r>
  </si>
  <si>
    <r>
      <rPr>
        <sz val="11"/>
        <rFont val="Times New Roman"/>
        <family val="1"/>
      </rPr>
      <t>15.2</t>
    </r>
  </si>
  <si>
    <r>
      <rPr>
        <sz val="11"/>
        <rFont val="Times New Roman"/>
        <family val="1"/>
      </rPr>
      <t>15.3</t>
    </r>
  </si>
  <si>
    <r>
      <rPr>
        <sz val="11"/>
        <rFont val="Times New Roman"/>
        <family val="1"/>
      </rPr>
      <t>15.4</t>
    </r>
  </si>
  <si>
    <r>
      <rPr>
        <sz val="11"/>
        <rFont val="Times New Roman"/>
        <family val="1"/>
      </rPr>
      <t>15.5</t>
    </r>
  </si>
  <si>
    <r>
      <rPr>
        <b/>
        <sz val="11"/>
        <rFont val="Times New Roman"/>
        <family val="1"/>
      </rPr>
      <t>16</t>
    </r>
  </si>
  <si>
    <r>
      <rPr>
        <b/>
        <sz val="11"/>
        <rFont val="Times New Roman"/>
        <family val="1"/>
      </rPr>
      <t>16.1</t>
    </r>
  </si>
  <si>
    <r>
      <rPr>
        <b/>
        <sz val="11"/>
        <rFont val="Times New Roman"/>
        <family val="1"/>
      </rPr>
      <t>16.1.1</t>
    </r>
  </si>
  <si>
    <r>
      <rPr>
        <b/>
        <sz val="11"/>
        <rFont val="Times New Roman"/>
        <family val="1"/>
      </rPr>
      <t>16.1.1.1</t>
    </r>
  </si>
  <si>
    <r>
      <rPr>
        <sz val="11"/>
        <rFont val="Times New Roman"/>
        <family val="1"/>
      </rPr>
      <t>16.1.1.1.1</t>
    </r>
  </si>
  <si>
    <r>
      <rPr>
        <sz val="11"/>
        <rFont val="Times New Roman"/>
        <family val="1"/>
      </rPr>
      <t>16.1.1.1.2</t>
    </r>
  </si>
  <si>
    <r>
      <rPr>
        <sz val="11"/>
        <rFont val="Times New Roman"/>
        <family val="1"/>
      </rPr>
      <t>16.1.1.1.3</t>
    </r>
  </si>
  <si>
    <r>
      <rPr>
        <sz val="11"/>
        <rFont val="Times New Roman"/>
        <family val="1"/>
      </rPr>
      <t>16.1.1.1.4</t>
    </r>
  </si>
  <si>
    <r>
      <rPr>
        <sz val="11"/>
        <rFont val="Times New Roman"/>
        <family val="1"/>
      </rPr>
      <t>16.1.1.1.5</t>
    </r>
  </si>
  <si>
    <r>
      <rPr>
        <sz val="11"/>
        <rFont val="Times New Roman"/>
        <family val="1"/>
      </rPr>
      <t>16.1.1.1.6</t>
    </r>
  </si>
  <si>
    <r>
      <rPr>
        <sz val="11"/>
        <rFont val="Times New Roman"/>
        <family val="1"/>
      </rPr>
      <t>16.1.1.1.7</t>
    </r>
  </si>
  <si>
    <r>
      <rPr>
        <sz val="11"/>
        <rFont val="Times New Roman"/>
        <family val="1"/>
      </rPr>
      <t>16.1.1.1.8</t>
    </r>
  </si>
  <si>
    <r>
      <rPr>
        <sz val="11"/>
        <rFont val="Times New Roman"/>
        <family val="1"/>
      </rPr>
      <t>16.1.1.1.9</t>
    </r>
  </si>
  <si>
    <r>
      <rPr>
        <sz val="11"/>
        <rFont val="Times New Roman"/>
        <family val="1"/>
      </rPr>
      <t>16.1.1.1.10</t>
    </r>
  </si>
  <si>
    <r>
      <rPr>
        <sz val="11"/>
        <rFont val="Times New Roman"/>
        <family val="1"/>
      </rPr>
      <t>16.1.1.1.11</t>
    </r>
  </si>
  <si>
    <r>
      <rPr>
        <sz val="11"/>
        <rFont val="Times New Roman"/>
        <family val="1"/>
      </rPr>
      <t>16.1.1.1.12</t>
    </r>
  </si>
  <si>
    <r>
      <rPr>
        <sz val="11"/>
        <rFont val="Times New Roman"/>
        <family val="1"/>
      </rPr>
      <t>16.1.1.1.13</t>
    </r>
  </si>
  <si>
    <r>
      <rPr>
        <sz val="11"/>
        <rFont val="Times New Roman"/>
        <family val="1"/>
      </rPr>
      <t>16.1.1.1.14</t>
    </r>
  </si>
  <si>
    <r>
      <rPr>
        <sz val="11"/>
        <rFont val="Times New Roman"/>
        <family val="1"/>
      </rPr>
      <t>16.1.1.1.15</t>
    </r>
  </si>
  <si>
    <r>
      <rPr>
        <sz val="11"/>
        <rFont val="Times New Roman"/>
        <family val="1"/>
      </rPr>
      <t>16.1.1.1.16</t>
    </r>
  </si>
  <si>
    <r>
      <rPr>
        <sz val="11"/>
        <rFont val="Times New Roman"/>
        <family val="1"/>
      </rPr>
      <t>16.1.1.1.17</t>
    </r>
  </si>
  <si>
    <r>
      <rPr>
        <sz val="11"/>
        <rFont val="Times New Roman"/>
        <family val="1"/>
      </rPr>
      <t>16.1.1.1.18</t>
    </r>
  </si>
  <si>
    <r>
      <rPr>
        <sz val="11"/>
        <rFont val="Times New Roman"/>
        <family val="1"/>
      </rPr>
      <t>16.1.1.1.19</t>
    </r>
  </si>
  <si>
    <r>
      <rPr>
        <sz val="11"/>
        <rFont val="Times New Roman"/>
        <family val="1"/>
      </rPr>
      <t>16.1.1.1.20</t>
    </r>
  </si>
  <si>
    <r>
      <rPr>
        <sz val="11"/>
        <rFont val="Times New Roman"/>
        <family val="1"/>
      </rPr>
      <t>16.1.1.1.21</t>
    </r>
  </si>
  <si>
    <r>
      <rPr>
        <sz val="11"/>
        <rFont val="Times New Roman"/>
        <family val="1"/>
      </rPr>
      <t>16.1.1.1.22</t>
    </r>
  </si>
  <si>
    <r>
      <rPr>
        <sz val="11"/>
        <rFont val="Times New Roman"/>
        <family val="1"/>
      </rPr>
      <t>16.1.1.1.23</t>
    </r>
  </si>
  <si>
    <r>
      <rPr>
        <sz val="11"/>
        <rFont val="Times New Roman"/>
        <family val="1"/>
      </rPr>
      <t>16.1.1.1.24</t>
    </r>
  </si>
  <si>
    <r>
      <rPr>
        <sz val="11"/>
        <rFont val="Times New Roman"/>
        <family val="1"/>
      </rPr>
      <t>16.1.1.1.25</t>
    </r>
  </si>
  <si>
    <r>
      <rPr>
        <sz val="11"/>
        <rFont val="Times New Roman"/>
        <family val="1"/>
      </rPr>
      <t>16.1.1.1.26</t>
    </r>
  </si>
  <si>
    <r>
      <rPr>
        <sz val="11"/>
        <rFont val="Times New Roman"/>
        <family val="1"/>
      </rPr>
      <t>16.1.1.1.27</t>
    </r>
  </si>
  <si>
    <r>
      <rPr>
        <sz val="11"/>
        <rFont val="Times New Roman"/>
        <family val="1"/>
      </rPr>
      <t>16.1.1.1.28</t>
    </r>
  </si>
  <si>
    <r>
      <rPr>
        <sz val="11"/>
        <rFont val="Times New Roman"/>
        <family val="1"/>
      </rPr>
      <t>16.1.1.1.29</t>
    </r>
  </si>
  <si>
    <r>
      <rPr>
        <sz val="11"/>
        <rFont val="Times New Roman"/>
        <family val="1"/>
      </rPr>
      <t>16.1.1.1.30</t>
    </r>
  </si>
  <si>
    <r>
      <rPr>
        <sz val="11"/>
        <rFont val="Times New Roman"/>
        <family val="1"/>
      </rPr>
      <t>16.1.1.1.31</t>
    </r>
  </si>
  <si>
    <r>
      <rPr>
        <sz val="11"/>
        <rFont val="Times New Roman"/>
        <family val="1"/>
      </rPr>
      <t>16.1.1.1.32</t>
    </r>
  </si>
  <si>
    <r>
      <rPr>
        <sz val="11"/>
        <rFont val="Times New Roman"/>
        <family val="1"/>
      </rPr>
      <t>16.1.1.1.33</t>
    </r>
  </si>
  <si>
    <r>
      <rPr>
        <sz val="11"/>
        <rFont val="Times New Roman"/>
        <family val="1"/>
      </rPr>
      <t>16.1.1.1.34</t>
    </r>
  </si>
  <si>
    <r>
      <rPr>
        <b/>
        <sz val="11"/>
        <rFont val="Times New Roman"/>
        <family val="1"/>
      </rPr>
      <t>16.1.1.2</t>
    </r>
  </si>
  <si>
    <r>
      <rPr>
        <sz val="11"/>
        <rFont val="Times New Roman"/>
        <family val="1"/>
      </rPr>
      <t>16.1.1.2.1</t>
    </r>
  </si>
  <si>
    <r>
      <rPr>
        <sz val="11"/>
        <rFont val="Times New Roman"/>
        <family val="1"/>
      </rPr>
      <t>16.1.1.2.2</t>
    </r>
  </si>
  <si>
    <r>
      <rPr>
        <sz val="11"/>
        <rFont val="Times New Roman"/>
        <family val="1"/>
      </rPr>
      <t>16.1.1.2.3</t>
    </r>
  </si>
  <si>
    <r>
      <rPr>
        <sz val="11"/>
        <rFont val="Times New Roman"/>
        <family val="1"/>
      </rPr>
      <t>16.1.1.2.4</t>
    </r>
  </si>
  <si>
    <r>
      <rPr>
        <sz val="11"/>
        <rFont val="Times New Roman"/>
        <family val="1"/>
      </rPr>
      <t>16.1.1.2.5</t>
    </r>
  </si>
  <si>
    <r>
      <rPr>
        <sz val="11"/>
        <rFont val="Times New Roman"/>
        <family val="1"/>
      </rPr>
      <t>16.1.1.2.6</t>
    </r>
  </si>
  <si>
    <r>
      <rPr>
        <sz val="11"/>
        <rFont val="Times New Roman"/>
        <family val="1"/>
      </rPr>
      <t>16.1.1.2.7</t>
    </r>
  </si>
  <si>
    <r>
      <rPr>
        <sz val="11"/>
        <rFont val="Times New Roman"/>
        <family val="1"/>
      </rPr>
      <t>16.1.1.2.8</t>
    </r>
  </si>
  <si>
    <r>
      <rPr>
        <sz val="11"/>
        <rFont val="Times New Roman"/>
        <family val="1"/>
      </rPr>
      <t>16.1.1.2.9</t>
    </r>
  </si>
  <si>
    <r>
      <rPr>
        <sz val="11"/>
        <rFont val="Times New Roman"/>
        <family val="1"/>
      </rPr>
      <t>16.1.1.2.10</t>
    </r>
  </si>
  <si>
    <r>
      <rPr>
        <sz val="11"/>
        <rFont val="Times New Roman"/>
        <family val="1"/>
      </rPr>
      <t>16.1.1.2.11</t>
    </r>
  </si>
  <si>
    <r>
      <rPr>
        <sz val="11"/>
        <rFont val="Times New Roman"/>
        <family val="1"/>
      </rPr>
      <t>16.1.1.2.12</t>
    </r>
  </si>
  <si>
    <r>
      <rPr>
        <sz val="11"/>
        <rFont val="Times New Roman"/>
        <family val="1"/>
      </rPr>
      <t>16.1.1.2.13</t>
    </r>
  </si>
  <si>
    <r>
      <rPr>
        <b/>
        <sz val="11"/>
        <rFont val="Times New Roman"/>
        <family val="1"/>
      </rPr>
      <t>16.1.1.3</t>
    </r>
  </si>
  <si>
    <r>
      <rPr>
        <sz val="11"/>
        <rFont val="Times New Roman"/>
        <family val="1"/>
      </rPr>
      <t>16.1.1.3.1</t>
    </r>
  </si>
  <si>
    <r>
      <rPr>
        <b/>
        <sz val="11"/>
        <rFont val="Times New Roman"/>
        <family val="1"/>
      </rPr>
      <t>16.1.1.4</t>
    </r>
  </si>
  <si>
    <r>
      <rPr>
        <sz val="11"/>
        <rFont val="Times New Roman"/>
        <family val="1"/>
      </rPr>
      <t>16.1.1.4.1</t>
    </r>
  </si>
  <si>
    <r>
      <rPr>
        <sz val="11"/>
        <rFont val="Times New Roman"/>
        <family val="1"/>
      </rPr>
      <t>16.1.1.4.2</t>
    </r>
  </si>
  <si>
    <r>
      <rPr>
        <sz val="11"/>
        <rFont val="Times New Roman"/>
        <family val="1"/>
      </rPr>
      <t>16.1.1.4.3</t>
    </r>
  </si>
  <si>
    <r>
      <rPr>
        <sz val="11"/>
        <rFont val="Times New Roman"/>
        <family val="1"/>
      </rPr>
      <t>16.1.1.4.4</t>
    </r>
  </si>
  <si>
    <r>
      <rPr>
        <sz val="11"/>
        <rFont val="Times New Roman"/>
        <family val="1"/>
      </rPr>
      <t>16.1.1.4.5</t>
    </r>
  </si>
  <si>
    <r>
      <rPr>
        <sz val="11"/>
        <rFont val="Times New Roman"/>
        <family val="1"/>
      </rPr>
      <t>16.1.1.4.6</t>
    </r>
  </si>
  <si>
    <r>
      <rPr>
        <b/>
        <sz val="11"/>
        <rFont val="Times New Roman"/>
        <family val="1"/>
      </rPr>
      <t>16.1.1.5</t>
    </r>
  </si>
  <si>
    <r>
      <rPr>
        <sz val="11"/>
        <rFont val="Times New Roman"/>
        <family val="1"/>
      </rPr>
      <t>16.1.1.5.1</t>
    </r>
  </si>
  <si>
    <r>
      <rPr>
        <sz val="11"/>
        <rFont val="Times New Roman"/>
        <family val="1"/>
      </rPr>
      <t>16.1.1.5.2</t>
    </r>
  </si>
  <si>
    <r>
      <rPr>
        <b/>
        <sz val="11"/>
        <rFont val="Times New Roman"/>
        <family val="1"/>
      </rPr>
      <t>16.1.2</t>
    </r>
  </si>
  <si>
    <r>
      <rPr>
        <b/>
        <sz val="11"/>
        <rFont val="Times New Roman"/>
        <family val="1"/>
      </rPr>
      <t>16.1.2.1</t>
    </r>
  </si>
  <si>
    <r>
      <rPr>
        <sz val="11"/>
        <rFont val="Times New Roman"/>
        <family val="1"/>
      </rPr>
      <t>16.1.2.1.1</t>
    </r>
  </si>
  <si>
    <r>
      <rPr>
        <sz val="11"/>
        <rFont val="Times New Roman"/>
        <family val="1"/>
      </rPr>
      <t>16.1.2.1.2</t>
    </r>
  </si>
  <si>
    <r>
      <rPr>
        <sz val="11"/>
        <rFont val="Times New Roman"/>
        <family val="1"/>
      </rPr>
      <t>16.1.2.1.3</t>
    </r>
  </si>
  <si>
    <r>
      <rPr>
        <sz val="11"/>
        <rFont val="Times New Roman"/>
        <family val="1"/>
      </rPr>
      <t>16.1.2.1.4</t>
    </r>
  </si>
  <si>
    <r>
      <rPr>
        <sz val="11"/>
        <rFont val="Times New Roman"/>
        <family val="1"/>
      </rPr>
      <t>16.1.2.1.5</t>
    </r>
  </si>
  <si>
    <r>
      <rPr>
        <sz val="11"/>
        <rFont val="Times New Roman"/>
        <family val="1"/>
      </rPr>
      <t>16.1.2.1.6</t>
    </r>
  </si>
  <si>
    <r>
      <rPr>
        <sz val="11"/>
        <rFont val="Times New Roman"/>
        <family val="1"/>
      </rPr>
      <t>16.1.2.1.7</t>
    </r>
  </si>
  <si>
    <r>
      <rPr>
        <sz val="11"/>
        <rFont val="Times New Roman"/>
        <family val="1"/>
      </rPr>
      <t>16.1.2.1.8</t>
    </r>
  </si>
  <si>
    <r>
      <rPr>
        <sz val="11"/>
        <rFont val="Times New Roman"/>
        <family val="1"/>
      </rPr>
      <t>16.1.2.1.9</t>
    </r>
  </si>
  <si>
    <r>
      <rPr>
        <sz val="11"/>
        <rFont val="Times New Roman"/>
        <family val="1"/>
      </rPr>
      <t>16.1.2.1.10</t>
    </r>
  </si>
  <si>
    <r>
      <rPr>
        <sz val="11"/>
        <rFont val="Times New Roman"/>
        <family val="1"/>
      </rPr>
      <t>16.1.2.1.11</t>
    </r>
  </si>
  <si>
    <r>
      <rPr>
        <sz val="11"/>
        <rFont val="Times New Roman"/>
        <family val="1"/>
      </rPr>
      <t>16.1.2.1.12</t>
    </r>
  </si>
  <si>
    <r>
      <rPr>
        <sz val="11"/>
        <rFont val="Times New Roman"/>
        <family val="1"/>
      </rPr>
      <t>16.1.2.1.13</t>
    </r>
  </si>
  <si>
    <r>
      <rPr>
        <sz val="11"/>
        <rFont val="Times New Roman"/>
        <family val="1"/>
      </rPr>
      <t>16.1.2.1.14</t>
    </r>
  </si>
  <si>
    <r>
      <rPr>
        <sz val="11"/>
        <rFont val="Times New Roman"/>
        <family val="1"/>
      </rPr>
      <t>16.1.2.1.15</t>
    </r>
  </si>
  <si>
    <r>
      <rPr>
        <sz val="11"/>
        <rFont val="Times New Roman"/>
        <family val="1"/>
      </rPr>
      <t>16.1.2.1.16</t>
    </r>
  </si>
  <si>
    <r>
      <rPr>
        <sz val="11"/>
        <rFont val="Times New Roman"/>
        <family val="1"/>
      </rPr>
      <t>16.1.2.1.17</t>
    </r>
  </si>
  <si>
    <r>
      <rPr>
        <sz val="11"/>
        <rFont val="Times New Roman"/>
        <family val="1"/>
      </rPr>
      <t>16.1.2.1.18</t>
    </r>
  </si>
  <si>
    <r>
      <rPr>
        <sz val="11"/>
        <rFont val="Times New Roman"/>
        <family val="1"/>
      </rPr>
      <t>16.1.2.1.19</t>
    </r>
  </si>
  <si>
    <r>
      <rPr>
        <sz val="11"/>
        <rFont val="Times New Roman"/>
        <family val="1"/>
      </rPr>
      <t>16.1.2.1.20</t>
    </r>
  </si>
  <si>
    <r>
      <rPr>
        <b/>
        <sz val="11"/>
        <rFont val="Times New Roman"/>
        <family val="1"/>
      </rPr>
      <t>16.1.2.2</t>
    </r>
  </si>
  <si>
    <r>
      <rPr>
        <sz val="11"/>
        <rFont val="Times New Roman"/>
        <family val="1"/>
      </rPr>
      <t>16.1.2.2.1</t>
    </r>
  </si>
  <si>
    <r>
      <rPr>
        <sz val="11"/>
        <rFont val="Times New Roman"/>
        <family val="1"/>
      </rPr>
      <t>16.1.2.2.2</t>
    </r>
  </si>
  <si>
    <r>
      <rPr>
        <sz val="11"/>
        <rFont val="Times New Roman"/>
        <family val="1"/>
      </rPr>
      <t>16.1.2.2.3</t>
    </r>
  </si>
  <si>
    <r>
      <rPr>
        <sz val="11"/>
        <rFont val="Times New Roman"/>
        <family val="1"/>
      </rPr>
      <t>16.1.2.2.4</t>
    </r>
  </si>
  <si>
    <r>
      <rPr>
        <b/>
        <sz val="11"/>
        <rFont val="Times New Roman"/>
        <family val="1"/>
      </rPr>
      <t>16.1.3</t>
    </r>
  </si>
  <si>
    <r>
      <rPr>
        <b/>
        <sz val="11"/>
        <rFont val="Times New Roman"/>
        <family val="1"/>
      </rPr>
      <t>16.1.3.1</t>
    </r>
  </si>
  <si>
    <r>
      <rPr>
        <sz val="11"/>
        <rFont val="Times New Roman"/>
        <family val="1"/>
      </rPr>
      <t>16.1.3.1.1</t>
    </r>
  </si>
  <si>
    <r>
      <rPr>
        <sz val="11"/>
        <rFont val="Times New Roman"/>
        <family val="1"/>
      </rPr>
      <t>16.1.3.1.2</t>
    </r>
  </si>
  <si>
    <r>
      <rPr>
        <sz val="11"/>
        <rFont val="Times New Roman"/>
        <family val="1"/>
      </rPr>
      <t>16.1.3.1.3</t>
    </r>
  </si>
  <si>
    <r>
      <rPr>
        <sz val="11"/>
        <rFont val="Times New Roman"/>
        <family val="1"/>
      </rPr>
      <t>16.1.3.1.4</t>
    </r>
  </si>
  <si>
    <r>
      <rPr>
        <sz val="11"/>
        <rFont val="Times New Roman"/>
        <family val="1"/>
      </rPr>
      <t>16.1.3.1.5</t>
    </r>
  </si>
  <si>
    <r>
      <rPr>
        <sz val="11"/>
        <rFont val="Times New Roman"/>
        <family val="1"/>
      </rPr>
      <t>16.1.3.1.6</t>
    </r>
  </si>
  <si>
    <r>
      <rPr>
        <sz val="11"/>
        <rFont val="Times New Roman"/>
        <family val="1"/>
      </rPr>
      <t>16.1.3.1.7</t>
    </r>
  </si>
  <si>
    <r>
      <rPr>
        <sz val="11"/>
        <rFont val="Times New Roman"/>
        <family val="1"/>
      </rPr>
      <t>16.1.3.1.8</t>
    </r>
  </si>
  <si>
    <r>
      <rPr>
        <sz val="11"/>
        <rFont val="Times New Roman"/>
        <family val="1"/>
      </rPr>
      <t>16.1.3.1.9</t>
    </r>
  </si>
  <si>
    <r>
      <rPr>
        <sz val="11"/>
        <rFont val="Times New Roman"/>
        <family val="1"/>
      </rPr>
      <t>16.1.3.1.10</t>
    </r>
  </si>
  <si>
    <r>
      <rPr>
        <sz val="11"/>
        <rFont val="Times New Roman"/>
        <family val="1"/>
      </rPr>
      <t>16.1.3.1.11</t>
    </r>
  </si>
  <si>
    <r>
      <rPr>
        <sz val="11"/>
        <rFont val="Times New Roman"/>
        <family val="1"/>
      </rPr>
      <t>16.1.3.1.12</t>
    </r>
  </si>
  <si>
    <r>
      <rPr>
        <sz val="11"/>
        <rFont val="Times New Roman"/>
        <family val="1"/>
      </rPr>
      <t>16.1.3.1.13</t>
    </r>
  </si>
  <si>
    <r>
      <rPr>
        <sz val="11"/>
        <rFont val="Times New Roman"/>
        <family val="1"/>
      </rPr>
      <t>16.1.3.1.14</t>
    </r>
  </si>
  <si>
    <r>
      <rPr>
        <sz val="11"/>
        <rFont val="Times New Roman"/>
        <family val="1"/>
      </rPr>
      <t>16.1.3.1.15</t>
    </r>
  </si>
  <si>
    <r>
      <rPr>
        <sz val="11"/>
        <rFont val="Times New Roman"/>
        <family val="1"/>
      </rPr>
      <t>16.1.3.1.16</t>
    </r>
  </si>
  <si>
    <r>
      <rPr>
        <sz val="11"/>
        <rFont val="Times New Roman"/>
        <family val="1"/>
      </rPr>
      <t>16.1.3.1.17</t>
    </r>
  </si>
  <si>
    <r>
      <rPr>
        <sz val="11"/>
        <rFont val="Times New Roman"/>
        <family val="1"/>
      </rPr>
      <t>16.1.3.1.18</t>
    </r>
  </si>
  <si>
    <r>
      <rPr>
        <sz val="11"/>
        <rFont val="Times New Roman"/>
        <family val="1"/>
      </rPr>
      <t>16.1.3.1.19</t>
    </r>
  </si>
  <si>
    <r>
      <rPr>
        <sz val="11"/>
        <rFont val="Times New Roman"/>
        <family val="1"/>
      </rPr>
      <t>16.1.3.1.20</t>
    </r>
  </si>
  <si>
    <r>
      <rPr>
        <sz val="11"/>
        <rFont val="Times New Roman"/>
        <family val="1"/>
      </rPr>
      <t>16.1.3.1.21</t>
    </r>
  </si>
  <si>
    <r>
      <rPr>
        <sz val="11"/>
        <rFont val="Times New Roman"/>
        <family val="1"/>
      </rPr>
      <t>16.1.3.1.22</t>
    </r>
  </si>
  <si>
    <r>
      <rPr>
        <sz val="11"/>
        <rFont val="Times New Roman"/>
        <family val="1"/>
      </rPr>
      <t>16.1.3.1.23</t>
    </r>
  </si>
  <si>
    <r>
      <rPr>
        <sz val="11"/>
        <rFont val="Times New Roman"/>
        <family val="1"/>
      </rPr>
      <t>16.1.3.1.24</t>
    </r>
  </si>
  <si>
    <r>
      <rPr>
        <sz val="11"/>
        <rFont val="Times New Roman"/>
        <family val="1"/>
      </rPr>
      <t>16.1.3.1.25</t>
    </r>
  </si>
  <si>
    <r>
      <rPr>
        <sz val="11"/>
        <rFont val="Times New Roman"/>
        <family val="1"/>
      </rPr>
      <t>16.1.3.1.26</t>
    </r>
  </si>
  <si>
    <r>
      <rPr>
        <sz val="11"/>
        <rFont val="Times New Roman"/>
        <family val="1"/>
      </rPr>
      <t>16.1.3.1.27</t>
    </r>
  </si>
  <si>
    <r>
      <rPr>
        <sz val="11"/>
        <rFont val="Times New Roman"/>
        <family val="1"/>
      </rPr>
      <t>16.1.3.1.28</t>
    </r>
  </si>
  <si>
    <r>
      <rPr>
        <sz val="11"/>
        <rFont val="Times New Roman"/>
        <family val="1"/>
      </rPr>
      <t>16.1.3.1.29</t>
    </r>
  </si>
  <si>
    <r>
      <rPr>
        <sz val="11"/>
        <rFont val="Times New Roman"/>
        <family val="1"/>
      </rPr>
      <t>16.1.3.1.30</t>
    </r>
  </si>
  <si>
    <r>
      <rPr>
        <sz val="11"/>
        <rFont val="Times New Roman"/>
        <family val="1"/>
      </rPr>
      <t>16.1.3.1.31</t>
    </r>
  </si>
  <si>
    <r>
      <rPr>
        <sz val="11"/>
        <rFont val="Times New Roman"/>
        <family val="1"/>
      </rPr>
      <t>16.1.3.1.32</t>
    </r>
  </si>
  <si>
    <r>
      <rPr>
        <sz val="11"/>
        <rFont val="Times New Roman"/>
        <family val="1"/>
      </rPr>
      <t>16.1.3.1.33</t>
    </r>
  </si>
  <si>
    <r>
      <rPr>
        <b/>
        <sz val="11"/>
        <rFont val="Times New Roman"/>
        <family val="1"/>
      </rPr>
      <t>16.1.3.2</t>
    </r>
  </si>
  <si>
    <r>
      <rPr>
        <sz val="11"/>
        <rFont val="Times New Roman"/>
        <family val="1"/>
      </rPr>
      <t>16.1.3.2.1</t>
    </r>
  </si>
  <si>
    <r>
      <rPr>
        <sz val="11"/>
        <rFont val="Times New Roman"/>
        <family val="1"/>
      </rPr>
      <t>16.1.3.2.2</t>
    </r>
  </si>
  <si>
    <r>
      <rPr>
        <sz val="11"/>
        <rFont val="Times New Roman"/>
        <family val="1"/>
      </rPr>
      <t>16.1.3.2.3</t>
    </r>
  </si>
  <si>
    <r>
      <rPr>
        <b/>
        <sz val="11"/>
        <rFont val="Times New Roman"/>
        <family val="1"/>
      </rPr>
      <t>16.1.4</t>
    </r>
  </si>
  <si>
    <r>
      <rPr>
        <b/>
        <sz val="11"/>
        <rFont val="Times New Roman"/>
        <family val="1"/>
      </rPr>
      <t>16.1.4.1</t>
    </r>
  </si>
  <si>
    <r>
      <rPr>
        <sz val="11"/>
        <rFont val="Times New Roman"/>
        <family val="1"/>
      </rPr>
      <t>16.1.4.1.1</t>
    </r>
  </si>
  <si>
    <r>
      <rPr>
        <sz val="11"/>
        <rFont val="Times New Roman"/>
        <family val="1"/>
      </rPr>
      <t>16.1.4.1.2</t>
    </r>
  </si>
  <si>
    <r>
      <rPr>
        <sz val="11"/>
        <rFont val="Times New Roman"/>
        <family val="1"/>
      </rPr>
      <t>16.1.4.1.3</t>
    </r>
  </si>
  <si>
    <r>
      <rPr>
        <sz val="11"/>
        <rFont val="Times New Roman"/>
        <family val="1"/>
      </rPr>
      <t>16.1.4.1.4</t>
    </r>
  </si>
  <si>
    <r>
      <rPr>
        <sz val="11"/>
        <rFont val="Times New Roman"/>
        <family val="1"/>
      </rPr>
      <t>16.1.4.1.5</t>
    </r>
  </si>
  <si>
    <r>
      <rPr>
        <sz val="11"/>
        <rFont val="Times New Roman"/>
        <family val="1"/>
      </rPr>
      <t>16.1.4.1.6</t>
    </r>
  </si>
  <si>
    <r>
      <rPr>
        <sz val="11"/>
        <rFont val="Times New Roman"/>
        <family val="1"/>
      </rPr>
      <t>16.1.4.1.7</t>
    </r>
  </si>
  <si>
    <r>
      <rPr>
        <b/>
        <sz val="11"/>
        <rFont val="Times New Roman"/>
        <family val="1"/>
      </rPr>
      <t>16.1.5</t>
    </r>
  </si>
  <si>
    <r>
      <rPr>
        <sz val="11"/>
        <rFont val="Times New Roman"/>
        <family val="1"/>
      </rPr>
      <t>16.1.5.1</t>
    </r>
  </si>
  <si>
    <r>
      <rPr>
        <sz val="11"/>
        <rFont val="Times New Roman"/>
        <family val="1"/>
      </rPr>
      <t>16.1.5.2</t>
    </r>
  </si>
  <si>
    <r>
      <rPr>
        <sz val="11"/>
        <rFont val="Times New Roman"/>
        <family val="1"/>
      </rPr>
      <t>16.1.5.3</t>
    </r>
  </si>
  <si>
    <r>
      <rPr>
        <sz val="11"/>
        <rFont val="Times New Roman"/>
        <family val="1"/>
      </rPr>
      <t>16.1.5.4</t>
    </r>
  </si>
  <si>
    <r>
      <rPr>
        <b/>
        <sz val="11"/>
        <rFont val="Times New Roman"/>
        <family val="1"/>
      </rPr>
      <t>16.2</t>
    </r>
  </si>
  <si>
    <r>
      <rPr>
        <b/>
        <sz val="11"/>
        <rFont val="Times New Roman"/>
        <family val="1"/>
      </rPr>
      <t>16.2.1</t>
    </r>
  </si>
  <si>
    <r>
      <rPr>
        <b/>
        <sz val="11"/>
        <rFont val="Times New Roman"/>
        <family val="1"/>
      </rPr>
      <t>16.2.1.1</t>
    </r>
  </si>
  <si>
    <r>
      <rPr>
        <sz val="11"/>
        <rFont val="Times New Roman"/>
        <family val="1"/>
      </rPr>
      <t>16.2.1.1.1</t>
    </r>
  </si>
  <si>
    <r>
      <rPr>
        <sz val="11"/>
        <rFont val="Times New Roman"/>
        <family val="1"/>
      </rPr>
      <t>16.2.1.1.2</t>
    </r>
  </si>
  <si>
    <r>
      <rPr>
        <sz val="11"/>
        <rFont val="Times New Roman"/>
        <family val="1"/>
      </rPr>
      <t>16.2.1.1.3</t>
    </r>
  </si>
  <si>
    <r>
      <rPr>
        <sz val="11"/>
        <rFont val="Times New Roman"/>
        <family val="1"/>
      </rPr>
      <t>16.2.1.1.4</t>
    </r>
  </si>
  <si>
    <r>
      <rPr>
        <sz val="11"/>
        <rFont val="Times New Roman"/>
        <family val="1"/>
      </rPr>
      <t>16.2.1.1.5</t>
    </r>
  </si>
  <si>
    <r>
      <rPr>
        <sz val="11"/>
        <rFont val="Times New Roman"/>
        <family val="1"/>
      </rPr>
      <t>16.2.1.1.6</t>
    </r>
  </si>
  <si>
    <r>
      <rPr>
        <sz val="11"/>
        <rFont val="Times New Roman"/>
        <family val="1"/>
      </rPr>
      <t>16.2.1.1.7</t>
    </r>
  </si>
  <si>
    <r>
      <rPr>
        <sz val="11"/>
        <rFont val="Times New Roman"/>
        <family val="1"/>
      </rPr>
      <t>16.2.1.1.8</t>
    </r>
  </si>
  <si>
    <r>
      <rPr>
        <sz val="11"/>
        <rFont val="Times New Roman"/>
        <family val="1"/>
      </rPr>
      <t>16.2.1.1.9</t>
    </r>
  </si>
  <si>
    <r>
      <rPr>
        <sz val="11"/>
        <rFont val="Times New Roman"/>
        <family val="1"/>
      </rPr>
      <t>16.2.1.1.10</t>
    </r>
  </si>
  <si>
    <r>
      <rPr>
        <sz val="11"/>
        <rFont val="Times New Roman"/>
        <family val="1"/>
      </rPr>
      <t>16.2.1.1.11</t>
    </r>
  </si>
  <si>
    <r>
      <rPr>
        <sz val="11"/>
        <rFont val="Times New Roman"/>
        <family val="1"/>
      </rPr>
      <t>16.2.1.1.12</t>
    </r>
  </si>
  <si>
    <r>
      <rPr>
        <sz val="11"/>
        <rFont val="Times New Roman"/>
        <family val="1"/>
      </rPr>
      <t>16.2.1.1.13</t>
    </r>
  </si>
  <si>
    <r>
      <rPr>
        <sz val="11"/>
        <rFont val="Times New Roman"/>
        <family val="1"/>
      </rPr>
      <t>16.2.1.1.14</t>
    </r>
  </si>
  <si>
    <r>
      <rPr>
        <b/>
        <sz val="11"/>
        <rFont val="Times New Roman"/>
        <family val="1"/>
      </rPr>
      <t>16.2.1.2</t>
    </r>
  </si>
  <si>
    <r>
      <rPr>
        <sz val="11"/>
        <rFont val="Times New Roman"/>
        <family val="1"/>
      </rPr>
      <t>16.2.1.2.2</t>
    </r>
  </si>
  <si>
    <r>
      <rPr>
        <sz val="11"/>
        <rFont val="Times New Roman"/>
        <family val="1"/>
      </rPr>
      <t>16.2.1.2.3</t>
    </r>
  </si>
  <si>
    <r>
      <rPr>
        <b/>
        <sz val="11"/>
        <rFont val="Times New Roman"/>
        <family val="1"/>
      </rPr>
      <t>16.3</t>
    </r>
  </si>
  <si>
    <r>
      <rPr>
        <b/>
        <sz val="11"/>
        <rFont val="Times New Roman"/>
        <family val="1"/>
      </rPr>
      <t>16.3.1</t>
    </r>
  </si>
  <si>
    <r>
      <rPr>
        <b/>
        <sz val="11"/>
        <rFont val="Times New Roman"/>
        <family val="1"/>
      </rPr>
      <t>16.3.1.1</t>
    </r>
  </si>
  <si>
    <r>
      <rPr>
        <sz val="11"/>
        <rFont val="Times New Roman"/>
        <family val="1"/>
      </rPr>
      <t>16.3.1.1.1</t>
    </r>
  </si>
  <si>
    <r>
      <rPr>
        <sz val="11"/>
        <rFont val="Times New Roman"/>
        <family val="1"/>
      </rPr>
      <t>16.3.1.1.2</t>
    </r>
  </si>
  <si>
    <r>
      <rPr>
        <sz val="11"/>
        <rFont val="Times New Roman"/>
        <family val="1"/>
      </rPr>
      <t>16.3.1.1.3</t>
    </r>
  </si>
  <si>
    <r>
      <rPr>
        <sz val="11"/>
        <rFont val="Times New Roman"/>
        <family val="1"/>
      </rPr>
      <t>16.3.1.1.4</t>
    </r>
  </si>
  <si>
    <r>
      <rPr>
        <sz val="11"/>
        <rFont val="Times New Roman"/>
        <family val="1"/>
      </rPr>
      <t>16.3.1.1.5</t>
    </r>
  </si>
  <si>
    <r>
      <rPr>
        <sz val="11"/>
        <rFont val="Times New Roman"/>
        <family val="1"/>
      </rPr>
      <t>16.3.1.1.6</t>
    </r>
  </si>
  <si>
    <r>
      <rPr>
        <sz val="11"/>
        <rFont val="Times New Roman"/>
        <family val="1"/>
      </rPr>
      <t>16.3.1.1.7</t>
    </r>
  </si>
  <si>
    <r>
      <rPr>
        <sz val="11"/>
        <rFont val="Times New Roman"/>
        <family val="1"/>
      </rPr>
      <t>16.3.1.1.8</t>
    </r>
  </si>
  <si>
    <r>
      <rPr>
        <sz val="11"/>
        <rFont val="Times New Roman"/>
        <family val="1"/>
      </rPr>
      <t>16.3.1.1.9</t>
    </r>
  </si>
  <si>
    <r>
      <rPr>
        <b/>
        <sz val="11"/>
        <rFont val="Times New Roman"/>
        <family val="1"/>
      </rPr>
      <t>16.3.1.2</t>
    </r>
  </si>
  <si>
    <r>
      <rPr>
        <sz val="11"/>
        <rFont val="Times New Roman"/>
        <family val="1"/>
      </rPr>
      <t>16.3.1.2.1</t>
    </r>
  </si>
  <si>
    <r>
      <rPr>
        <sz val="11"/>
        <rFont val="Times New Roman"/>
        <family val="1"/>
      </rPr>
      <t>16.3.1.2.2</t>
    </r>
  </si>
  <si>
    <r>
      <rPr>
        <sz val="11"/>
        <rFont val="Times New Roman"/>
        <family val="1"/>
      </rPr>
      <t>16.3.1.2.3</t>
    </r>
  </si>
  <si>
    <r>
      <rPr>
        <sz val="11"/>
        <rFont val="Times New Roman"/>
        <family val="1"/>
      </rPr>
      <t>16.3.1.2.4</t>
    </r>
  </si>
  <si>
    <r>
      <rPr>
        <sz val="11"/>
        <rFont val="Times New Roman"/>
        <family val="1"/>
      </rPr>
      <t>16.3.1.2.5</t>
    </r>
  </si>
  <si>
    <r>
      <rPr>
        <sz val="11"/>
        <rFont val="Times New Roman"/>
        <family val="1"/>
      </rPr>
      <t>16.3.1.2.7</t>
    </r>
  </si>
  <si>
    <r>
      <rPr>
        <b/>
        <sz val="11"/>
        <rFont val="Times New Roman"/>
        <family val="1"/>
      </rPr>
      <t>16.3.1.3</t>
    </r>
  </si>
  <si>
    <r>
      <rPr>
        <sz val="11"/>
        <rFont val="Times New Roman"/>
        <family val="1"/>
      </rPr>
      <t>16.3.1.3.1</t>
    </r>
  </si>
  <si>
    <r>
      <rPr>
        <sz val="11"/>
        <rFont val="Times New Roman"/>
        <family val="1"/>
      </rPr>
      <t>16.3.1.3.2</t>
    </r>
  </si>
  <si>
    <r>
      <rPr>
        <sz val="11"/>
        <rFont val="Times New Roman"/>
        <family val="1"/>
      </rPr>
      <t>16.3.1.3.3</t>
    </r>
  </si>
  <si>
    <r>
      <rPr>
        <sz val="11"/>
        <rFont val="Times New Roman"/>
        <family val="1"/>
      </rPr>
      <t>16.3.1.3.4</t>
    </r>
  </si>
  <si>
    <r>
      <rPr>
        <sz val="11"/>
        <rFont val="Times New Roman"/>
        <family val="1"/>
      </rPr>
      <t>16.3.1.3.5</t>
    </r>
  </si>
  <si>
    <r>
      <rPr>
        <sz val="11"/>
        <rFont val="Times New Roman"/>
        <family val="1"/>
      </rPr>
      <t>16.3.1.3.6</t>
    </r>
  </si>
  <si>
    <r>
      <rPr>
        <sz val="11"/>
        <rFont val="Times New Roman"/>
        <family val="1"/>
      </rPr>
      <t>16.3.1.3.7</t>
    </r>
  </si>
  <si>
    <r>
      <rPr>
        <sz val="11"/>
        <rFont val="Times New Roman"/>
        <family val="1"/>
      </rPr>
      <t>16.3.1.3.8</t>
    </r>
  </si>
  <si>
    <r>
      <rPr>
        <sz val="11"/>
        <rFont val="Times New Roman"/>
        <family val="1"/>
      </rPr>
      <t>16.3.1.3.9</t>
    </r>
  </si>
  <si>
    <r>
      <rPr>
        <sz val="11"/>
        <rFont val="Times New Roman"/>
        <family val="1"/>
      </rPr>
      <t>16.3.1.3.10</t>
    </r>
  </si>
  <si>
    <r>
      <rPr>
        <b/>
        <sz val="11"/>
        <rFont val="Times New Roman"/>
        <family val="1"/>
      </rPr>
      <t>16.3.1.4</t>
    </r>
  </si>
  <si>
    <r>
      <rPr>
        <sz val="11"/>
        <rFont val="Times New Roman"/>
        <family val="1"/>
      </rPr>
      <t>16.3.1.4.1</t>
    </r>
  </si>
  <si>
    <r>
      <rPr>
        <sz val="11"/>
        <rFont val="Times New Roman"/>
        <family val="1"/>
      </rPr>
      <t>16.3.1.4.2</t>
    </r>
  </si>
  <si>
    <r>
      <rPr>
        <sz val="11"/>
        <rFont val="Times New Roman"/>
        <family val="1"/>
      </rPr>
      <t>16.3.1.4.3</t>
    </r>
  </si>
  <si>
    <r>
      <rPr>
        <sz val="11"/>
        <rFont val="Times New Roman"/>
        <family val="1"/>
      </rPr>
      <t>16.3.1.4.4</t>
    </r>
  </si>
  <si>
    <r>
      <rPr>
        <sz val="11"/>
        <rFont val="Times New Roman"/>
        <family val="1"/>
      </rPr>
      <t>16.3.1.4.5</t>
    </r>
  </si>
  <si>
    <r>
      <rPr>
        <sz val="11"/>
        <rFont val="Times New Roman"/>
        <family val="1"/>
      </rPr>
      <t>16.3.1.4.6</t>
    </r>
  </si>
  <si>
    <r>
      <rPr>
        <b/>
        <sz val="11"/>
        <rFont val="Times New Roman"/>
        <family val="1"/>
      </rPr>
      <t>16.3.2</t>
    </r>
  </si>
  <si>
    <r>
      <rPr>
        <b/>
        <sz val="11"/>
        <rFont val="Times New Roman"/>
        <family val="1"/>
      </rPr>
      <t>16.3.2.1</t>
    </r>
  </si>
  <si>
    <r>
      <rPr>
        <sz val="11"/>
        <rFont val="Times New Roman"/>
        <family val="1"/>
      </rPr>
      <t>16.3.2.1.1</t>
    </r>
  </si>
  <si>
    <r>
      <rPr>
        <sz val="11"/>
        <rFont val="Times New Roman"/>
        <family val="1"/>
      </rPr>
      <t>16.3.2.1.2</t>
    </r>
  </si>
  <si>
    <r>
      <rPr>
        <sz val="11"/>
        <rFont val="Times New Roman"/>
        <family val="1"/>
      </rPr>
      <t>16.3.2.1.3</t>
    </r>
  </si>
  <si>
    <r>
      <rPr>
        <b/>
        <sz val="11"/>
        <rFont val="Times New Roman"/>
        <family val="1"/>
      </rPr>
      <t>16.3.2.2</t>
    </r>
  </si>
  <si>
    <r>
      <rPr>
        <sz val="11"/>
        <rFont val="Times New Roman"/>
        <family val="1"/>
      </rPr>
      <t>16.3.2.2.1</t>
    </r>
  </si>
  <si>
    <r>
      <rPr>
        <sz val="11"/>
        <rFont val="Times New Roman"/>
        <family val="1"/>
      </rPr>
      <t>16.3.2.2.2</t>
    </r>
  </si>
  <si>
    <r>
      <rPr>
        <sz val="11"/>
        <rFont val="Times New Roman"/>
        <family val="1"/>
      </rPr>
      <t>16.3.2.2.3</t>
    </r>
  </si>
  <si>
    <r>
      <rPr>
        <sz val="11"/>
        <rFont val="Times New Roman"/>
        <family val="1"/>
      </rPr>
      <t>16.3.2.2.4</t>
    </r>
  </si>
  <si>
    <r>
      <rPr>
        <sz val="11"/>
        <rFont val="Times New Roman"/>
        <family val="1"/>
      </rPr>
      <t>16.3.2.2.5</t>
    </r>
  </si>
  <si>
    <r>
      <rPr>
        <sz val="11"/>
        <rFont val="Times New Roman"/>
        <family val="1"/>
      </rPr>
      <t>16.3.2.2.6</t>
    </r>
  </si>
  <si>
    <r>
      <rPr>
        <sz val="11"/>
        <rFont val="Times New Roman"/>
        <family val="1"/>
      </rPr>
      <t>16.3.2.2.7</t>
    </r>
  </si>
  <si>
    <r>
      <rPr>
        <sz val="11"/>
        <rFont val="Times New Roman"/>
        <family val="1"/>
      </rPr>
      <t>16.3.2.2.8</t>
    </r>
  </si>
  <si>
    <r>
      <rPr>
        <sz val="11"/>
        <rFont val="Times New Roman"/>
        <family val="1"/>
      </rPr>
      <t>16.3.2.2.9</t>
    </r>
  </si>
  <si>
    <r>
      <rPr>
        <sz val="11"/>
        <rFont val="Times New Roman"/>
        <family val="1"/>
      </rPr>
      <t>16.3.2.2.10</t>
    </r>
  </si>
  <si>
    <r>
      <rPr>
        <sz val="11"/>
        <rFont val="Times New Roman"/>
        <family val="1"/>
      </rPr>
      <t>16.3.2.2.11</t>
    </r>
  </si>
  <si>
    <r>
      <rPr>
        <sz val="11"/>
        <rFont val="Times New Roman"/>
        <family val="1"/>
      </rPr>
      <t>16.3.2.2.12</t>
    </r>
  </si>
  <si>
    <r>
      <rPr>
        <sz val="11"/>
        <rFont val="Times New Roman"/>
        <family val="1"/>
      </rPr>
      <t>16.3.2.2.13</t>
    </r>
  </si>
  <si>
    <r>
      <rPr>
        <sz val="11"/>
        <rFont val="Times New Roman"/>
        <family val="1"/>
      </rPr>
      <t>16.3.2.2.17</t>
    </r>
  </si>
  <si>
    <r>
      <rPr>
        <sz val="11"/>
        <rFont val="Times New Roman"/>
        <family val="1"/>
      </rPr>
      <t>16.3.2.2.18</t>
    </r>
  </si>
  <si>
    <r>
      <rPr>
        <sz val="11"/>
        <rFont val="Times New Roman"/>
        <family val="1"/>
      </rPr>
      <t>16.3.2.2.19</t>
    </r>
  </si>
  <si>
    <r>
      <rPr>
        <sz val="11"/>
        <rFont val="Times New Roman"/>
        <family val="1"/>
      </rPr>
      <t>16.3.2.2.20</t>
    </r>
  </si>
  <si>
    <r>
      <rPr>
        <sz val="11"/>
        <rFont val="Times New Roman"/>
        <family val="1"/>
      </rPr>
      <t>16.3.2.2.21</t>
    </r>
  </si>
  <si>
    <r>
      <rPr>
        <sz val="11"/>
        <rFont val="Times New Roman"/>
        <family val="1"/>
      </rPr>
      <t>16.3.2.2.22</t>
    </r>
  </si>
  <si>
    <r>
      <rPr>
        <sz val="11"/>
        <rFont val="Times New Roman"/>
        <family val="1"/>
      </rPr>
      <t>16.3.2.2.25</t>
    </r>
  </si>
  <si>
    <r>
      <rPr>
        <sz val="11"/>
        <rFont val="Times New Roman"/>
        <family val="1"/>
      </rPr>
      <t>16.3.2.2.26</t>
    </r>
  </si>
  <si>
    <r>
      <rPr>
        <sz val="11"/>
        <rFont val="Times New Roman"/>
        <family val="1"/>
      </rPr>
      <t>16.3.2.2.27</t>
    </r>
  </si>
  <si>
    <r>
      <rPr>
        <sz val="11"/>
        <rFont val="Times New Roman"/>
        <family val="1"/>
      </rPr>
      <t>16.3.2.2.28</t>
    </r>
  </si>
  <si>
    <r>
      <rPr>
        <sz val="11"/>
        <rFont val="Times New Roman"/>
        <family val="1"/>
      </rPr>
      <t>16.3.2.2.29</t>
    </r>
  </si>
  <si>
    <r>
      <rPr>
        <sz val="11"/>
        <rFont val="Times New Roman"/>
        <family val="1"/>
      </rPr>
      <t>16.3.2.2.30</t>
    </r>
  </si>
  <si>
    <r>
      <rPr>
        <sz val="11"/>
        <rFont val="Times New Roman"/>
        <family val="1"/>
      </rPr>
      <t>16.3.2.2.31</t>
    </r>
  </si>
  <si>
    <r>
      <rPr>
        <sz val="11"/>
        <rFont val="Times New Roman"/>
        <family val="1"/>
      </rPr>
      <t>16.3.2.2.32</t>
    </r>
  </si>
  <si>
    <r>
      <rPr>
        <sz val="11"/>
        <rFont val="Times New Roman"/>
        <family val="1"/>
      </rPr>
      <t>16.3.2.2.33</t>
    </r>
  </si>
  <si>
    <r>
      <rPr>
        <b/>
        <sz val="11"/>
        <rFont val="Times New Roman"/>
        <family val="1"/>
      </rPr>
      <t>16.3.2.3</t>
    </r>
  </si>
  <si>
    <r>
      <rPr>
        <sz val="11"/>
        <rFont val="Times New Roman"/>
        <family val="1"/>
      </rPr>
      <t>16.3.2.3.1</t>
    </r>
  </si>
  <si>
    <r>
      <rPr>
        <sz val="11"/>
        <rFont val="Times New Roman"/>
        <family val="1"/>
      </rPr>
      <t>16.3.2.3.2</t>
    </r>
  </si>
  <si>
    <r>
      <rPr>
        <sz val="11"/>
        <rFont val="Times New Roman"/>
        <family val="1"/>
      </rPr>
      <t>16.3.2.3.3</t>
    </r>
  </si>
  <si>
    <r>
      <rPr>
        <b/>
        <sz val="11"/>
        <rFont val="Times New Roman"/>
        <family val="1"/>
      </rPr>
      <t>16.3.2.4</t>
    </r>
  </si>
  <si>
    <r>
      <rPr>
        <sz val="11"/>
        <rFont val="Times New Roman"/>
        <family val="1"/>
      </rPr>
      <t>16.3.2.4.1</t>
    </r>
  </si>
  <si>
    <r>
      <rPr>
        <sz val="11"/>
        <rFont val="Times New Roman"/>
        <family val="1"/>
      </rPr>
      <t>16.3.2.4.2</t>
    </r>
  </si>
  <si>
    <r>
      <rPr>
        <b/>
        <sz val="11"/>
        <rFont val="Times New Roman"/>
        <family val="1"/>
      </rPr>
      <t>16.3.2.5</t>
    </r>
  </si>
  <si>
    <r>
      <rPr>
        <sz val="11"/>
        <rFont val="Times New Roman"/>
        <family val="1"/>
      </rPr>
      <t>16.3.2.5.1</t>
    </r>
  </si>
  <si>
    <r>
      <rPr>
        <b/>
        <sz val="11"/>
        <rFont val="Times New Roman"/>
        <family val="1"/>
      </rPr>
      <t>16.3.2.6</t>
    </r>
  </si>
  <si>
    <r>
      <rPr>
        <sz val="11"/>
        <rFont val="Times New Roman"/>
        <family val="1"/>
      </rPr>
      <t>16.3.2.6.1</t>
    </r>
  </si>
  <si>
    <r>
      <rPr>
        <sz val="11"/>
        <rFont val="Times New Roman"/>
        <family val="1"/>
      </rPr>
      <t>16.3.2.6.2</t>
    </r>
  </si>
  <si>
    <r>
      <rPr>
        <sz val="11"/>
        <rFont val="Times New Roman"/>
        <family val="1"/>
      </rPr>
      <t>16.3.2.6.3</t>
    </r>
  </si>
  <si>
    <r>
      <rPr>
        <sz val="11"/>
        <rFont val="Times New Roman"/>
        <family val="1"/>
      </rPr>
      <t>16.3.2.6.4</t>
    </r>
  </si>
  <si>
    <r>
      <rPr>
        <sz val="11"/>
        <rFont val="Times New Roman"/>
        <family val="1"/>
      </rPr>
      <t>16.3.2.6.5</t>
    </r>
  </si>
  <si>
    <r>
      <rPr>
        <b/>
        <sz val="11"/>
        <rFont val="Times New Roman"/>
        <family val="1"/>
      </rPr>
      <t>16.3.3</t>
    </r>
  </si>
  <si>
    <r>
      <rPr>
        <b/>
        <sz val="11"/>
        <rFont val="Times New Roman"/>
        <family val="1"/>
      </rPr>
      <t>16.3.3.1</t>
    </r>
  </si>
  <si>
    <r>
      <rPr>
        <sz val="11"/>
        <rFont val="Times New Roman"/>
        <family val="1"/>
      </rPr>
      <t>16.3.3.1.1</t>
    </r>
  </si>
  <si>
    <r>
      <rPr>
        <b/>
        <sz val="11"/>
        <rFont val="Times New Roman"/>
        <family val="1"/>
      </rPr>
      <t>16.3.3.2</t>
    </r>
  </si>
  <si>
    <r>
      <rPr>
        <sz val="11"/>
        <rFont val="Times New Roman"/>
        <family val="1"/>
      </rPr>
      <t>16.3.3.2.1</t>
    </r>
  </si>
  <si>
    <r>
      <rPr>
        <sz val="11"/>
        <rFont val="Times New Roman"/>
        <family val="1"/>
      </rPr>
      <t>16.3.3.2.2</t>
    </r>
  </si>
  <si>
    <r>
      <rPr>
        <sz val="11"/>
        <rFont val="Times New Roman"/>
        <family val="1"/>
      </rPr>
      <t>16.3.3.2.3</t>
    </r>
  </si>
  <si>
    <r>
      <rPr>
        <sz val="11"/>
        <rFont val="Times New Roman"/>
        <family val="1"/>
      </rPr>
      <t>16.3.3.2.4</t>
    </r>
  </si>
  <si>
    <r>
      <rPr>
        <sz val="11"/>
        <rFont val="Times New Roman"/>
        <family val="1"/>
      </rPr>
      <t>16.3.3.2.5</t>
    </r>
  </si>
  <si>
    <r>
      <rPr>
        <sz val="11"/>
        <rFont val="Times New Roman"/>
        <family val="1"/>
      </rPr>
      <t>16.3.3.2.6</t>
    </r>
  </si>
  <si>
    <r>
      <rPr>
        <sz val="11"/>
        <rFont val="Times New Roman"/>
        <family val="1"/>
      </rPr>
      <t>16.3.3.2.7</t>
    </r>
  </si>
  <si>
    <r>
      <rPr>
        <sz val="11"/>
        <rFont val="Times New Roman"/>
        <family val="1"/>
      </rPr>
      <t>16.3.3.2.8</t>
    </r>
  </si>
  <si>
    <r>
      <rPr>
        <b/>
        <sz val="11"/>
        <rFont val="Times New Roman"/>
        <family val="1"/>
      </rPr>
      <t>16.3.3.3</t>
    </r>
  </si>
  <si>
    <r>
      <rPr>
        <sz val="11"/>
        <rFont val="Times New Roman"/>
        <family val="1"/>
      </rPr>
      <t>16.3.3.3.1</t>
    </r>
  </si>
  <si>
    <r>
      <rPr>
        <sz val="11"/>
        <rFont val="Times New Roman"/>
        <family val="1"/>
      </rPr>
      <t>16.3.3.3.2</t>
    </r>
  </si>
  <si>
    <r>
      <rPr>
        <sz val="11"/>
        <rFont val="Times New Roman"/>
        <family val="1"/>
      </rPr>
      <t>16.3.3.3.3</t>
    </r>
  </si>
  <si>
    <r>
      <rPr>
        <sz val="11"/>
        <rFont val="Times New Roman"/>
        <family val="1"/>
      </rPr>
      <t>16.3.3.3.4</t>
    </r>
  </si>
  <si>
    <r>
      <rPr>
        <sz val="11"/>
        <rFont val="Times New Roman"/>
        <family val="1"/>
      </rPr>
      <t>16.3.3.3.5</t>
    </r>
  </si>
  <si>
    <r>
      <rPr>
        <sz val="11"/>
        <rFont val="Times New Roman"/>
        <family val="1"/>
      </rPr>
      <t>16.3.3.3.6</t>
    </r>
  </si>
  <si>
    <r>
      <rPr>
        <sz val="11"/>
        <rFont val="Times New Roman"/>
        <family val="1"/>
      </rPr>
      <t>16.3.3.3.7</t>
    </r>
  </si>
  <si>
    <r>
      <rPr>
        <b/>
        <sz val="11"/>
        <rFont val="Times New Roman"/>
        <family val="1"/>
      </rPr>
      <t>16.3.3.4</t>
    </r>
  </si>
  <si>
    <r>
      <rPr>
        <sz val="11"/>
        <rFont val="Times New Roman"/>
        <family val="1"/>
      </rPr>
      <t>16.3.3.4.1</t>
    </r>
  </si>
  <si>
    <r>
      <rPr>
        <b/>
        <sz val="11"/>
        <rFont val="Times New Roman"/>
        <family val="1"/>
      </rPr>
      <t>16.3.3.5</t>
    </r>
  </si>
  <si>
    <r>
      <rPr>
        <sz val="11"/>
        <rFont val="Times New Roman"/>
        <family val="1"/>
      </rPr>
      <t>16.3.3.5.1</t>
    </r>
  </si>
  <si>
    <r>
      <rPr>
        <b/>
        <sz val="11"/>
        <rFont val="Times New Roman"/>
        <family val="1"/>
      </rPr>
      <t>16.3.4</t>
    </r>
  </si>
  <si>
    <r>
      <rPr>
        <b/>
        <sz val="11"/>
        <rFont val="Times New Roman"/>
        <family val="1"/>
      </rPr>
      <t>16.3.4.1</t>
    </r>
  </si>
  <si>
    <r>
      <rPr>
        <sz val="11"/>
        <rFont val="Times New Roman"/>
        <family val="1"/>
      </rPr>
      <t>16.3.4.1.1</t>
    </r>
  </si>
  <si>
    <r>
      <rPr>
        <b/>
        <sz val="11"/>
        <rFont val="Times New Roman"/>
        <family val="1"/>
      </rPr>
      <t>16.3.5</t>
    </r>
  </si>
  <si>
    <r>
      <rPr>
        <b/>
        <sz val="11"/>
        <rFont val="Times New Roman"/>
        <family val="1"/>
      </rPr>
      <t>16.3.5.1</t>
    </r>
  </si>
  <si>
    <r>
      <rPr>
        <sz val="11"/>
        <rFont val="Times New Roman"/>
        <family val="1"/>
      </rPr>
      <t>16.3.5.1.1</t>
    </r>
  </si>
  <si>
    <r>
      <rPr>
        <sz val="11"/>
        <rFont val="Times New Roman"/>
        <family val="1"/>
      </rPr>
      <t>16.3.5.1.2</t>
    </r>
  </si>
  <si>
    <r>
      <rPr>
        <sz val="11"/>
        <rFont val="Times New Roman"/>
        <family val="1"/>
      </rPr>
      <t>16.3.5.1.3</t>
    </r>
  </si>
  <si>
    <r>
      <rPr>
        <sz val="11"/>
        <rFont val="Times New Roman"/>
        <family val="1"/>
      </rPr>
      <t>16.3.5.1.4</t>
    </r>
  </si>
  <si>
    <r>
      <rPr>
        <sz val="11"/>
        <rFont val="Times New Roman"/>
        <family val="1"/>
      </rPr>
      <t>16.3.5.1.5</t>
    </r>
  </si>
  <si>
    <r>
      <rPr>
        <sz val="11"/>
        <rFont val="Times New Roman"/>
        <family val="1"/>
      </rPr>
      <t>16.3.5.1.6</t>
    </r>
  </si>
  <si>
    <r>
      <rPr>
        <sz val="11"/>
        <rFont val="Times New Roman"/>
        <family val="1"/>
      </rPr>
      <t>16.3.5.1.7</t>
    </r>
  </si>
  <si>
    <r>
      <rPr>
        <sz val="11"/>
        <rFont val="Times New Roman"/>
        <family val="1"/>
      </rPr>
      <t>16.3.5.1.8</t>
    </r>
  </si>
  <si>
    <r>
      <rPr>
        <sz val="11"/>
        <rFont val="Times New Roman"/>
        <family val="1"/>
      </rPr>
      <t>16.3.5.1.9</t>
    </r>
  </si>
  <si>
    <r>
      <rPr>
        <sz val="11"/>
        <rFont val="Times New Roman"/>
        <family val="1"/>
      </rPr>
      <t>16.3.5.1.10</t>
    </r>
  </si>
  <si>
    <r>
      <rPr>
        <sz val="11"/>
        <rFont val="Times New Roman"/>
        <family val="1"/>
      </rPr>
      <t>16.3.5.1.11</t>
    </r>
  </si>
  <si>
    <r>
      <rPr>
        <sz val="11"/>
        <rFont val="Times New Roman"/>
        <family val="1"/>
      </rPr>
      <t>16.3.5.1.12</t>
    </r>
  </si>
  <si>
    <r>
      <rPr>
        <sz val="11"/>
        <rFont val="Times New Roman"/>
        <family val="1"/>
      </rPr>
      <t>16.3.5.1.13</t>
    </r>
  </si>
  <si>
    <r>
      <rPr>
        <sz val="11"/>
        <rFont val="Times New Roman"/>
        <family val="1"/>
      </rPr>
      <t>16.3.5.1.14</t>
    </r>
  </si>
  <si>
    <r>
      <rPr>
        <sz val="11"/>
        <rFont val="Times New Roman"/>
        <family val="1"/>
      </rPr>
      <t>16.3.5.1.15</t>
    </r>
  </si>
  <si>
    <r>
      <rPr>
        <sz val="11"/>
        <rFont val="Times New Roman"/>
        <family val="1"/>
      </rPr>
      <t>16.3.5.1.16</t>
    </r>
  </si>
  <si>
    <r>
      <rPr>
        <sz val="11"/>
        <rFont val="Times New Roman"/>
        <family val="1"/>
      </rPr>
      <t>16.3.5.1.17</t>
    </r>
  </si>
  <si>
    <r>
      <rPr>
        <sz val="11"/>
        <rFont val="Times New Roman"/>
        <family val="1"/>
      </rPr>
      <t>16.3.5.1.18</t>
    </r>
  </si>
  <si>
    <r>
      <rPr>
        <sz val="11"/>
        <rFont val="Times New Roman"/>
        <family val="1"/>
      </rPr>
      <t>16.3.5.1.19</t>
    </r>
  </si>
  <si>
    <r>
      <rPr>
        <b/>
        <sz val="11"/>
        <rFont val="Times New Roman"/>
        <family val="1"/>
      </rPr>
      <t>16.3.5.2</t>
    </r>
  </si>
  <si>
    <r>
      <rPr>
        <sz val="11"/>
        <rFont val="Times New Roman"/>
        <family val="1"/>
      </rPr>
      <t>16.3.5.2.1</t>
    </r>
  </si>
  <si>
    <r>
      <rPr>
        <sz val="11"/>
        <rFont val="Times New Roman"/>
        <family val="1"/>
      </rPr>
      <t>16.3.5.2.2</t>
    </r>
  </si>
  <si>
    <r>
      <rPr>
        <sz val="11"/>
        <rFont val="Times New Roman"/>
        <family val="1"/>
      </rPr>
      <t>16.3.5.2.3</t>
    </r>
  </si>
  <si>
    <r>
      <rPr>
        <sz val="11"/>
        <rFont val="Times New Roman"/>
        <family val="1"/>
      </rPr>
      <t>16.3.5.2.4</t>
    </r>
  </si>
  <si>
    <r>
      <rPr>
        <sz val="11"/>
        <rFont val="Times New Roman"/>
        <family val="1"/>
      </rPr>
      <t>16.3.5.2.5</t>
    </r>
  </si>
  <si>
    <r>
      <rPr>
        <b/>
        <sz val="11"/>
        <rFont val="Times New Roman"/>
        <family val="1"/>
      </rPr>
      <t>16.3.5.3</t>
    </r>
  </si>
  <si>
    <r>
      <rPr>
        <sz val="11"/>
        <rFont val="Times New Roman"/>
        <family val="1"/>
      </rPr>
      <t>16.3.5.3.1</t>
    </r>
  </si>
  <si>
    <r>
      <rPr>
        <sz val="11"/>
        <rFont val="Times New Roman"/>
        <family val="1"/>
      </rPr>
      <t>16.3.5.3.2</t>
    </r>
  </si>
  <si>
    <r>
      <rPr>
        <b/>
        <sz val="11"/>
        <rFont val="Times New Roman"/>
        <family val="1"/>
      </rPr>
      <t>16.3.5.4</t>
    </r>
  </si>
  <si>
    <r>
      <rPr>
        <sz val="11"/>
        <rFont val="Times New Roman"/>
        <family val="1"/>
      </rPr>
      <t>16.3.5.4.1</t>
    </r>
  </si>
  <si>
    <r>
      <rPr>
        <sz val="11"/>
        <rFont val="Times New Roman"/>
        <family val="1"/>
      </rPr>
      <t>16.3.5.4.2</t>
    </r>
  </si>
  <si>
    <r>
      <rPr>
        <b/>
        <sz val="11"/>
        <rFont val="Times New Roman"/>
        <family val="1"/>
      </rPr>
      <t>16.3.5.5</t>
    </r>
  </si>
  <si>
    <r>
      <rPr>
        <sz val="11"/>
        <rFont val="Times New Roman"/>
        <family val="1"/>
      </rPr>
      <t>16.3.5.5.1</t>
    </r>
  </si>
  <si>
    <r>
      <rPr>
        <sz val="11"/>
        <rFont val="Times New Roman"/>
        <family val="1"/>
      </rPr>
      <t>16.3.5.5.2</t>
    </r>
  </si>
  <si>
    <r>
      <rPr>
        <sz val="11"/>
        <rFont val="Times New Roman"/>
        <family val="1"/>
      </rPr>
      <t>16.3.5.5.3</t>
    </r>
  </si>
  <si>
    <r>
      <rPr>
        <b/>
        <sz val="11"/>
        <rFont val="Times New Roman"/>
        <family val="1"/>
      </rPr>
      <t>16.3.6</t>
    </r>
  </si>
  <si>
    <r>
      <rPr>
        <b/>
        <sz val="11"/>
        <rFont val="Times New Roman"/>
        <family val="1"/>
      </rPr>
      <t>16.3.6.1</t>
    </r>
  </si>
  <si>
    <r>
      <rPr>
        <sz val="11"/>
        <rFont val="Times New Roman"/>
        <family val="1"/>
      </rPr>
      <t>16.3.6.1.1</t>
    </r>
  </si>
  <si>
    <r>
      <rPr>
        <b/>
        <sz val="11"/>
        <rFont val="Times New Roman"/>
        <family val="1"/>
      </rPr>
      <t>16.3.6.2</t>
    </r>
  </si>
  <si>
    <r>
      <rPr>
        <sz val="11"/>
        <rFont val="Times New Roman"/>
        <family val="1"/>
      </rPr>
      <t>16.3.6.2.1</t>
    </r>
  </si>
  <si>
    <r>
      <rPr>
        <sz val="11"/>
        <rFont val="Times New Roman"/>
        <family val="1"/>
      </rPr>
      <t>16.3.6.2.2</t>
    </r>
  </si>
  <si>
    <r>
      <rPr>
        <sz val="11"/>
        <rFont val="Times New Roman"/>
        <family val="1"/>
      </rPr>
      <t>16.3.6.2.3</t>
    </r>
  </si>
  <si>
    <r>
      <rPr>
        <sz val="11"/>
        <rFont val="Times New Roman"/>
        <family val="1"/>
      </rPr>
      <t>16.3.6.2.4</t>
    </r>
  </si>
  <si>
    <r>
      <rPr>
        <sz val="11"/>
        <rFont val="Times New Roman"/>
        <family val="1"/>
      </rPr>
      <t>16.3.6.2.5</t>
    </r>
  </si>
  <si>
    <r>
      <rPr>
        <sz val="11"/>
        <rFont val="Times New Roman"/>
        <family val="1"/>
      </rPr>
      <t>16.3.6.2.6</t>
    </r>
  </si>
  <si>
    <r>
      <rPr>
        <sz val="11"/>
        <rFont val="Times New Roman"/>
        <family val="1"/>
      </rPr>
      <t>16.3.6.2.7</t>
    </r>
  </si>
  <si>
    <r>
      <rPr>
        <b/>
        <sz val="11"/>
        <rFont val="Times New Roman"/>
        <family val="1"/>
      </rPr>
      <t>16.3.6.3</t>
    </r>
  </si>
  <si>
    <r>
      <rPr>
        <sz val="11"/>
        <rFont val="Times New Roman"/>
        <family val="1"/>
      </rPr>
      <t>16.3.6.3.1</t>
    </r>
  </si>
  <si>
    <r>
      <rPr>
        <b/>
        <sz val="11"/>
        <rFont val="Times New Roman"/>
        <family val="1"/>
      </rPr>
      <t>16.3.6.4</t>
    </r>
  </si>
  <si>
    <r>
      <rPr>
        <sz val="11"/>
        <rFont val="Times New Roman"/>
        <family val="1"/>
      </rPr>
      <t>16.3.6.4.1</t>
    </r>
  </si>
  <si>
    <r>
      <rPr>
        <sz val="11"/>
        <rFont val="Times New Roman"/>
        <family val="1"/>
      </rPr>
      <t>16.3.6.4.2</t>
    </r>
  </si>
  <si>
    <r>
      <rPr>
        <sz val="11"/>
        <rFont val="Times New Roman"/>
        <family val="1"/>
      </rPr>
      <t>16.3.6.4.3</t>
    </r>
  </si>
  <si>
    <r>
      <rPr>
        <sz val="11"/>
        <rFont val="Times New Roman"/>
        <family val="1"/>
      </rPr>
      <t>16.3.6.4.4</t>
    </r>
  </si>
  <si>
    <r>
      <rPr>
        <sz val="11"/>
        <rFont val="Times New Roman"/>
        <family val="1"/>
      </rPr>
      <t>16.3.6.4.5</t>
    </r>
  </si>
  <si>
    <r>
      <rPr>
        <sz val="11"/>
        <rFont val="Times New Roman"/>
        <family val="1"/>
      </rPr>
      <t>16.3.6.4.6</t>
    </r>
  </si>
  <si>
    <r>
      <rPr>
        <b/>
        <sz val="11"/>
        <rFont val="Times New Roman"/>
        <family val="1"/>
      </rPr>
      <t>16.3.6.5</t>
    </r>
  </si>
  <si>
    <r>
      <rPr>
        <sz val="11"/>
        <rFont val="Times New Roman"/>
        <family val="1"/>
      </rPr>
      <t>16.3.6.5.1</t>
    </r>
  </si>
  <si>
    <r>
      <rPr>
        <sz val="11"/>
        <rFont val="Times New Roman"/>
        <family val="1"/>
      </rPr>
      <t>16.3.6.5.2</t>
    </r>
  </si>
  <si>
    <r>
      <rPr>
        <b/>
        <sz val="11"/>
        <rFont val="Times New Roman"/>
        <family val="1"/>
      </rPr>
      <t>16.3.7</t>
    </r>
  </si>
  <si>
    <r>
      <rPr>
        <b/>
        <sz val="11"/>
        <rFont val="Times New Roman"/>
        <family val="1"/>
      </rPr>
      <t>16.3.7.1</t>
    </r>
  </si>
  <si>
    <r>
      <rPr>
        <sz val="11"/>
        <rFont val="Times New Roman"/>
        <family val="1"/>
      </rPr>
      <t>16.3.7.1.1</t>
    </r>
  </si>
  <si>
    <r>
      <rPr>
        <sz val="11"/>
        <rFont val="Times New Roman"/>
        <family val="1"/>
      </rPr>
      <t>16.3.7.1.2</t>
    </r>
  </si>
  <si>
    <r>
      <rPr>
        <sz val="11"/>
        <rFont val="Times New Roman"/>
        <family val="1"/>
      </rPr>
      <t>16.3.7.1.3</t>
    </r>
  </si>
  <si>
    <r>
      <rPr>
        <sz val="11"/>
        <rFont val="Times New Roman"/>
        <family val="1"/>
      </rPr>
      <t>16.3.7.1.4</t>
    </r>
  </si>
  <si>
    <r>
      <rPr>
        <b/>
        <sz val="11"/>
        <rFont val="Times New Roman"/>
        <family val="1"/>
      </rPr>
      <t>16.3.7.2</t>
    </r>
  </si>
  <si>
    <r>
      <rPr>
        <sz val="11"/>
        <rFont val="Times New Roman"/>
        <family val="1"/>
      </rPr>
      <t>16.3.7.2.1</t>
    </r>
  </si>
  <si>
    <r>
      <rPr>
        <sz val="11"/>
        <rFont val="Times New Roman"/>
        <family val="1"/>
      </rPr>
      <t>16.3.7.2.2</t>
    </r>
  </si>
  <si>
    <r>
      <rPr>
        <sz val="11"/>
        <rFont val="Times New Roman"/>
        <family val="1"/>
      </rPr>
      <t>16.3.7.2.3</t>
    </r>
  </si>
  <si>
    <r>
      <rPr>
        <sz val="11"/>
        <rFont val="Times New Roman"/>
        <family val="1"/>
      </rPr>
      <t>16.3.7.2.4</t>
    </r>
  </si>
  <si>
    <r>
      <rPr>
        <sz val="11"/>
        <rFont val="Times New Roman"/>
        <family val="1"/>
      </rPr>
      <t>16.3.7.2.5</t>
    </r>
  </si>
  <si>
    <r>
      <rPr>
        <sz val="11"/>
        <rFont val="Times New Roman"/>
        <family val="1"/>
      </rPr>
      <t>16.3.7.2.6</t>
    </r>
  </si>
  <si>
    <r>
      <rPr>
        <sz val="11"/>
        <rFont val="Times New Roman"/>
        <family val="1"/>
      </rPr>
      <t>16.3.7.2.7</t>
    </r>
  </si>
  <si>
    <r>
      <rPr>
        <sz val="11"/>
        <rFont val="Times New Roman"/>
        <family val="1"/>
      </rPr>
      <t>16.3.7.2.8</t>
    </r>
  </si>
  <si>
    <r>
      <rPr>
        <sz val="11"/>
        <rFont val="Times New Roman"/>
        <family val="1"/>
      </rPr>
      <t>16.3.7.2.9</t>
    </r>
  </si>
  <si>
    <r>
      <rPr>
        <sz val="11"/>
        <rFont val="Times New Roman"/>
        <family val="1"/>
      </rPr>
      <t>16.3.7.2.10</t>
    </r>
  </si>
  <si>
    <r>
      <rPr>
        <sz val="11"/>
        <rFont val="Times New Roman"/>
        <family val="1"/>
      </rPr>
      <t>16.3.7.2.11</t>
    </r>
  </si>
  <si>
    <r>
      <rPr>
        <sz val="11"/>
        <rFont val="Times New Roman"/>
        <family val="1"/>
      </rPr>
      <t>16.3.7.2.12</t>
    </r>
  </si>
  <si>
    <r>
      <rPr>
        <sz val="11"/>
        <rFont val="Times New Roman"/>
        <family val="1"/>
      </rPr>
      <t>16.3.7.2.13</t>
    </r>
  </si>
  <si>
    <r>
      <rPr>
        <sz val="11"/>
        <rFont val="Times New Roman"/>
        <family val="1"/>
      </rPr>
      <t>16.3.7.2.14</t>
    </r>
  </si>
  <si>
    <r>
      <rPr>
        <sz val="11"/>
        <rFont val="Times New Roman"/>
        <family val="1"/>
      </rPr>
      <t>16.3.7.2.15</t>
    </r>
  </si>
  <si>
    <r>
      <rPr>
        <sz val="11"/>
        <rFont val="Times New Roman"/>
        <family val="1"/>
      </rPr>
      <t>16.3.7.2.16</t>
    </r>
  </si>
  <si>
    <r>
      <rPr>
        <sz val="11"/>
        <rFont val="Times New Roman"/>
        <family val="1"/>
      </rPr>
      <t>16.3.7.2.17</t>
    </r>
  </si>
  <si>
    <r>
      <rPr>
        <sz val="11"/>
        <rFont val="Times New Roman"/>
        <family val="1"/>
      </rPr>
      <t>16.3.7.2.18</t>
    </r>
  </si>
  <si>
    <r>
      <rPr>
        <b/>
        <sz val="11"/>
        <rFont val="Times New Roman"/>
        <family val="1"/>
      </rPr>
      <t>16.3.7.3</t>
    </r>
  </si>
  <si>
    <r>
      <rPr>
        <sz val="11"/>
        <rFont val="Times New Roman"/>
        <family val="1"/>
      </rPr>
      <t>16.3.7.3.1</t>
    </r>
  </si>
  <si>
    <r>
      <rPr>
        <sz val="11"/>
        <rFont val="Times New Roman"/>
        <family val="1"/>
      </rPr>
      <t>16.3.7.3.2</t>
    </r>
  </si>
  <si>
    <r>
      <rPr>
        <sz val="11"/>
        <rFont val="Times New Roman"/>
        <family val="1"/>
      </rPr>
      <t>16.3.7.3.3</t>
    </r>
  </si>
  <si>
    <r>
      <rPr>
        <sz val="11"/>
        <rFont val="Times New Roman"/>
        <family val="1"/>
      </rPr>
      <t>16.3.7.3.4</t>
    </r>
  </si>
  <si>
    <r>
      <rPr>
        <b/>
        <sz val="11"/>
        <rFont val="Times New Roman"/>
        <family val="1"/>
      </rPr>
      <t>16.3.7.4</t>
    </r>
  </si>
  <si>
    <r>
      <rPr>
        <sz val="11"/>
        <rFont val="Times New Roman"/>
        <family val="1"/>
      </rPr>
      <t>16.3.7.4.1</t>
    </r>
  </si>
  <si>
    <r>
      <rPr>
        <sz val="11"/>
        <rFont val="Times New Roman"/>
        <family val="1"/>
      </rPr>
      <t>16.3.7.4.2</t>
    </r>
  </si>
  <si>
    <r>
      <rPr>
        <sz val="11"/>
        <rFont val="Times New Roman"/>
        <family val="1"/>
      </rPr>
      <t>16.3.7.4.3</t>
    </r>
  </si>
  <si>
    <r>
      <rPr>
        <sz val="11"/>
        <rFont val="Times New Roman"/>
        <family val="1"/>
      </rPr>
      <t>16.3.7.4.4</t>
    </r>
  </si>
  <si>
    <r>
      <rPr>
        <sz val="11"/>
        <rFont val="Times New Roman"/>
        <family val="1"/>
      </rPr>
      <t>16.3.7.4.5</t>
    </r>
  </si>
  <si>
    <r>
      <rPr>
        <sz val="11"/>
        <rFont val="Times New Roman"/>
        <family val="1"/>
      </rPr>
      <t>16.3.7.4.6</t>
    </r>
  </si>
  <si>
    <r>
      <rPr>
        <sz val="11"/>
        <rFont val="Times New Roman"/>
        <family val="1"/>
      </rPr>
      <t>16.3.7.4.7</t>
    </r>
  </si>
  <si>
    <r>
      <rPr>
        <sz val="11"/>
        <rFont val="Times New Roman"/>
        <family val="1"/>
      </rPr>
      <t>16.3.7.4.8</t>
    </r>
  </si>
  <si>
    <r>
      <rPr>
        <sz val="11"/>
        <rFont val="Times New Roman"/>
        <family val="1"/>
      </rPr>
      <t>16.3.7.4.9</t>
    </r>
  </si>
  <si>
    <r>
      <rPr>
        <sz val="11"/>
        <rFont val="Times New Roman"/>
        <family val="1"/>
      </rPr>
      <t>16.3.7.4.10</t>
    </r>
  </si>
  <si>
    <r>
      <rPr>
        <sz val="11"/>
        <rFont val="Times New Roman"/>
        <family val="1"/>
      </rPr>
      <t>16.3.7.4.11</t>
    </r>
  </si>
  <si>
    <r>
      <rPr>
        <b/>
        <sz val="11"/>
        <rFont val="Times New Roman"/>
        <family val="1"/>
      </rPr>
      <t>16.3.7.5</t>
    </r>
  </si>
  <si>
    <r>
      <rPr>
        <sz val="11"/>
        <rFont val="Times New Roman"/>
        <family val="1"/>
      </rPr>
      <t>16.3.7.5.1</t>
    </r>
  </si>
  <si>
    <r>
      <rPr>
        <b/>
        <sz val="11"/>
        <rFont val="Times New Roman"/>
        <family val="1"/>
      </rPr>
      <t>16.3.7.6</t>
    </r>
  </si>
  <si>
    <r>
      <rPr>
        <sz val="11"/>
        <rFont val="Times New Roman"/>
        <family val="1"/>
      </rPr>
      <t>16.3.7.6.1</t>
    </r>
  </si>
  <si>
    <r>
      <rPr>
        <sz val="11"/>
        <rFont val="Times New Roman"/>
        <family val="1"/>
      </rPr>
      <t>16.3.7.6.2</t>
    </r>
  </si>
  <si>
    <r>
      <rPr>
        <sz val="11"/>
        <rFont val="Times New Roman"/>
        <family val="1"/>
      </rPr>
      <t>16.3.7.6.3</t>
    </r>
  </si>
  <si>
    <r>
      <rPr>
        <sz val="11"/>
        <rFont val="Times New Roman"/>
        <family val="1"/>
      </rPr>
      <t>16.3.7.6.4</t>
    </r>
  </si>
  <si>
    <r>
      <rPr>
        <sz val="11"/>
        <rFont val="Times New Roman"/>
        <family val="1"/>
      </rPr>
      <t>16.3.7.6.5</t>
    </r>
  </si>
  <si>
    <r>
      <rPr>
        <sz val="11"/>
        <rFont val="Times New Roman"/>
        <family val="1"/>
      </rPr>
      <t>16.3.7.6.6</t>
    </r>
  </si>
  <si>
    <r>
      <rPr>
        <sz val="11"/>
        <rFont val="Times New Roman"/>
        <family val="1"/>
      </rPr>
      <t>16.3.7.6.7</t>
    </r>
  </si>
  <si>
    <r>
      <rPr>
        <sz val="11"/>
        <rFont val="Times New Roman"/>
        <family val="1"/>
      </rPr>
      <t>16.3.7.6.8</t>
    </r>
  </si>
  <si>
    <r>
      <rPr>
        <sz val="11"/>
        <rFont val="Times New Roman"/>
        <family val="1"/>
      </rPr>
      <t>16.3.7.6.9</t>
    </r>
  </si>
  <si>
    <r>
      <rPr>
        <b/>
        <sz val="11"/>
        <rFont val="Times New Roman"/>
        <family val="1"/>
      </rPr>
      <t>16.3.7.7</t>
    </r>
  </si>
  <si>
    <r>
      <rPr>
        <sz val="11"/>
        <rFont val="Times New Roman"/>
        <family val="1"/>
      </rPr>
      <t>16.3.7.7.1</t>
    </r>
  </si>
  <si>
    <r>
      <rPr>
        <b/>
        <sz val="11"/>
        <rFont val="Times New Roman"/>
        <family val="1"/>
      </rPr>
      <t>16.3.8</t>
    </r>
  </si>
  <si>
    <r>
      <rPr>
        <b/>
        <sz val="11"/>
        <rFont val="Times New Roman"/>
        <family val="1"/>
      </rPr>
      <t>16.3.8.1</t>
    </r>
  </si>
  <si>
    <r>
      <rPr>
        <sz val="11"/>
        <rFont val="Times New Roman"/>
        <family val="1"/>
      </rPr>
      <t>16.3.8.1.1</t>
    </r>
  </si>
  <si>
    <r>
      <rPr>
        <sz val="11"/>
        <rFont val="Times New Roman"/>
        <family val="1"/>
      </rPr>
      <t>16.3.8.1.2</t>
    </r>
  </si>
  <si>
    <r>
      <rPr>
        <sz val="11"/>
        <rFont val="Times New Roman"/>
        <family val="1"/>
      </rPr>
      <t>16.3.8.1.3</t>
    </r>
  </si>
  <si>
    <r>
      <rPr>
        <sz val="11"/>
        <rFont val="Times New Roman"/>
        <family val="1"/>
      </rPr>
      <t>16.3.8.1.4</t>
    </r>
  </si>
  <si>
    <r>
      <rPr>
        <sz val="11"/>
        <rFont val="Times New Roman"/>
        <family val="1"/>
      </rPr>
      <t>16.3.8.1.5</t>
    </r>
  </si>
  <si>
    <r>
      <rPr>
        <sz val="11"/>
        <rFont val="Times New Roman"/>
        <family val="1"/>
      </rPr>
      <t>16.3.8.1.6</t>
    </r>
  </si>
  <si>
    <r>
      <rPr>
        <b/>
        <sz val="11"/>
        <rFont val="Times New Roman"/>
        <family val="1"/>
      </rPr>
      <t>16.3.8.2</t>
    </r>
  </si>
  <si>
    <r>
      <rPr>
        <sz val="11"/>
        <rFont val="Times New Roman"/>
        <family val="1"/>
      </rPr>
      <t>16.3.8.2.1</t>
    </r>
  </si>
  <si>
    <r>
      <rPr>
        <sz val="11"/>
        <rFont val="Times New Roman"/>
        <family val="1"/>
      </rPr>
      <t>16.3.8.2.2</t>
    </r>
  </si>
  <si>
    <r>
      <rPr>
        <sz val="11"/>
        <rFont val="Times New Roman"/>
        <family val="1"/>
      </rPr>
      <t>16.3.8.2.3</t>
    </r>
  </si>
  <si>
    <r>
      <rPr>
        <sz val="11"/>
        <rFont val="Times New Roman"/>
        <family val="1"/>
      </rPr>
      <t>16.3.8.2.4</t>
    </r>
  </si>
  <si>
    <r>
      <rPr>
        <sz val="11"/>
        <rFont val="Times New Roman"/>
        <family val="1"/>
      </rPr>
      <t>16.3.8.2.5</t>
    </r>
  </si>
  <si>
    <r>
      <rPr>
        <sz val="11"/>
        <rFont val="Times New Roman"/>
        <family val="1"/>
      </rPr>
      <t>16.3.8.2.6</t>
    </r>
  </si>
  <si>
    <r>
      <rPr>
        <sz val="11"/>
        <rFont val="Times New Roman"/>
        <family val="1"/>
      </rPr>
      <t>16.3.8.2.7</t>
    </r>
  </si>
  <si>
    <r>
      <rPr>
        <b/>
        <sz val="11"/>
        <rFont val="Times New Roman"/>
        <family val="1"/>
      </rPr>
      <t>16.3.8.3</t>
    </r>
  </si>
  <si>
    <r>
      <rPr>
        <sz val="11"/>
        <rFont val="Times New Roman"/>
        <family val="1"/>
      </rPr>
      <t>16.3.8.3.1</t>
    </r>
  </si>
  <si>
    <r>
      <rPr>
        <sz val="11"/>
        <rFont val="Times New Roman"/>
        <family val="1"/>
      </rPr>
      <t>16.3.8.3.2</t>
    </r>
  </si>
  <si>
    <r>
      <rPr>
        <sz val="11"/>
        <rFont val="Times New Roman"/>
        <family val="1"/>
      </rPr>
      <t>16.3.8.3.3</t>
    </r>
  </si>
  <si>
    <r>
      <rPr>
        <sz val="11"/>
        <rFont val="Times New Roman"/>
        <family val="1"/>
      </rPr>
      <t>16.3.8.3.4</t>
    </r>
  </si>
  <si>
    <r>
      <rPr>
        <sz val="11"/>
        <rFont val="Times New Roman"/>
        <family val="1"/>
      </rPr>
      <t>16.3.8.3.5</t>
    </r>
  </si>
  <si>
    <r>
      <rPr>
        <sz val="11"/>
        <rFont val="Times New Roman"/>
        <family val="1"/>
      </rPr>
      <t>16.3.8.3.6</t>
    </r>
  </si>
  <si>
    <r>
      <rPr>
        <b/>
        <sz val="11"/>
        <rFont val="Times New Roman"/>
        <family val="1"/>
      </rPr>
      <t>16.3.8.4</t>
    </r>
  </si>
  <si>
    <r>
      <rPr>
        <sz val="11"/>
        <rFont val="Times New Roman"/>
        <family val="1"/>
      </rPr>
      <t>16.3.8.4.1</t>
    </r>
  </si>
  <si>
    <r>
      <rPr>
        <sz val="11"/>
        <rFont val="Times New Roman"/>
        <family val="1"/>
      </rPr>
      <t>16.3.8.4.2</t>
    </r>
  </si>
  <si>
    <r>
      <rPr>
        <sz val="11"/>
        <rFont val="Times New Roman"/>
        <family val="1"/>
      </rPr>
      <t>16.3.8.4.3</t>
    </r>
  </si>
  <si>
    <r>
      <rPr>
        <sz val="11"/>
        <rFont val="Times New Roman"/>
        <family val="1"/>
      </rPr>
      <t>16.3.8.4.4</t>
    </r>
  </si>
  <si>
    <r>
      <rPr>
        <sz val="11"/>
        <rFont val="Times New Roman"/>
        <family val="1"/>
      </rPr>
      <t>16.3.8.4.5</t>
    </r>
  </si>
  <si>
    <r>
      <rPr>
        <sz val="11"/>
        <rFont val="Times New Roman"/>
        <family val="1"/>
      </rPr>
      <t>16.3.8.4.6</t>
    </r>
  </si>
  <si>
    <r>
      <rPr>
        <sz val="11"/>
        <rFont val="Times New Roman"/>
        <family val="1"/>
      </rPr>
      <t>16.3.8.4.7</t>
    </r>
  </si>
  <si>
    <r>
      <rPr>
        <sz val="11"/>
        <rFont val="Times New Roman"/>
        <family val="1"/>
      </rPr>
      <t>16.3.8.4.8</t>
    </r>
  </si>
  <si>
    <r>
      <rPr>
        <sz val="11"/>
        <rFont val="Times New Roman"/>
        <family val="1"/>
      </rPr>
      <t>16.3.8.4.9</t>
    </r>
  </si>
  <si>
    <r>
      <rPr>
        <sz val="11"/>
        <rFont val="Times New Roman"/>
        <family val="1"/>
      </rPr>
      <t>16.3.8.4.11</t>
    </r>
  </si>
  <si>
    <r>
      <rPr>
        <b/>
        <sz val="11"/>
        <rFont val="Times New Roman"/>
        <family val="1"/>
      </rPr>
      <t>16.3.8.5</t>
    </r>
  </si>
  <si>
    <r>
      <rPr>
        <sz val="11"/>
        <rFont val="Times New Roman"/>
        <family val="1"/>
      </rPr>
      <t>16.3.8.5.1</t>
    </r>
  </si>
  <si>
    <r>
      <rPr>
        <sz val="11"/>
        <rFont val="Times New Roman"/>
        <family val="1"/>
      </rPr>
      <t>16.3.8.5.2</t>
    </r>
  </si>
  <si>
    <r>
      <rPr>
        <sz val="11"/>
        <rFont val="Times New Roman"/>
        <family val="1"/>
      </rPr>
      <t>16.3.8.5.3</t>
    </r>
  </si>
  <si>
    <r>
      <rPr>
        <sz val="11"/>
        <rFont val="Times New Roman"/>
        <family val="1"/>
      </rPr>
      <t>16.3.8.5.4</t>
    </r>
  </si>
  <si>
    <r>
      <rPr>
        <sz val="11"/>
        <rFont val="Times New Roman"/>
        <family val="1"/>
      </rPr>
      <t>16.3.8.5.5</t>
    </r>
  </si>
  <si>
    <r>
      <rPr>
        <sz val="11"/>
        <rFont val="Times New Roman"/>
        <family val="1"/>
      </rPr>
      <t>16.3.8.5.6</t>
    </r>
  </si>
  <si>
    <r>
      <rPr>
        <sz val="11"/>
        <rFont val="Times New Roman"/>
        <family val="1"/>
      </rPr>
      <t>16.3.8.5.7</t>
    </r>
  </si>
  <si>
    <r>
      <rPr>
        <sz val="11"/>
        <rFont val="Times New Roman"/>
        <family val="1"/>
      </rPr>
      <t>16.3.8.5.12</t>
    </r>
  </si>
  <si>
    <r>
      <rPr>
        <b/>
        <sz val="11"/>
        <rFont val="Times New Roman"/>
        <family val="1"/>
      </rPr>
      <t>16.3.8.6</t>
    </r>
  </si>
  <si>
    <r>
      <rPr>
        <sz val="11"/>
        <rFont val="Times New Roman"/>
        <family val="1"/>
      </rPr>
      <t>16.3.8.6.1</t>
    </r>
  </si>
  <si>
    <r>
      <rPr>
        <sz val="11"/>
        <rFont val="Times New Roman"/>
        <family val="1"/>
      </rPr>
      <t>16.3.8.6.2</t>
    </r>
  </si>
  <si>
    <r>
      <rPr>
        <sz val="11"/>
        <rFont val="Times New Roman"/>
        <family val="1"/>
      </rPr>
      <t>16.3.8.6.3</t>
    </r>
  </si>
  <si>
    <r>
      <rPr>
        <sz val="11"/>
        <rFont val="Times New Roman"/>
        <family val="1"/>
      </rPr>
      <t>16.3.8.6.4</t>
    </r>
  </si>
  <si>
    <r>
      <rPr>
        <sz val="11"/>
        <rFont val="Times New Roman"/>
        <family val="1"/>
      </rPr>
      <t>16.3.8.6.5</t>
    </r>
  </si>
  <si>
    <r>
      <rPr>
        <sz val="11"/>
        <rFont val="Times New Roman"/>
        <family val="1"/>
      </rPr>
      <t>16.3.8.6.6</t>
    </r>
  </si>
  <si>
    <r>
      <rPr>
        <sz val="11"/>
        <rFont val="Times New Roman"/>
        <family val="1"/>
      </rPr>
      <t>16.3.8.6.7</t>
    </r>
  </si>
  <si>
    <r>
      <rPr>
        <sz val="11"/>
        <rFont val="Times New Roman"/>
        <family val="1"/>
      </rPr>
      <t>16.3.8.6.8</t>
    </r>
  </si>
  <si>
    <r>
      <rPr>
        <sz val="11"/>
        <rFont val="Times New Roman"/>
        <family val="1"/>
      </rPr>
      <t>16.3.8.6.9</t>
    </r>
  </si>
  <si>
    <r>
      <rPr>
        <sz val="11"/>
        <rFont val="Times New Roman"/>
        <family val="1"/>
      </rPr>
      <t>16.3.8.6.11</t>
    </r>
  </si>
  <si>
    <r>
      <rPr>
        <b/>
        <sz val="11"/>
        <rFont val="Times New Roman"/>
        <family val="1"/>
      </rPr>
      <t>16.3.8.7</t>
    </r>
  </si>
  <si>
    <r>
      <rPr>
        <sz val="11"/>
        <rFont val="Times New Roman"/>
        <family val="1"/>
      </rPr>
      <t>16.3.8.7.1</t>
    </r>
  </si>
  <si>
    <r>
      <rPr>
        <sz val="11"/>
        <rFont val="Times New Roman"/>
        <family val="1"/>
      </rPr>
      <t>16.3.8.7.2</t>
    </r>
  </si>
  <si>
    <r>
      <rPr>
        <sz val="11"/>
        <rFont val="Times New Roman"/>
        <family val="1"/>
      </rPr>
      <t>16.3.8.7.3</t>
    </r>
  </si>
  <si>
    <r>
      <rPr>
        <sz val="11"/>
        <rFont val="Times New Roman"/>
        <family val="1"/>
      </rPr>
      <t>16.3.8.7.4</t>
    </r>
  </si>
  <si>
    <r>
      <rPr>
        <sz val="11"/>
        <rFont val="Times New Roman"/>
        <family val="1"/>
      </rPr>
      <t>16.3.8.7.5</t>
    </r>
  </si>
  <si>
    <r>
      <rPr>
        <sz val="11"/>
        <rFont val="Times New Roman"/>
        <family val="1"/>
      </rPr>
      <t>16.3.8.7.12</t>
    </r>
  </si>
  <si>
    <r>
      <rPr>
        <b/>
        <sz val="11"/>
        <rFont val="Times New Roman"/>
        <family val="1"/>
      </rPr>
      <t>16.3.8.8</t>
    </r>
  </si>
  <si>
    <r>
      <rPr>
        <sz val="11"/>
        <rFont val="Times New Roman"/>
        <family val="1"/>
      </rPr>
      <t>16.3.8.8.2</t>
    </r>
  </si>
  <si>
    <r>
      <rPr>
        <sz val="11"/>
        <rFont val="Times New Roman"/>
        <family val="1"/>
      </rPr>
      <t>16.3.8.8.3</t>
    </r>
  </si>
  <si>
    <r>
      <rPr>
        <sz val="11"/>
        <rFont val="Times New Roman"/>
        <family val="1"/>
      </rPr>
      <t>16.3.8.8.14</t>
    </r>
  </si>
  <si>
    <r>
      <rPr>
        <b/>
        <sz val="11"/>
        <rFont val="Times New Roman"/>
        <family val="1"/>
      </rPr>
      <t>16.3.8.9</t>
    </r>
  </si>
  <si>
    <r>
      <rPr>
        <sz val="11"/>
        <rFont val="Times New Roman"/>
        <family val="1"/>
      </rPr>
      <t>16.3.8.9.2</t>
    </r>
  </si>
  <si>
    <r>
      <rPr>
        <sz val="11"/>
        <rFont val="Times New Roman"/>
        <family val="1"/>
      </rPr>
      <t>16.3.8.9.3</t>
    </r>
  </si>
  <si>
    <r>
      <rPr>
        <sz val="11"/>
        <rFont val="Times New Roman"/>
        <family val="1"/>
      </rPr>
      <t>16.3.8.9.4</t>
    </r>
  </si>
  <si>
    <r>
      <rPr>
        <sz val="11"/>
        <rFont val="Times New Roman"/>
        <family val="1"/>
      </rPr>
      <t>16.3.8.9.14</t>
    </r>
  </si>
  <si>
    <r>
      <rPr>
        <b/>
        <sz val="11"/>
        <rFont val="Times New Roman"/>
        <family val="1"/>
      </rPr>
      <t>16.3.8.10</t>
    </r>
  </si>
  <si>
    <r>
      <rPr>
        <sz val="11"/>
        <rFont val="Times New Roman"/>
        <family val="1"/>
      </rPr>
      <t>16.3.8.10.2</t>
    </r>
  </si>
  <si>
    <r>
      <rPr>
        <sz val="11"/>
        <rFont val="Times New Roman"/>
        <family val="1"/>
      </rPr>
      <t>16.3.8.10.3</t>
    </r>
  </si>
  <si>
    <r>
      <rPr>
        <sz val="11"/>
        <rFont val="Times New Roman"/>
        <family val="1"/>
      </rPr>
      <t>16.3.8.10.4</t>
    </r>
  </si>
  <si>
    <r>
      <rPr>
        <sz val="11"/>
        <rFont val="Times New Roman"/>
        <family val="1"/>
      </rPr>
      <t>16.3.8.10.5</t>
    </r>
  </si>
  <si>
    <r>
      <rPr>
        <sz val="11"/>
        <rFont val="Times New Roman"/>
        <family val="1"/>
      </rPr>
      <t>16.3.8.10.6</t>
    </r>
  </si>
  <si>
    <r>
      <rPr>
        <sz val="11"/>
        <rFont val="Times New Roman"/>
        <family val="1"/>
      </rPr>
      <t>16.3.8.10.11</t>
    </r>
  </si>
  <si>
    <r>
      <rPr>
        <b/>
        <sz val="11"/>
        <rFont val="Times New Roman"/>
        <family val="1"/>
      </rPr>
      <t>16.3.8.11</t>
    </r>
  </si>
  <si>
    <r>
      <rPr>
        <sz val="11"/>
        <rFont val="Times New Roman"/>
        <family val="1"/>
      </rPr>
      <t>16.3.8.11.2</t>
    </r>
  </si>
  <si>
    <r>
      <rPr>
        <sz val="11"/>
        <rFont val="Times New Roman"/>
        <family val="1"/>
      </rPr>
      <t>16.3.8.11.3</t>
    </r>
  </si>
  <si>
    <r>
      <rPr>
        <sz val="11"/>
        <rFont val="Times New Roman"/>
        <family val="1"/>
      </rPr>
      <t>16.3.8.11.4</t>
    </r>
  </si>
  <si>
    <r>
      <rPr>
        <sz val="11"/>
        <rFont val="Times New Roman"/>
        <family val="1"/>
      </rPr>
      <t>16.3.8.11.5</t>
    </r>
  </si>
  <si>
    <r>
      <rPr>
        <sz val="11"/>
        <rFont val="Times New Roman"/>
        <family val="1"/>
      </rPr>
      <t>16.3.8.11.6</t>
    </r>
  </si>
  <si>
    <r>
      <rPr>
        <sz val="11"/>
        <rFont val="Times New Roman"/>
        <family val="1"/>
      </rPr>
      <t>16.3.8.11.11</t>
    </r>
  </si>
  <si>
    <r>
      <rPr>
        <b/>
        <sz val="11"/>
        <rFont val="Times New Roman"/>
        <family val="1"/>
      </rPr>
      <t>16.3.8.12</t>
    </r>
  </si>
  <si>
    <r>
      <rPr>
        <sz val="11"/>
        <rFont val="Times New Roman"/>
        <family val="1"/>
      </rPr>
      <t>16.3.8.12.2</t>
    </r>
  </si>
  <si>
    <r>
      <rPr>
        <sz val="11"/>
        <rFont val="Times New Roman"/>
        <family val="1"/>
      </rPr>
      <t>16.3.8.12.3</t>
    </r>
  </si>
  <si>
    <r>
      <rPr>
        <sz val="11"/>
        <rFont val="Times New Roman"/>
        <family val="1"/>
      </rPr>
      <t>16.3.8.12.4</t>
    </r>
  </si>
  <si>
    <r>
      <rPr>
        <sz val="11"/>
        <rFont val="Times New Roman"/>
        <family val="1"/>
      </rPr>
      <t>16.3.8.12.5</t>
    </r>
  </si>
  <si>
    <r>
      <rPr>
        <sz val="11"/>
        <rFont val="Times New Roman"/>
        <family val="1"/>
      </rPr>
      <t>16.3.8.12.6</t>
    </r>
  </si>
  <si>
    <r>
      <rPr>
        <sz val="11"/>
        <rFont val="Times New Roman"/>
        <family val="1"/>
      </rPr>
      <t>16.3.8.12.7</t>
    </r>
  </si>
  <si>
    <r>
      <rPr>
        <sz val="11"/>
        <rFont val="Times New Roman"/>
        <family val="1"/>
      </rPr>
      <t>16.3.8.12.8</t>
    </r>
  </si>
  <si>
    <r>
      <rPr>
        <sz val="11"/>
        <rFont val="Times New Roman"/>
        <family val="1"/>
      </rPr>
      <t>16.3.8.12.9</t>
    </r>
  </si>
  <si>
    <r>
      <rPr>
        <sz val="11"/>
        <rFont val="Times New Roman"/>
        <family val="1"/>
      </rPr>
      <t>16.3.8.12.10</t>
    </r>
  </si>
  <si>
    <r>
      <rPr>
        <sz val="11"/>
        <rFont val="Times New Roman"/>
        <family val="1"/>
      </rPr>
      <t>16.3.8.12.11</t>
    </r>
  </si>
  <si>
    <r>
      <rPr>
        <sz val="11"/>
        <rFont val="Times New Roman"/>
        <family val="1"/>
      </rPr>
      <t>16.3.8.12.13</t>
    </r>
  </si>
  <si>
    <r>
      <rPr>
        <sz val="11"/>
        <rFont val="Times New Roman"/>
        <family val="1"/>
      </rPr>
      <t>16.3.8.12.14</t>
    </r>
  </si>
  <si>
    <r>
      <rPr>
        <b/>
        <sz val="11"/>
        <rFont val="Times New Roman"/>
        <family val="1"/>
      </rPr>
      <t>16.3.8.13</t>
    </r>
  </si>
  <si>
    <r>
      <rPr>
        <sz val="11"/>
        <rFont val="Times New Roman"/>
        <family val="1"/>
      </rPr>
      <t>16.3.8.13.2</t>
    </r>
  </si>
  <si>
    <r>
      <rPr>
        <b/>
        <sz val="11"/>
        <rFont val="Times New Roman"/>
        <family val="1"/>
      </rPr>
      <t>16.3.8.14</t>
    </r>
  </si>
  <si>
    <r>
      <rPr>
        <sz val="11"/>
        <rFont val="Times New Roman"/>
        <family val="1"/>
      </rPr>
      <t>16.3.8.14.2</t>
    </r>
  </si>
  <si>
    <r>
      <rPr>
        <b/>
        <sz val="11"/>
        <rFont val="Times New Roman"/>
        <family val="1"/>
      </rPr>
      <t>16.3.8.15</t>
    </r>
  </si>
  <si>
    <r>
      <rPr>
        <sz val="11"/>
        <rFont val="Times New Roman"/>
        <family val="1"/>
      </rPr>
      <t>16.3.8.15.2</t>
    </r>
  </si>
  <si>
    <r>
      <rPr>
        <b/>
        <sz val="11"/>
        <rFont val="Times New Roman"/>
        <family val="1"/>
      </rPr>
      <t>16.3.8.16</t>
    </r>
  </si>
  <si>
    <r>
      <rPr>
        <sz val="11"/>
        <rFont val="Times New Roman"/>
        <family val="1"/>
      </rPr>
      <t>16.3.8.16.2</t>
    </r>
  </si>
  <si>
    <r>
      <rPr>
        <b/>
        <sz val="11"/>
        <rFont val="Times New Roman"/>
        <family val="1"/>
      </rPr>
      <t>16.3.8.17</t>
    </r>
  </si>
  <si>
    <r>
      <rPr>
        <sz val="11"/>
        <rFont val="Times New Roman"/>
        <family val="1"/>
      </rPr>
      <t>16.3.8.17.2</t>
    </r>
  </si>
  <si>
    <r>
      <rPr>
        <sz val="11"/>
        <rFont val="Times New Roman"/>
        <family val="1"/>
      </rPr>
      <t>16.3.8.17.3</t>
    </r>
  </si>
  <si>
    <r>
      <rPr>
        <sz val="11"/>
        <rFont val="Times New Roman"/>
        <family val="1"/>
      </rPr>
      <t>16.3.8.17.4</t>
    </r>
  </si>
  <si>
    <r>
      <rPr>
        <sz val="11"/>
        <rFont val="Times New Roman"/>
        <family val="1"/>
      </rPr>
      <t>16.3.8.17.8</t>
    </r>
  </si>
  <si>
    <r>
      <rPr>
        <b/>
        <sz val="11"/>
        <rFont val="Times New Roman"/>
        <family val="1"/>
      </rPr>
      <t>16.3.8.18</t>
    </r>
  </si>
  <si>
    <r>
      <rPr>
        <sz val="11"/>
        <rFont val="Times New Roman"/>
        <family val="1"/>
      </rPr>
      <t>16.3.8.18.2</t>
    </r>
  </si>
  <si>
    <r>
      <rPr>
        <sz val="11"/>
        <rFont val="Times New Roman"/>
        <family val="1"/>
      </rPr>
      <t>16.3.8.18.3</t>
    </r>
  </si>
  <si>
    <r>
      <rPr>
        <sz val="11"/>
        <rFont val="Times New Roman"/>
        <family val="1"/>
      </rPr>
      <t>16.3.8.18.7</t>
    </r>
  </si>
  <si>
    <r>
      <rPr>
        <b/>
        <sz val="11"/>
        <rFont val="Times New Roman"/>
        <family val="1"/>
      </rPr>
      <t>16.3.8.19</t>
    </r>
  </si>
  <si>
    <r>
      <rPr>
        <sz val="11"/>
        <rFont val="Times New Roman"/>
        <family val="1"/>
      </rPr>
      <t>16.3.8.19.1</t>
    </r>
  </si>
  <si>
    <r>
      <rPr>
        <sz val="11"/>
        <rFont val="Times New Roman"/>
        <family val="1"/>
      </rPr>
      <t>16.3.8.19.3</t>
    </r>
  </si>
  <si>
    <r>
      <rPr>
        <sz val="11"/>
        <rFont val="Times New Roman"/>
        <family val="1"/>
      </rPr>
      <t>16.3.8.19.4</t>
    </r>
  </si>
  <si>
    <r>
      <rPr>
        <sz val="11"/>
        <rFont val="Times New Roman"/>
        <family val="1"/>
      </rPr>
      <t>16.3.8.19.5</t>
    </r>
  </si>
  <si>
    <r>
      <rPr>
        <sz val="11"/>
        <rFont val="Times New Roman"/>
        <family val="1"/>
      </rPr>
      <t>16.3.8.19.6</t>
    </r>
  </si>
  <si>
    <r>
      <rPr>
        <sz val="11"/>
        <rFont val="Times New Roman"/>
        <family val="1"/>
      </rPr>
      <t>16.3.8.19.7</t>
    </r>
  </si>
  <si>
    <r>
      <rPr>
        <sz val="11"/>
        <rFont val="Times New Roman"/>
        <family val="1"/>
      </rPr>
      <t>16.3.8.19.11</t>
    </r>
  </si>
  <si>
    <r>
      <rPr>
        <sz val="11"/>
        <rFont val="Times New Roman"/>
        <family val="1"/>
      </rPr>
      <t>16.3.8.19.12</t>
    </r>
  </si>
  <si>
    <r>
      <rPr>
        <sz val="11"/>
        <rFont val="Times New Roman"/>
        <family val="1"/>
      </rPr>
      <t>16.3.8.19.13</t>
    </r>
  </si>
  <si>
    <r>
      <rPr>
        <sz val="11"/>
        <rFont val="Times New Roman"/>
        <family val="1"/>
      </rPr>
      <t>16.3.8.19.14</t>
    </r>
  </si>
  <si>
    <r>
      <rPr>
        <b/>
        <sz val="11"/>
        <rFont val="Times New Roman"/>
        <family val="1"/>
      </rPr>
      <t>16.3.8.20</t>
    </r>
  </si>
  <si>
    <r>
      <rPr>
        <sz val="11"/>
        <rFont val="Times New Roman"/>
        <family val="1"/>
      </rPr>
      <t>16.3.8.20.1</t>
    </r>
  </si>
  <si>
    <r>
      <rPr>
        <sz val="11"/>
        <rFont val="Times New Roman"/>
        <family val="1"/>
      </rPr>
      <t>16.3.8.20.3</t>
    </r>
  </si>
  <si>
    <r>
      <rPr>
        <sz val="11"/>
        <rFont val="Times New Roman"/>
        <family val="1"/>
      </rPr>
      <t>16.3.8.20.4</t>
    </r>
  </si>
  <si>
    <r>
      <rPr>
        <sz val="11"/>
        <rFont val="Times New Roman"/>
        <family val="1"/>
      </rPr>
      <t>16.3.8.20.5</t>
    </r>
  </si>
  <si>
    <r>
      <rPr>
        <sz val="11"/>
        <rFont val="Times New Roman"/>
        <family val="1"/>
      </rPr>
      <t>16.3.8.20.6</t>
    </r>
  </si>
  <si>
    <r>
      <rPr>
        <sz val="11"/>
        <rFont val="Times New Roman"/>
        <family val="1"/>
      </rPr>
      <t>16.3.8.20.7</t>
    </r>
  </si>
  <si>
    <r>
      <rPr>
        <sz val="11"/>
        <rFont val="Times New Roman"/>
        <family val="1"/>
      </rPr>
      <t>16.3.8.20.11</t>
    </r>
  </si>
  <si>
    <r>
      <rPr>
        <sz val="11"/>
        <rFont val="Times New Roman"/>
        <family val="1"/>
      </rPr>
      <t>16.3.8.20.12</t>
    </r>
  </si>
  <si>
    <r>
      <rPr>
        <sz val="11"/>
        <rFont val="Times New Roman"/>
        <family val="1"/>
      </rPr>
      <t>16.3.8.20.13</t>
    </r>
  </si>
  <si>
    <r>
      <rPr>
        <sz val="11"/>
        <rFont val="Times New Roman"/>
        <family val="1"/>
      </rPr>
      <t>16.3.8.20.14</t>
    </r>
  </si>
  <si>
    <r>
      <rPr>
        <b/>
        <sz val="11"/>
        <rFont val="Times New Roman"/>
        <family val="1"/>
      </rPr>
      <t>16.3.9</t>
    </r>
  </si>
  <si>
    <r>
      <rPr>
        <b/>
        <sz val="11"/>
        <rFont val="Times New Roman"/>
        <family val="1"/>
      </rPr>
      <t>16.3.9.1</t>
    </r>
  </si>
  <si>
    <r>
      <rPr>
        <sz val="11"/>
        <rFont val="Times New Roman"/>
        <family val="1"/>
      </rPr>
      <t>16.3.9.1.1</t>
    </r>
  </si>
  <si>
    <r>
      <rPr>
        <sz val="11"/>
        <rFont val="Times New Roman"/>
        <family val="1"/>
      </rPr>
      <t>16.3.9.1.2</t>
    </r>
  </si>
  <si>
    <r>
      <rPr>
        <sz val="11"/>
        <rFont val="Times New Roman"/>
        <family val="1"/>
      </rPr>
      <t>16.3.9.1.3</t>
    </r>
  </si>
  <si>
    <r>
      <rPr>
        <sz val="11"/>
        <rFont val="Times New Roman"/>
        <family val="1"/>
      </rPr>
      <t>16.3.9.1.4</t>
    </r>
  </si>
  <si>
    <r>
      <rPr>
        <sz val="11"/>
        <rFont val="Times New Roman"/>
        <family val="1"/>
      </rPr>
      <t>16.3.9.1.5</t>
    </r>
  </si>
  <si>
    <r>
      <rPr>
        <sz val="11"/>
        <rFont val="Times New Roman"/>
        <family val="1"/>
      </rPr>
      <t>16.3.9.1.6</t>
    </r>
  </si>
  <si>
    <r>
      <rPr>
        <sz val="11"/>
        <rFont val="Times New Roman"/>
        <family val="1"/>
      </rPr>
      <t>16.3.9.1.7</t>
    </r>
  </si>
  <si>
    <r>
      <rPr>
        <sz val="11"/>
        <rFont val="Times New Roman"/>
        <family val="1"/>
      </rPr>
      <t>16.3.9.1.8</t>
    </r>
  </si>
  <si>
    <r>
      <rPr>
        <b/>
        <sz val="11"/>
        <rFont val="Times New Roman"/>
        <family val="1"/>
      </rPr>
      <t>16.3.9.2</t>
    </r>
  </si>
  <si>
    <r>
      <rPr>
        <sz val="11"/>
        <rFont val="Times New Roman"/>
        <family val="1"/>
      </rPr>
      <t>16.3.9.2.1</t>
    </r>
  </si>
  <si>
    <r>
      <rPr>
        <sz val="11"/>
        <rFont val="Times New Roman"/>
        <family val="1"/>
      </rPr>
      <t>16.3.9.2.2</t>
    </r>
  </si>
  <si>
    <r>
      <rPr>
        <b/>
        <sz val="11"/>
        <rFont val="Times New Roman"/>
        <family val="1"/>
      </rPr>
      <t>16.3.9.3</t>
    </r>
  </si>
  <si>
    <r>
      <rPr>
        <sz val="11"/>
        <rFont val="Times New Roman"/>
        <family val="1"/>
      </rPr>
      <t>16.3.9.3.1</t>
    </r>
  </si>
  <si>
    <r>
      <rPr>
        <sz val="11"/>
        <rFont val="Times New Roman"/>
        <family val="1"/>
      </rPr>
      <t>16.3.9.3.2</t>
    </r>
  </si>
  <si>
    <r>
      <rPr>
        <sz val="11"/>
        <rFont val="Times New Roman"/>
        <family val="1"/>
      </rPr>
      <t>16.3.9.3.3</t>
    </r>
  </si>
  <si>
    <r>
      <rPr>
        <sz val="11"/>
        <rFont val="Times New Roman"/>
        <family val="1"/>
      </rPr>
      <t>16.3.9.3.4</t>
    </r>
  </si>
  <si>
    <r>
      <rPr>
        <sz val="11"/>
        <rFont val="Times New Roman"/>
        <family val="1"/>
      </rPr>
      <t>16.3.9.3.5</t>
    </r>
  </si>
  <si>
    <r>
      <rPr>
        <b/>
        <sz val="11"/>
        <rFont val="Times New Roman"/>
        <family val="1"/>
      </rPr>
      <t>16.3.9.4</t>
    </r>
  </si>
  <si>
    <r>
      <rPr>
        <sz val="11"/>
        <rFont val="Times New Roman"/>
        <family val="1"/>
      </rPr>
      <t>16.3.9.4.1</t>
    </r>
  </si>
  <si>
    <r>
      <rPr>
        <sz val="11"/>
        <rFont val="Times New Roman"/>
        <family val="1"/>
      </rPr>
      <t>16.3.9.4.2</t>
    </r>
  </si>
  <si>
    <r>
      <rPr>
        <sz val="11"/>
        <rFont val="Times New Roman"/>
        <family val="1"/>
      </rPr>
      <t>16.3.9.4.3</t>
    </r>
  </si>
  <si>
    <r>
      <rPr>
        <sz val="11"/>
        <rFont val="Times New Roman"/>
        <family val="1"/>
      </rPr>
      <t>16.3.9.4.4</t>
    </r>
  </si>
  <si>
    <r>
      <rPr>
        <sz val="11"/>
        <rFont val="Times New Roman"/>
        <family val="1"/>
      </rPr>
      <t>16.3.9.4.5</t>
    </r>
  </si>
  <si>
    <r>
      <rPr>
        <sz val="11"/>
        <rFont val="Times New Roman"/>
        <family val="1"/>
      </rPr>
      <t>16.3.9.4.6</t>
    </r>
  </si>
  <si>
    <r>
      <rPr>
        <sz val="11"/>
        <rFont val="Times New Roman"/>
        <family val="1"/>
      </rPr>
      <t>16.3.9.4.12</t>
    </r>
  </si>
  <si>
    <r>
      <rPr>
        <b/>
        <sz val="11"/>
        <rFont val="Times New Roman"/>
        <family val="1"/>
      </rPr>
      <t>16.3.10</t>
    </r>
  </si>
  <si>
    <r>
      <rPr>
        <b/>
        <sz val="11"/>
        <rFont val="Times New Roman"/>
        <family val="1"/>
      </rPr>
      <t>16.3.10.1</t>
    </r>
  </si>
  <si>
    <r>
      <rPr>
        <sz val="11"/>
        <rFont val="Times New Roman"/>
        <family val="1"/>
      </rPr>
      <t>16.3.10.1.1</t>
    </r>
  </si>
  <si>
    <r>
      <rPr>
        <sz val="11"/>
        <rFont val="Times New Roman"/>
        <family val="1"/>
      </rPr>
      <t>16.3.10.1.2</t>
    </r>
  </si>
  <si>
    <r>
      <rPr>
        <sz val="11"/>
        <rFont val="Times New Roman"/>
        <family val="1"/>
      </rPr>
      <t>16.3.10.1.3</t>
    </r>
  </si>
  <si>
    <r>
      <rPr>
        <sz val="11"/>
        <rFont val="Times New Roman"/>
        <family val="1"/>
      </rPr>
      <t>16.3.10.1.4</t>
    </r>
  </si>
  <si>
    <r>
      <rPr>
        <sz val="11"/>
        <rFont val="Times New Roman"/>
        <family val="1"/>
      </rPr>
      <t>16.3.10.1.5</t>
    </r>
  </si>
  <si>
    <r>
      <rPr>
        <sz val="11"/>
        <rFont val="Times New Roman"/>
        <family val="1"/>
      </rPr>
      <t>16.3.10.1.6</t>
    </r>
  </si>
  <si>
    <r>
      <rPr>
        <sz val="11"/>
        <rFont val="Times New Roman"/>
        <family val="1"/>
      </rPr>
      <t>16.3.10.1.7</t>
    </r>
  </si>
  <si>
    <r>
      <rPr>
        <b/>
        <sz val="11"/>
        <rFont val="Times New Roman"/>
        <family val="1"/>
      </rPr>
      <t>16.3.10.2</t>
    </r>
  </si>
  <si>
    <r>
      <rPr>
        <sz val="11"/>
        <rFont val="Times New Roman"/>
        <family val="1"/>
      </rPr>
      <t>16.3.10.2.1</t>
    </r>
  </si>
  <si>
    <r>
      <rPr>
        <sz val="11"/>
        <rFont val="Times New Roman"/>
        <family val="1"/>
      </rPr>
      <t>16.3.10.2.2</t>
    </r>
  </si>
  <si>
    <r>
      <rPr>
        <b/>
        <sz val="11"/>
        <rFont val="Times New Roman"/>
        <family val="1"/>
      </rPr>
      <t>16.3.10.3</t>
    </r>
  </si>
  <si>
    <r>
      <rPr>
        <sz val="11"/>
        <rFont val="Times New Roman"/>
        <family val="1"/>
      </rPr>
      <t>16.3.10.3.1</t>
    </r>
  </si>
  <si>
    <r>
      <rPr>
        <sz val="11"/>
        <rFont val="Times New Roman"/>
        <family val="1"/>
      </rPr>
      <t>16.3.10.3.2</t>
    </r>
  </si>
  <si>
    <r>
      <rPr>
        <sz val="11"/>
        <rFont val="Times New Roman"/>
        <family val="1"/>
      </rPr>
      <t>16.3.10.3.3</t>
    </r>
  </si>
  <si>
    <r>
      <rPr>
        <sz val="11"/>
        <rFont val="Times New Roman"/>
        <family val="1"/>
      </rPr>
      <t>16.3.10.3.4</t>
    </r>
  </si>
  <si>
    <r>
      <rPr>
        <b/>
        <sz val="11"/>
        <rFont val="Times New Roman"/>
        <family val="1"/>
      </rPr>
      <t>16.3.11</t>
    </r>
  </si>
  <si>
    <r>
      <rPr>
        <b/>
        <sz val="11"/>
        <rFont val="Times New Roman"/>
        <family val="1"/>
      </rPr>
      <t>16.3.11.1</t>
    </r>
  </si>
  <si>
    <r>
      <rPr>
        <b/>
        <sz val="11"/>
        <rFont val="Times New Roman"/>
        <family val="1"/>
      </rPr>
      <t>16.3.11.1.1</t>
    </r>
  </si>
  <si>
    <r>
      <rPr>
        <sz val="11"/>
        <rFont val="Times New Roman"/>
        <family val="1"/>
      </rPr>
      <t>16.3.11.1.1.1</t>
    </r>
  </si>
  <si>
    <r>
      <rPr>
        <b/>
        <sz val="11"/>
        <rFont val="Times New Roman"/>
        <family val="1"/>
      </rPr>
      <t>16.3.11.1.2</t>
    </r>
  </si>
  <si>
    <r>
      <rPr>
        <sz val="11"/>
        <rFont val="Times New Roman"/>
        <family val="1"/>
      </rPr>
      <t>16.3.11.1.2.1</t>
    </r>
  </si>
  <si>
    <r>
      <rPr>
        <b/>
        <sz val="11"/>
        <rFont val="Times New Roman"/>
        <family val="1"/>
      </rPr>
      <t>16.3.11.1.3</t>
    </r>
  </si>
  <si>
    <r>
      <rPr>
        <sz val="11"/>
        <rFont val="Times New Roman"/>
        <family val="1"/>
      </rPr>
      <t>16.3.11.1.3.1</t>
    </r>
  </si>
  <si>
    <r>
      <rPr>
        <b/>
        <sz val="11"/>
        <rFont val="Times New Roman"/>
        <family val="1"/>
      </rPr>
      <t>16.3.11.2</t>
    </r>
  </si>
  <si>
    <r>
      <rPr>
        <sz val="11"/>
        <rFont val="Times New Roman"/>
        <family val="1"/>
      </rPr>
      <t>16.3.11.2.1</t>
    </r>
  </si>
  <si>
    <r>
      <rPr>
        <sz val="11"/>
        <rFont val="Times New Roman"/>
        <family val="1"/>
      </rPr>
      <t>16.3.11.2.2</t>
    </r>
  </si>
  <si>
    <r>
      <rPr>
        <sz val="11"/>
        <rFont val="Times New Roman"/>
        <family val="1"/>
      </rPr>
      <t>16.3.11.2.3</t>
    </r>
  </si>
  <si>
    <r>
      <rPr>
        <sz val="11"/>
        <rFont val="Times New Roman"/>
        <family val="1"/>
      </rPr>
      <t>16.3.11.2.4</t>
    </r>
  </si>
  <si>
    <r>
      <rPr>
        <sz val="11"/>
        <rFont val="Times New Roman"/>
        <family val="1"/>
      </rPr>
      <t>16.3.11.2.5</t>
    </r>
  </si>
  <si>
    <r>
      <rPr>
        <sz val="11"/>
        <rFont val="Times New Roman"/>
        <family val="1"/>
      </rPr>
      <t>16.3.11.2.6</t>
    </r>
  </si>
  <si>
    <r>
      <rPr>
        <sz val="11"/>
        <rFont val="Times New Roman"/>
        <family val="1"/>
      </rPr>
      <t>16.3.11.2.7</t>
    </r>
  </si>
  <si>
    <r>
      <rPr>
        <sz val="11"/>
        <rFont val="Times New Roman"/>
        <family val="1"/>
      </rPr>
      <t>16.3.11.2.8</t>
    </r>
  </si>
  <si>
    <r>
      <rPr>
        <b/>
        <sz val="11"/>
        <rFont val="Times New Roman"/>
        <family val="1"/>
      </rPr>
      <t>16.3.11.3</t>
    </r>
  </si>
  <si>
    <r>
      <rPr>
        <sz val="11"/>
        <rFont val="Times New Roman"/>
        <family val="1"/>
      </rPr>
      <t>16.3.11.3.1</t>
    </r>
  </si>
  <si>
    <r>
      <rPr>
        <sz val="11"/>
        <rFont val="Times New Roman"/>
        <family val="1"/>
      </rPr>
      <t>16.3.11.3.2</t>
    </r>
  </si>
  <si>
    <r>
      <rPr>
        <sz val="11"/>
        <rFont val="Times New Roman"/>
        <family val="1"/>
      </rPr>
      <t>16.3.11.3.3</t>
    </r>
  </si>
  <si>
    <r>
      <rPr>
        <sz val="11"/>
        <rFont val="Times New Roman"/>
        <family val="1"/>
      </rPr>
      <t>16.3.11.3.4</t>
    </r>
  </si>
  <si>
    <r>
      <rPr>
        <b/>
        <sz val="11"/>
        <rFont val="Times New Roman"/>
        <family val="1"/>
      </rPr>
      <t>16.3.11.4</t>
    </r>
  </si>
  <si>
    <r>
      <rPr>
        <sz val="11"/>
        <rFont val="Times New Roman"/>
        <family val="1"/>
      </rPr>
      <t>16.3.11.4.1</t>
    </r>
  </si>
  <si>
    <r>
      <rPr>
        <sz val="11"/>
        <rFont val="Times New Roman"/>
        <family val="1"/>
      </rPr>
      <t>16.3.11.4.2</t>
    </r>
  </si>
  <si>
    <r>
      <rPr>
        <sz val="11"/>
        <rFont val="Times New Roman"/>
        <family val="1"/>
      </rPr>
      <t>16.3.11.4.3</t>
    </r>
  </si>
  <si>
    <r>
      <rPr>
        <sz val="11"/>
        <rFont val="Times New Roman"/>
        <family val="1"/>
      </rPr>
      <t>16.3.11.4.4</t>
    </r>
  </si>
  <si>
    <r>
      <rPr>
        <b/>
        <sz val="11"/>
        <rFont val="Times New Roman"/>
        <family val="1"/>
      </rPr>
      <t>16.3.11.5</t>
    </r>
  </si>
  <si>
    <r>
      <rPr>
        <sz val="11"/>
        <rFont val="Times New Roman"/>
        <family val="1"/>
      </rPr>
      <t>16.3.11.5.1</t>
    </r>
  </si>
  <si>
    <r>
      <rPr>
        <sz val="11"/>
        <rFont val="Times New Roman"/>
        <family val="1"/>
      </rPr>
      <t>16.3.11.5.2</t>
    </r>
  </si>
  <si>
    <r>
      <rPr>
        <sz val="11"/>
        <rFont val="Times New Roman"/>
        <family val="1"/>
      </rPr>
      <t>16.3.11.5.3</t>
    </r>
  </si>
  <si>
    <r>
      <rPr>
        <sz val="11"/>
        <rFont val="Times New Roman"/>
        <family val="1"/>
      </rPr>
      <t>16.3.11.5.4</t>
    </r>
  </si>
  <si>
    <r>
      <rPr>
        <b/>
        <sz val="11"/>
        <rFont val="Times New Roman"/>
        <family val="1"/>
      </rPr>
      <t>16.3.11.6</t>
    </r>
  </si>
  <si>
    <r>
      <rPr>
        <sz val="11"/>
        <rFont val="Times New Roman"/>
        <family val="1"/>
      </rPr>
      <t>16.3.11.6.1</t>
    </r>
  </si>
  <si>
    <r>
      <rPr>
        <sz val="11"/>
        <rFont val="Times New Roman"/>
        <family val="1"/>
      </rPr>
      <t>16.3.11.6.2</t>
    </r>
  </si>
  <si>
    <r>
      <rPr>
        <sz val="11"/>
        <rFont val="Times New Roman"/>
        <family val="1"/>
      </rPr>
      <t>16.3.11.6.3</t>
    </r>
  </si>
  <si>
    <r>
      <rPr>
        <sz val="11"/>
        <rFont val="Times New Roman"/>
        <family val="1"/>
      </rPr>
      <t>16.3.11.6.4</t>
    </r>
  </si>
  <si>
    <r>
      <rPr>
        <sz val="11"/>
        <rFont val="Times New Roman"/>
        <family val="1"/>
      </rPr>
      <t>16.3.11.6.5</t>
    </r>
  </si>
  <si>
    <r>
      <rPr>
        <b/>
        <sz val="11"/>
        <rFont val="Times New Roman"/>
        <family val="1"/>
      </rPr>
      <t>16.3.11.7</t>
    </r>
  </si>
  <si>
    <r>
      <rPr>
        <sz val="11"/>
        <rFont val="Times New Roman"/>
        <family val="1"/>
      </rPr>
      <t>16.3.11.7.1</t>
    </r>
  </si>
  <si>
    <r>
      <rPr>
        <sz val="11"/>
        <rFont val="Times New Roman"/>
        <family val="1"/>
      </rPr>
      <t>16.3.11.7.2</t>
    </r>
  </si>
  <si>
    <r>
      <rPr>
        <b/>
        <sz val="11"/>
        <rFont val="Times New Roman"/>
        <family val="1"/>
      </rPr>
      <t>16.3.11.8</t>
    </r>
  </si>
  <si>
    <r>
      <rPr>
        <sz val="11"/>
        <rFont val="Times New Roman"/>
        <family val="1"/>
      </rPr>
      <t>16.3.11.8.1</t>
    </r>
  </si>
  <si>
    <r>
      <rPr>
        <sz val="11"/>
        <rFont val="Times New Roman"/>
        <family val="1"/>
      </rPr>
      <t>16.3.11.8.2</t>
    </r>
  </si>
  <si>
    <r>
      <rPr>
        <sz val="11"/>
        <rFont val="Times New Roman"/>
        <family val="1"/>
      </rPr>
      <t>16.3.11.8.3</t>
    </r>
  </si>
  <si>
    <r>
      <rPr>
        <b/>
        <sz val="11"/>
        <rFont val="Times New Roman"/>
        <family val="1"/>
      </rPr>
      <t>16.3.11.9</t>
    </r>
  </si>
  <si>
    <r>
      <rPr>
        <sz val="11"/>
        <rFont val="Times New Roman"/>
        <family val="1"/>
      </rPr>
      <t>16.3.11.9.1</t>
    </r>
  </si>
  <si>
    <r>
      <rPr>
        <b/>
        <sz val="11"/>
        <rFont val="Times New Roman"/>
        <family val="1"/>
      </rPr>
      <t>16.4</t>
    </r>
  </si>
  <si>
    <r>
      <rPr>
        <b/>
        <sz val="11"/>
        <rFont val="Times New Roman"/>
        <family val="1"/>
      </rPr>
      <t>16.4.1</t>
    </r>
  </si>
  <si>
    <r>
      <rPr>
        <b/>
        <sz val="11"/>
        <rFont val="Times New Roman"/>
        <family val="1"/>
      </rPr>
      <t>16.4.1.1</t>
    </r>
  </si>
  <si>
    <r>
      <rPr>
        <sz val="11"/>
        <rFont val="Times New Roman"/>
        <family val="1"/>
      </rPr>
      <t>16.4.1.1.1</t>
    </r>
  </si>
  <si>
    <r>
      <rPr>
        <b/>
        <sz val="11"/>
        <rFont val="Times New Roman"/>
        <family val="1"/>
      </rPr>
      <t>16.4.1.2</t>
    </r>
  </si>
  <si>
    <r>
      <rPr>
        <sz val="11"/>
        <rFont val="Times New Roman"/>
        <family val="1"/>
      </rPr>
      <t>16.4.1.2.1</t>
    </r>
  </si>
  <si>
    <r>
      <rPr>
        <b/>
        <sz val="11"/>
        <rFont val="Times New Roman"/>
        <family val="1"/>
      </rPr>
      <t>16.4.1.3</t>
    </r>
  </si>
  <si>
    <r>
      <rPr>
        <sz val="11"/>
        <rFont val="Times New Roman"/>
        <family val="1"/>
      </rPr>
      <t>16.4.1.3.1</t>
    </r>
  </si>
  <si>
    <r>
      <rPr>
        <sz val="11"/>
        <rFont val="Times New Roman"/>
        <family val="1"/>
      </rPr>
      <t>16.4.1.3.2</t>
    </r>
  </si>
  <si>
    <r>
      <rPr>
        <sz val="11"/>
        <rFont val="Times New Roman"/>
        <family val="1"/>
      </rPr>
      <t>16.4.1.3.3</t>
    </r>
  </si>
  <si>
    <r>
      <rPr>
        <sz val="11"/>
        <rFont val="Times New Roman"/>
        <family val="1"/>
      </rPr>
      <t>16.4.1.3.4</t>
    </r>
  </si>
  <si>
    <r>
      <rPr>
        <sz val="11"/>
        <rFont val="Times New Roman"/>
        <family val="1"/>
      </rPr>
      <t>16.4.1.3.5</t>
    </r>
  </si>
  <si>
    <r>
      <rPr>
        <sz val="11"/>
        <rFont val="Times New Roman"/>
        <family val="1"/>
      </rPr>
      <t>16.4.1.3.6</t>
    </r>
  </si>
  <si>
    <r>
      <rPr>
        <sz val="11"/>
        <rFont val="Times New Roman"/>
        <family val="1"/>
      </rPr>
      <t>16.4.1.3.7</t>
    </r>
  </si>
  <si>
    <r>
      <rPr>
        <sz val="11"/>
        <rFont val="Times New Roman"/>
        <family val="1"/>
      </rPr>
      <t>16.4.1.3.8</t>
    </r>
  </si>
  <si>
    <r>
      <rPr>
        <b/>
        <sz val="11"/>
        <rFont val="Times New Roman"/>
        <family val="1"/>
      </rPr>
      <t>16.4.1.4</t>
    </r>
  </si>
  <si>
    <r>
      <rPr>
        <sz val="11"/>
        <rFont val="Times New Roman"/>
        <family val="1"/>
      </rPr>
      <t>16.4.1.4.1</t>
    </r>
  </si>
  <si>
    <r>
      <rPr>
        <sz val="11"/>
        <rFont val="Times New Roman"/>
        <family val="1"/>
      </rPr>
      <t>16.4.1.4.2</t>
    </r>
  </si>
  <si>
    <r>
      <rPr>
        <sz val="11"/>
        <rFont val="Times New Roman"/>
        <family val="1"/>
      </rPr>
      <t>16.4.1.4.3</t>
    </r>
  </si>
  <si>
    <r>
      <rPr>
        <b/>
        <sz val="11"/>
        <rFont val="Times New Roman"/>
        <family val="1"/>
      </rPr>
      <t>16.4.1.5</t>
    </r>
  </si>
  <si>
    <r>
      <rPr>
        <sz val="11"/>
        <rFont val="Times New Roman"/>
        <family val="1"/>
      </rPr>
      <t>16.4.1.5.1</t>
    </r>
  </si>
  <si>
    <r>
      <rPr>
        <sz val="11"/>
        <rFont val="Times New Roman"/>
        <family val="1"/>
      </rPr>
      <t>16.4.1.5.2</t>
    </r>
  </si>
  <si>
    <r>
      <rPr>
        <sz val="11"/>
        <rFont val="Times New Roman"/>
        <family val="1"/>
      </rPr>
      <t>16.4.1.5.3</t>
    </r>
  </si>
  <si>
    <r>
      <rPr>
        <sz val="11"/>
        <rFont val="Times New Roman"/>
        <family val="1"/>
      </rPr>
      <t>16.4.1.5.4</t>
    </r>
  </si>
  <si>
    <r>
      <rPr>
        <sz val="11"/>
        <rFont val="Times New Roman"/>
        <family val="1"/>
      </rPr>
      <t>16.4.1.5.5</t>
    </r>
  </si>
  <si>
    <r>
      <rPr>
        <sz val="11"/>
        <rFont val="Times New Roman"/>
        <family val="1"/>
      </rPr>
      <t>16.4.1.5.6</t>
    </r>
  </si>
  <si>
    <r>
      <rPr>
        <sz val="11"/>
        <rFont val="Times New Roman"/>
        <family val="1"/>
      </rPr>
      <t>16.4.1.5.7</t>
    </r>
  </si>
  <si>
    <r>
      <rPr>
        <sz val="11"/>
        <rFont val="Times New Roman"/>
        <family val="1"/>
      </rPr>
      <t>16.4.1.5.8</t>
    </r>
  </si>
  <si>
    <r>
      <rPr>
        <b/>
        <sz val="11"/>
        <rFont val="Times New Roman"/>
        <family val="1"/>
      </rPr>
      <t>16.4.2</t>
    </r>
  </si>
  <si>
    <r>
      <rPr>
        <sz val="11"/>
        <rFont val="Times New Roman"/>
        <family val="1"/>
      </rPr>
      <t>16.4.2.1</t>
    </r>
  </si>
  <si>
    <r>
      <rPr>
        <b/>
        <sz val="11"/>
        <rFont val="Times New Roman"/>
        <family val="1"/>
      </rPr>
      <t>17</t>
    </r>
  </si>
  <si>
    <r>
      <rPr>
        <sz val="11"/>
        <rFont val="Times New Roman"/>
        <family val="1"/>
      </rPr>
      <t>17.1</t>
    </r>
  </si>
  <si>
    <r>
      <rPr>
        <sz val="11"/>
        <rFont val="Times New Roman"/>
        <family val="1"/>
      </rPr>
      <t>17.2</t>
    </r>
  </si>
  <si>
    <r>
      <rPr>
        <sz val="11"/>
        <rFont val="Times New Roman"/>
        <family val="1"/>
      </rPr>
      <t>17.3</t>
    </r>
  </si>
  <si>
    <r>
      <rPr>
        <sz val="11"/>
        <rFont val="Times New Roman"/>
        <family val="1"/>
      </rPr>
      <t>17.4</t>
    </r>
  </si>
  <si>
    <r>
      <rPr>
        <sz val="11"/>
        <rFont val="Times New Roman"/>
        <family val="1"/>
      </rPr>
      <t>17.5</t>
    </r>
  </si>
  <si>
    <r>
      <rPr>
        <sz val="11"/>
        <rFont val="Times New Roman"/>
        <family val="1"/>
      </rPr>
      <t>17.6</t>
    </r>
  </si>
  <si>
    <r>
      <rPr>
        <b/>
        <sz val="11"/>
        <rFont val="Times New Roman"/>
        <family val="1"/>
      </rPr>
      <t>18</t>
    </r>
  </si>
  <si>
    <r>
      <rPr>
        <sz val="11"/>
        <rFont val="Times New Roman"/>
        <family val="1"/>
      </rPr>
      <t>18.1</t>
    </r>
  </si>
  <si>
    <r>
      <rPr>
        <sz val="11"/>
        <rFont val="Times New Roman"/>
        <family val="1"/>
      </rPr>
      <t>18.2</t>
    </r>
  </si>
  <si>
    <r>
      <rPr>
        <sz val="11"/>
        <rFont val="Times New Roman"/>
        <family val="1"/>
      </rPr>
      <t>18.3</t>
    </r>
  </si>
  <si>
    <r>
      <rPr>
        <b/>
        <sz val="11"/>
        <rFont val="Times New Roman"/>
        <family val="1"/>
      </rPr>
      <t>19</t>
    </r>
  </si>
  <si>
    <r>
      <rPr>
        <sz val="11"/>
        <rFont val="Times New Roman"/>
        <family val="1"/>
      </rPr>
      <t>19.1</t>
    </r>
  </si>
  <si>
    <r>
      <rPr>
        <sz val="11"/>
        <rFont val="Times New Roman"/>
        <family val="1"/>
      </rPr>
      <t>19.2</t>
    </r>
  </si>
  <si>
    <r>
      <rPr>
        <b/>
        <sz val="11"/>
        <rFont val="Times New Roman"/>
        <family val="1"/>
      </rPr>
      <t>20</t>
    </r>
  </si>
  <si>
    <r>
      <rPr>
        <b/>
        <sz val="11"/>
        <rFont val="Times New Roman"/>
        <family val="1"/>
      </rPr>
      <t>20.1</t>
    </r>
  </si>
  <si>
    <r>
      <rPr>
        <sz val="11"/>
        <rFont val="Times New Roman"/>
        <family val="1"/>
      </rPr>
      <t>20.1.1</t>
    </r>
  </si>
  <si>
    <r>
      <rPr>
        <b/>
        <sz val="11"/>
        <rFont val="Times New Roman"/>
        <family val="1"/>
      </rPr>
      <t>20.2</t>
    </r>
  </si>
  <si>
    <r>
      <rPr>
        <sz val="11"/>
        <rFont val="Times New Roman"/>
        <family val="1"/>
      </rPr>
      <t>20.2.1</t>
    </r>
  </si>
  <si>
    <r>
      <rPr>
        <sz val="11"/>
        <rFont val="Times New Roman"/>
        <family val="1"/>
      </rPr>
      <t>20.2.2</t>
    </r>
  </si>
  <si>
    <r>
      <rPr>
        <sz val="11"/>
        <rFont val="Times New Roman"/>
        <family val="1"/>
      </rPr>
      <t>20.2.3</t>
    </r>
  </si>
  <si>
    <r>
      <rPr>
        <b/>
        <sz val="11"/>
        <rFont val="Times New Roman"/>
        <family val="1"/>
      </rPr>
      <t>20.3</t>
    </r>
  </si>
  <si>
    <r>
      <rPr>
        <sz val="11"/>
        <rFont val="Times New Roman"/>
        <family val="1"/>
      </rPr>
      <t>20.3.1</t>
    </r>
  </si>
  <si>
    <r>
      <rPr>
        <sz val="11"/>
        <rFont val="Times New Roman"/>
        <family val="1"/>
      </rPr>
      <t>20.3.2</t>
    </r>
  </si>
  <si>
    <r>
      <rPr>
        <sz val="11"/>
        <rFont val="Times New Roman"/>
        <family val="1"/>
      </rPr>
      <t>20.3.3</t>
    </r>
  </si>
  <si>
    <r>
      <rPr>
        <b/>
        <sz val="11"/>
        <rFont val="Times New Roman"/>
        <family val="1"/>
      </rPr>
      <t>21</t>
    </r>
  </si>
  <si>
    <r>
      <rPr>
        <sz val="11"/>
        <rFont val="Times New Roman"/>
        <family val="1"/>
      </rPr>
      <t>21.1</t>
    </r>
  </si>
  <si>
    <r>
      <rPr>
        <sz val="11"/>
        <rFont val="Times New Roman"/>
        <family val="1"/>
      </rPr>
      <t>21.2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</si>
  <si>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</si>
  <si>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</si>
  <si>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</si>
  <si>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</si>
  <si>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</si>
  <si>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</si>
  <si>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</si>
  <si>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</si>
  <si>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</si>
  <si>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</si>
  <si>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</si>
  <si>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</si>
  <si>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r>
      <rPr>
        <sz val="11"/>
        <rFont val="Times New Roman"/>
        <family val="1"/>
      </rPr>
      <t>13</t>
    </r>
  </si>
  <si>
    <r>
      <rPr>
        <sz val="11"/>
        <rFont val="Times New Roman"/>
        <family val="1"/>
      </rPr>
      <t>14</t>
    </r>
  </si>
  <si>
    <r>
      <rPr>
        <sz val="11"/>
        <rFont val="Times New Roman"/>
        <family val="1"/>
      </rPr>
      <t>15</t>
    </r>
  </si>
  <si>
    <r>
      <rPr>
        <sz val="11"/>
        <rFont val="Times New Roman"/>
        <family val="1"/>
      </rPr>
      <t>16</t>
    </r>
  </si>
  <si>
    <r>
      <rPr>
        <sz val="11"/>
        <rFont val="Times New Roman"/>
        <family val="1"/>
      </rPr>
      <t>17</t>
    </r>
  </si>
  <si>
    <r>
      <rPr>
        <sz val="11"/>
        <rFont val="Times New Roman"/>
        <family val="1"/>
      </rPr>
      <t>18</t>
    </r>
  </si>
  <si>
    <r>
      <rPr>
        <sz val="11"/>
        <rFont val="Times New Roman"/>
        <family val="1"/>
      </rPr>
      <t>19</t>
    </r>
  </si>
  <si>
    <r>
      <rPr>
        <sz val="11"/>
        <rFont val="Times New Roman"/>
        <family val="1"/>
      </rPr>
      <t>20</t>
    </r>
  </si>
  <si>
    <r>
      <rPr>
        <sz val="11"/>
        <rFont val="Times New Roman"/>
        <family val="1"/>
      </rPr>
      <t>21</t>
    </r>
  </si>
  <si>
    <t xml:space="preserve">EXECUÇÃO DE SANITÁRIO E VESTIÁRIO EM CANTEIRO DE OBRA EM ALVENARIA, NÃO INCLUSO MOBILIÁRIO. </t>
  </si>
  <si>
    <t xml:space="preserve">EXECUÇÃO DE REFEITÓRIO EM CANTEIRO DE OBRA EM ALVENARIA, NÃO INCLUSO MOBILIÁRIO E EQUIPAMENTOS. </t>
  </si>
  <si>
    <t xml:space="preserve">EXECUÇÃO DE ESCRITÓRIO EM CANTEIRO DE OBRA EM ALVENARIA, NÃO INCLUSO MOBILIÁRIO E EQUIPAMENTOS. </t>
  </si>
  <si>
    <t xml:space="preserve">EXECUÇÃO DE ALMOXARIFADO EM CANTEIRO DE OBRA EM ALVENARIA, INCLUSO PRATELEIRAS. </t>
  </si>
  <si>
    <t xml:space="preserve">EXECUÇÃO DE CENTRAL DE ARMADURA EM CANTEIRO DE OBRA, NÃO INCLUSO MOBILIÁRIO E EQUIPAMENTOS. </t>
  </si>
  <si>
    <t xml:space="preserve">EXECUÇÃO DE CENTRAL DE FÔRMAS, PRODUÇÃO DE ARGAMASSA OU CONCRETO EM CANTEIRO DE OBRA, NÃO INCLUSO MOBILIÁRIO E EQUIPAMENTOS. </t>
  </si>
  <si>
    <t xml:space="preserve">REATERRO MANUAL DE VALAS COM COMPACTAÇÃO MECANIZADA. </t>
  </si>
  <si>
    <t xml:space="preserve">COMPACTAÇÃO MECÂNICA DE SOLO PARA EXECUÇÃO DE RADIER, COM COMPACTADOR DE SOLOS A PERCUSSÃO. </t>
  </si>
  <si>
    <t xml:space="preserve">PREPARO DE FUNDO DE VALA COM LARGURA MENOR QUE 1,5 M, EM LOCAL COM NÍVEL BAIXO DE INTERFERÊNCIA. </t>
  </si>
  <si>
    <t xml:space="preserve">ARMAÇÃO DE BLOCO, VIGA BALDRAME OU SAPATA UTILIZANDO AÇO CA-50 DE 6,3 MM - MONTAGEM. </t>
  </si>
  <si>
    <t xml:space="preserve">ARMAÇÃO DE BLOCO, VIGA BALDRAME OU SAPATA UTILIZANDO AÇO CA-50 DE 8 MM - MONTAGEM. </t>
  </si>
  <si>
    <t xml:space="preserve">ARMAÇÃO DE BLOCO, VIGA BALDRAME OU SAPATA UTILIZANDO AÇO CA-50 DE 12,5 MM - MONTAGEM. </t>
  </si>
  <si>
    <t xml:space="preserve">ARMAÇÃO DE BLOCO, VIGA BALDRAME OU SAPATA UTILIZANDO AÇO CA-50 DE 16 MM - MONTAGEM. </t>
  </si>
  <si>
    <t xml:space="preserve">ARMAÇÃO DE BLOCO, VIGA BALDRAME OU SAPATA UTILIZANDO AÇO CA-50 DE 20 MM - MONTAGEM. </t>
  </si>
  <si>
    <t xml:space="preserve">CONCRETO FCK = 30MPA, TRAÇO 1:2,1:2,5 (CIMENTO/ AREIA MÉDIA/ BRITA 1) - PREPARO MECÂNICO COM BETONEIRA 400 L. </t>
  </si>
  <si>
    <t xml:space="preserve">ARMAÇÃO DE BLOCO, VIGA BALDRAME E SAPATA UTILIZANDO AÇO CA-60 DE 5 MM - MONTAGEM. </t>
  </si>
  <si>
    <t xml:space="preserve">ARMAÇÃO DE BLOCO, VIGA BALDRAME OU SAPATA UTILIZANDO AÇO CA-50 DE 10 MM - MONTAGEM. </t>
  </si>
  <si>
    <t xml:space="preserve">FABRICAÇÃO, MONTAGEM E DESMONTAGEM DE FORMA PARA RADIER, EM MADEIRA SERRADA, 4 UTILIZAÇÕES. </t>
  </si>
  <si>
    <t xml:space="preserve">FORMAS MANUSEÁVEIS PARA PAREDES DE CONCRETO MOLDADAS IN LOCO, DE EDIFICAÇÕES DE PAVIMENTO ÚNICO, EM LAJES. </t>
  </si>
  <si>
    <t xml:space="preserve">MONTAGEM E DESMONTAGEM DE FÔRMA DE LAJE MACIÇA COM ÁREA MÉDIA MENOR OU IGUAL A 20 M², PÉ-DIREITO SIMPLES, EM MADEIRA SERRADA, 1 UTILIZAÇÃO. </t>
  </si>
  <si>
    <t xml:space="preserve">ARMAÇÃO DE PILAR OU VIGA DE UMA ESTRUTURA CONVENCIONAL DE CONCRETO ARMADO EM UM EDIFÍCIO DE MÚLTIPLOS PAVIMENTOS UTILIZANDO AÇO CA-60 DE 5,0 MM - MONTAGEM. </t>
  </si>
  <si>
    <t xml:space="preserve">ARMAÇÃO DE PILAR OU VIGA DE UMA ESTRUTURA CONVENCIONAL DE CONCRETO ARMADO EM UM EDIFÍCIO DE MÚLTIPLOS PAVIMENTOS UTILIZANDO AÇO CA-50 DE 6,3 MM - MONTAGEM. </t>
  </si>
  <si>
    <t xml:space="preserve">ARMAÇÃO DE PILAR OU VIGA DE UMA ESTRUTURA CONVENCIONAL DE CONCRETO ARMADO EM UM EDIFÍCIO DE MÚLTIPLOS PAVIMENTOS UTILIZANDO AÇO CA-50 DE 8,0 MM - MONTAGEM. </t>
  </si>
  <si>
    <t xml:space="preserve">ARMAÇÃO DE PILAR OU VIGA DE UMA ESTRUTURA CONVENCIONAL DE CONCRETO ARMADO EM UM EDIFÍCIO DE MÚLTIPLOS PAVIMENTOS UTILIZANDO AÇO CA-50 DE 10,0 MM - MONTAGEM. </t>
  </si>
  <si>
    <t xml:space="preserve">ARMAÇÃO DE PILAR OU VIGA DE UMA ESTRUTURA CONVENCIONAL DE CONCRETO ARMADO EM UM EDIFÍCIO DE MÚLTIPLOS PAVIMENTOS UTILIZANDO AÇO CA-50 DE 12,5 MM - MONTAGEM. </t>
  </si>
  <si>
    <t xml:space="preserve">ARMAÇÃO DE PILAR OU VIGA DE UMA ESTRUTURA CONVENCIONAL DE CONCRETO ARMADO EM UM EDIFÍCIO DE MÚLTIPLOS PAVIMENTOS UTILIZANDO AÇO CA-50 DE 16,0 MM - MONTAGEM. </t>
  </si>
  <si>
    <t xml:space="preserve">CONCRETAGEM DE VIGAS E LAJES, FCK=30 MPA, PARA LAJES MACIÇAS OU NERVURADAS COM USO DE BOMBA EM EDIFICAÇÃO COM ÁREA MÉDIA DE LAJES MENOR OU IGUAL A 20 M² - LANÇAMENTO, ADENSAMENTO E ACABAMENTO. </t>
  </si>
  <si>
    <t xml:space="preserve">ALVENARIA DE VEDAÇÃO DE BLOCOS CERÂMICOS FURADOS NA HORIZONTAL DE 9X14X19CM (ESPESSURA 9CM) DE PAREDES COM ÁREA LÍQUIDA MAIOR OU IGUAL A 6M² SEM VÃOS E ARGAMASSA DE ASSENTAMENTO COM PREPARO MANUAL. </t>
  </si>
  <si>
    <t xml:space="preserve">FIXAÇÃO (ENCUNHAMENTO) DE ALVENARIA DE VEDAÇÃO COM TIJOLO MACIÇO. </t>
  </si>
  <si>
    <t xml:space="preserve">VERGA MOLDADA IN LOCO EM CONCRETO PARA PORTAS COM ATÉ 1,5 M DE VÃO. </t>
  </si>
  <si>
    <t xml:space="preserve">VERGA MOLDADA IN LOCO EM CONCRETO PARA PORTAS COM MAIS DE 1,5 M DE VÃO. </t>
  </si>
  <si>
    <t xml:space="preserve">VERGA MOLDADA IN LOCO EM CONCRETO PARA JANELAS COM ATÉ 1,5 M DE VÃO. </t>
  </si>
  <si>
    <t xml:space="preserve">CONTRAVERGA MOLDADA IN LOCO EM CONCRETO PARA VÃOS DE ATÉ 1,5 M DE COMPRIMENTO. </t>
  </si>
  <si>
    <t xml:space="preserve">VERGA MOLDADA IN LOCO EM CONCRETO PARA JANELAS COM MAIS DE 1,5 M DE VÃO. </t>
  </si>
  <si>
    <t xml:space="preserve">CONTRAVERGA MOLDADA IN LOCO EM CONCRETO PARA VÃOS DE MAIS DE 1,5 M DE COMPRIMENTO. </t>
  </si>
  <si>
    <t xml:space="preserve">MONTAGEM E DESMONTAGEM DE FÔRMA DE PILARES RETANGULARES E ESTRUTURAS SIMILARES COM ÁREA MÉDIA DAS SEÇÕES MENOR OU IGUAL A 0,25 M², PÉ-DIREITO SIMPLES, EM MADEIRA SERRADA, 1 UTILIZAÇÃO. </t>
  </si>
  <si>
    <t xml:space="preserve">ARMAÇÃO DE PILAR OU VIGA DE UMA ESTRUTURA CONVENCIONAL DE CONCRETO ARMADO EM UM EDIFÍCIO DE MÚLTIPLOS PAVIMENTOS UTILIZANDO AÇO CA-50 DE 20,0 MM - MONTAGEM. </t>
  </si>
  <si>
    <t xml:space="preserve">ARMAÇÃO DE PILAR OU VIGA DE UMA ESTRUTURA CONVENCIONAL DE CONCRETO ARMADO EM UM EDIFÍCIO DE MÚLTIPLOS PAVIMENTOS UTILIZANDO AÇO CA-50 DE 25,0 MM - MONTAGEM. </t>
  </si>
  <si>
    <t xml:space="preserve">CONCRETAGEM DE PILARES, FCK = 30 MPA, COM USO DE BOMBA EM EDIFICAÇÃO COM SEÇÃO MÉDIA DE PILARES MENOR OU IGUAL A 0,25 M² - LANÇAMENTO, ADENSAMENTO E ACABAMENTO. </t>
  </si>
  <si>
    <t xml:space="preserve">MONTAGEM E DESMONTAGEM DE FÔRMA DE VIGA, ESCORAMENTO METÁLICO, PÉ-DIREITO SIMPLES, EM CHAPA DE MADEIRA RESINADA, 2 UTILIZAÇÕES. </t>
  </si>
  <si>
    <t xml:space="preserve">ARMAÇÃO DE LAJE DE UMA ESTRUTURA CONVENCIONAL DE CONCRETO ARMADO EM UM EDIFÍCIO DE MÚLTIPLOS PAVIMENTOS UTILIZANDO AÇO CA-50 DE 6,3 MM - MONTAGEM. </t>
  </si>
  <si>
    <t xml:space="preserve">ARMAÇÃO DE LAJE DE UMA ESTRUTURA CONVENCIONAL DE CONCRETO ARMADO EM UM EDIFÍCIO DE MÚLTIPLOS PAVIMENTOS UTILIZANDO AÇO CA-50 DE 8,0 MM - MONTAGEM. </t>
  </si>
  <si>
    <t xml:space="preserve">ARMAÇÃO DE LAJE DE UMA ESTRUTURA CONVENCIONAL DE CONCRETO ARMADO EM UM EDIFÍCIO DE MÚLTIPLOS PAVIMENTOS UTILIZANDO AÇO CA-50 DE 10,0 MM - MONTAGEM. </t>
  </si>
  <si>
    <t xml:space="preserve">ARMAÇÃO DE LAJE DE UMA ESTRUTURA CONVENCIONAL DE CONCRETO ARMADO EM UM EDIFÍCIO DE MÚLTIPLOS PAVIMENTOS UTILIZANDO AÇO CA-50 DE 12,5 MM - MONTAGEM. </t>
  </si>
  <si>
    <t xml:space="preserve">ARMAÇÃO DE LAJE DE UMA ESTRUTURA CONVENCIONAL DE CONCRETO ARMADO EM UM EDIFÍCIO DE MÚLTIPLOS PAVIMENTOS UTILIZANDO AÇO CA-50 DE 16,0 MM - MONTAGEM. </t>
  </si>
  <si>
    <t xml:space="preserve">ARMAÇÃO DE LAJE DE UMA ESTRUTURA CONVENCIONAL DE CONCRETO ARMADO EM UM EDIFÍCIO DE MÚLTIPLOS PAVIMENTOS UTILIZANDO AÇO CA-50 DE 20,0 MM - MONTAGEM. </t>
  </si>
  <si>
    <t xml:space="preserve">ARMAÇÃO DE ESCADA, COM 2 LANCES, DE UMA ESTRUTURA CONVENCIONAL DE CONCRETO ARMADO UTILIZANDO AÇO CA-50 DE 6,3 MM - MONTAGEM. </t>
  </si>
  <si>
    <t xml:space="preserve">ARMAÇÃO DE ESCADA, COM 2 LANCES, DE UMA ESTRUTURA CONVENCIONAL DE CONCRETO ARMADO UTILIZANDO AÇO CA-50 DE 8,0 MM - MONTAGEM. </t>
  </si>
  <si>
    <t xml:space="preserve">ARMAÇÃO DE ESCADA, COM 2 LANCES, DE UMA ESTRUTURA CONVENCIONAL DE CONCRETO ARMADO UTILIZANDO AÇO CA-50 DE 10,0 MM - MONTAGEM. </t>
  </si>
  <si>
    <t xml:space="preserve">TRAMA DE AÇO COMPOSTA POR TERÇAS PARA TELHADOS DE ATÉ 2 ÁGUAS PARA TELHA ONDULADA DE FIBROCIMENTO, METÁLICA, PLÁSTICA OU TERMOACÚSTICA, INCLUSO TRANSPORTE VERTICAL. </t>
  </si>
  <si>
    <t xml:space="preserve">TELHAMENTO COM TELHA METÁLICA TERMOACÚSTICA E = 30 MM, COM ATÉ 2 ÁGUAS, INCLUSO IÇAMENTO. </t>
  </si>
  <si>
    <t xml:space="preserve">CHAPISCO APLICADO EM ALVENARIAS E ESTRUTURAS DE CONCRETO INTERNAS, COMCOLHER DE PEDREIRO. ARGAMASSA TRAÇO 1:3 COM PREPARO MANUAL. </t>
  </si>
  <si>
    <t xml:space="preserve">EMBOÇO, PARA RECEBIMENTO DE CERÂMICA, EM ARGAMASSA TRAÇO 1:2:8, PREPARO MECÂNICO COM BETONEIRA 400L, APLICADO MANUALMENTE EM FACES INTERNASDE PAREDES, PARA AMBIENTE COM ÁREA MAIOR QUE 10M2, ESPESSURA DE 20MM,COM EXECUÇÃO DE TALISCAS. </t>
  </si>
  <si>
    <t xml:space="preserve">MASSA ÚNICA, PARA RECEBIMENTO DE PINTURA, EM ARGAMASSA TRAÇO 1:2:8, PREPARO MANUAL, APLICADA MANUALMENTE EM FACES INTERNAS DE PAREDES, ESPESSURA DE 20MM, COM EXECUÇÃO DE TALISCAS. </t>
  </si>
  <si>
    <t xml:space="preserve">ASSENTAMENTO DE GUIA (MEIO-FIO) EM TRECHO RETO, CONFECCIONADA EM CONCRETO PRÉ-FABRICADO, DIMENSÕES 100X15X13X20 CM (COMPRIMENTO X BASE INFERIOR X BASE SUPERIOR X ALTURA), PARA URBANIZAÇÃO INTERNA DE EMPREENDIMENTOS. </t>
  </si>
  <si>
    <t xml:space="preserve">CAIXA SIFONADA, PVC, DN 150 X 185 X 75 MM, FORNECIDA E INSTALADA EM RAMAIS DE ENCAMINHAMENTO DE ÁGUA PLUVIAL. </t>
  </si>
  <si>
    <t xml:space="preserve">CAIXA SIFONADA, PVC, DN 100 X 100 X 50 MM, FORNECIDA E INSTALADA EM RAMAIS DE ENCAMINHAMENTO DE ÁGUA PLUVIAL. </t>
  </si>
  <si>
    <t xml:space="preserve">RALO SECO, PVC, DN 100 X 40 MM, JUNTA SOLDÁVEL, FORNECIDO E INSTALADO EM RAMAL DE DESCARGA OU EM RAMAL DE ESGOTO SANITÁRIO. </t>
  </si>
  <si>
    <t xml:space="preserve">TUBO, PVC, SOLDÁVEL, DN 25MM, INSTALADO EM RAMAL OU SUB-RAMAL DE ÁGUA - FORNECIMENTO E INSTALAÇÃO. </t>
  </si>
  <si>
    <t xml:space="preserve">TUBO, PVC, SOLDÁVEL, DN 32MM, INSTALADO EM RAMAL OU SUB-RAMAL DE ÁGUA - FORNECIMENTO E INSTALAÇÃO. </t>
  </si>
  <si>
    <t xml:space="preserve">TUBO, PVC, SOLDÁVEL, DN 40MM, INSTALADO EM PRUMADA DE ÁGUA - FORNECIMENTO E INSTALAÇÃO. </t>
  </si>
  <si>
    <t xml:space="preserve">TUBO, PVC, SOLDÁVEL, DN 50MM, INSTALADO EM PRUMADA DE ÁGUA - FORNECIMENTO E INSTALAÇÃO. </t>
  </si>
  <si>
    <t xml:space="preserve">TUBO, PVC, SOLDÁVEL, DN 75MM, INSTALADO EM PRUMADA DE ÁGUA - FORNECIMENTO E INSTALAÇÃO. </t>
  </si>
  <si>
    <t xml:space="preserve">LUVA DE CORRER, PVC, SOLDÁVEL, DN 25MM, INSTALADO EM RAMAL DE DISTRIBUIÇÃO DE ÁGUA - FORNECIMENTO E INSTALAÇÃO. </t>
  </si>
  <si>
    <t xml:space="preserve">LUVA DE CORRER, PVC, SOLDÁVEL, DN 32MM, INSTALADO EM RAMAL DE DISTRIBUIÇÃO DE ÁGUA   FORNECIMENTO E INSTALAÇÃO. </t>
  </si>
  <si>
    <t xml:space="preserve">LUVA DE CORRER, PVC, SOLDÁVEL, DN 50MM, INSTALADO EM PRUMADA DE ÁGUA - FORNECIMENTO E INSTALAÇÃO. </t>
  </si>
  <si>
    <t xml:space="preserve">BUCHA DE REDUÇÃO, PVC, SOLDÁVEL, DN 32 X 25 MM, INSTALADO EM RAMAL OU SUB-RAMAL DE ÁGUA - FORNECIMENTO E INSTALAÇÃO. </t>
  </si>
  <si>
    <t xml:space="preserve">BUCHA DE REDUÇÃO, PVC, SOLDÁVEL, DN 40 X 25 MM, INSTALADO EM RAMAL OU SUB-RAMAL DE ÁGUA - FORNECIMENTO E INSTALAÇÃO. </t>
  </si>
  <si>
    <t xml:space="preserve">BUCHA DE REDUÇÃO, PVC, SOLDÁVEL, DN 40MM X 32MM, INSTALADO EM RAMAL OU SUB-RAMAL DE ÁGUA - FORNECIMENTO E INSTALAÇÃO. </t>
  </si>
  <si>
    <t xml:space="preserve">BUCHA DE REDUÇÃO, PVC, SOLDÁVEL, DN 50 X 32 MM, INSTALADO EM RAMAL OU SUB-RAMAL DE ÁGUA - FORNECIMENTO E INSTALAÇÃO. </t>
  </si>
  <si>
    <t xml:space="preserve">BUCHA DE REDUÇÃO, PVC, SOLDÁVEL, DN 50 X 40 MM, INSTALADO EM RAMAL OU SUB-RAMAL DE ÁGUA - FORNECIMENTO E INSTALAÇÃO. </t>
  </si>
  <si>
    <t xml:space="preserve">JOELHO 90 GRAUS, PVC, SOLDÁVEL, DN 25MM, INSTALADO EM RAMAL DE DISTRIBUIÇÃO DE ÁGUA - FORNECIMENTO E INSTALAÇÃO. </t>
  </si>
  <si>
    <t xml:space="preserve">JOELHO 90 GRAUS, PVC, SOLDÁVEL, DN 32MM, INSTALADO EM RAMAL DE DISTRIBUIÇÃO DE ÁGUA - FORNECIMENTO E INSTALAÇÃO. </t>
  </si>
  <si>
    <t xml:space="preserve">JOELHO 90 GRAUS, PVC, SOLDÁVEL, DN 40MM, INSTALADO EM PRUMADA DE ÁGUA - FORNECIMENTO E INSTALAÇÃO. </t>
  </si>
  <si>
    <t xml:space="preserve">JOELHO 90 GRAUS, PVC, SOLDÁVEL, DN 50MM, INSTALADO EM PRUMADA DE ÁGUA - FORNECIMENTO E INSTALAÇÃO. </t>
  </si>
  <si>
    <t xml:space="preserve">JOELHO 90 GRAUS, PVC, SOLDÁVEL, DN 75MM, INSTALADO EM PRUMADA DE ÁGUA - FORNECIMENTO E INSTALAÇÃO. </t>
  </si>
  <si>
    <t xml:space="preserve">JOELHO 45 GRAUS, PVC, SOLDÁVEL, DN 25MM, INSTALADO EM RAMAL DE DISTRIBUIÇÃO DE ÁGUA - FORNECIMENTO E INSTALAÇÃO. </t>
  </si>
  <si>
    <t xml:space="preserve">TE, PVC, SOLDÁVEL, DN 25MM, INSTALADO EM RAMAL DE DISTRIBUIÇÃO DE ÁGUA - FORNECIMENTO E INSTALAÇÃO. </t>
  </si>
  <si>
    <t xml:space="preserve">TE, PVC, SOLDÁVEL, DN 32MM, INSTALADO EM RAMAL DE DISTRIBUIÇÃO DE ÁGUA - FORNECIMENTO E INSTALAÇÃO. </t>
  </si>
  <si>
    <t xml:space="preserve">TE, PVC, SOLDÁVEL, DN 50MM, INSTALADO EM PRUMADA DE ÁGUA - FORNECIMENTO E INSTALAÇÃO. </t>
  </si>
  <si>
    <t xml:space="preserve">TE, PVC, REDUCAO, PVC, SOLDAVEL, 90 GRAUS, 32 MM X 25 MM, INSTALADO EM RAMAL DE DISTRIBUIÇÃO DE ÁGUA - FORNECIMENTO E INSTALAÇÃO. </t>
  </si>
  <si>
    <t xml:space="preserve">TE, PVC, REDUCAO, PVC, SOLDAVEL, 90 GRAUS, 40 MM X 25 MM, INSTALADO EM RAMAL DE DISTRIBUIÇÃO DE ÁGUA - FORNECIMENTO E INSTALAÇÃO. </t>
  </si>
  <si>
    <t xml:space="preserve">TE, PVC, REDUCAO, PVC, SOLDAVEL, 90 GRAUS, 50 MM X 40 MM, INSTALADO EM RAMAL DE DISTRIBUIÇÃO DE ÁGUA - FORNECIMENTO E INSTALAÇÃO. </t>
  </si>
  <si>
    <t xml:space="preserve">SABONETEIRA PLASTICA TIPO DISPENSER PARA SABONETE LIQUIDO COM RESERVATORIO 800 A 1500 ML, INCLUSO FIXAÇÃO. </t>
  </si>
  <si>
    <t xml:space="preserve">BANCADA DE GRANITO BRANCO CEARÁ PARA LAVATÓRIO 0,50 X 0,60 M, COM CUBA DE SEMI-ENCAIXE - FORNECIMENTO E INSTALAÇÃO. </t>
  </si>
  <si>
    <t xml:space="preserve">SIFÃO DO TIPO GARRAFA EM METAL CROMADO 1 X 1.1/2" - FORNECIMENTO E INSTALAÇÃO. </t>
  </si>
  <si>
    <t xml:space="preserve">PORTA TOALHA BANHO EM METAL CROMADO, TIPO BARRA, INCLUSO FIXAÇÃO. </t>
  </si>
  <si>
    <t xml:space="preserve">TANQUE DE LOUÇA BRANCA SUSPENSO, 18L OU EQUIVALENTE, INCLUSO SIFÃO TIPO GARRAFA EM PVC, VÁLVULA PLÁSTICA E TORNEIRA DE METAL CROMADO PADRÃO POPULAR - FORNECIMENTO E INSTALAÇÃO. </t>
  </si>
  <si>
    <t xml:space="preserve">BANCADA DE GRANITO CINZA POLIDO 150 X 60 CM, COM CUBA DE EMBUTIR DE AÇO INOXIDÁVEL MÉDIA, VÁLVULA AMERICANA EM METAL CROMADO, SIFÃO FLEXÍVEL EM PVC, ENGATE FLEXÍVEL 30 CM, TORNEIRA CROMADA LONGA DE PAREDE, 1/2 OU 3/4, PARA PIA DE COZINHA, PADRÃO POPULAR- FORNEC. E INSTAL. </t>
  </si>
  <si>
    <t xml:space="preserve">REGISTRO DE PRESSÃO BRUTO, LATÃO, ROSCÁVEL, 3/4", COM ACABAMENTO E CANOPLA CROMADOS. FORNECIDO E INSTALADO EM RAMAL DE ÁGUA. </t>
  </si>
  <si>
    <t xml:space="preserve">REGISTRO DE GAVETA BRUTO, LATÃO, ROSCÁVEL, 3/4", FORNECIDO E INSTALADO EM RAMAL DE ÁGUA. </t>
  </si>
  <si>
    <t xml:space="preserve">REGISTRO DE GAVETA BRUTO, LATÃO, ROSCÁVEL, 1?, INSTALADO EM RESERVAÇÃO DE ÁGUA DE EDIFICAÇÃO QUE POSSUA RESERVATÓRIO DE FIBRA/FIBROCIMENTO ? FORNECIMENTO E INSTALAÇÃO. </t>
  </si>
  <si>
    <t xml:space="preserve">REGISTRO DE GAVETA BRUTO, LATÃO, ROSCÁVEL, 1 1/4?, COM ACABAMENTO E CANOPLA CROMADOS, INSTALADO EM RESERVAÇÃO DE ÁGUA DE EDIFICAÇÃO QUE POSSUA RESERVATÓRIO DE FIBRA/FIBROCIMENTO ? FORNECIMENTO E INSTALAÇÃO. </t>
  </si>
  <si>
    <t xml:space="preserve">REGISTRO DE GAVETA BRUTO, LATÃO, ROSCÁVEL, 1 1/2?, INSTALADO EM RESERVAÇÃO DE ÁGUA DE EDIFICAÇÃO QUE POSSUA RESERVATÓRIO DE FIBRA/FIBROCIMENTO ? FORNECIMENTO E INSTALAÇÃO. </t>
  </si>
  <si>
    <t xml:space="preserve">REGISTRO DE GAVETA BRUTO, LATÃO, ROSCÁVEL, 3/4", COM ACABAMENTO E CANOPLA CROMADOS. FORNECIDO E INSTALADO EM RAMAL DE ÁGUA. </t>
  </si>
  <si>
    <t xml:space="preserve">REGISTRO DE GAVETA BRUTO, LATÃO, ROSCÁVEL, 1?, COM ACABAMENTO E CANOPLA CROMADOS, INSTALADO EM RESERVAÇÃO DE ÁGUA DE EDIFICAÇÃO QUE POSSUA RESERVATÓRIO DE FIBRA/FIBROCIMENTO ? FORNECIMENTO E INSTALAÇÃO. </t>
  </si>
  <si>
    <t xml:space="preserve">TORNEIRA DE BÓIA REAL, ROSCÁVEL, 1", FORNECIDA E INSTALADA EM RESERVAÇÃO DE ÁGUA. </t>
  </si>
  <si>
    <t xml:space="preserve">(COMPOSIÇÃO REPRESENTATIVA) DO SERVIÇO DE INSTALAÇÃO DE TUBOS DE PVC, SÉRIE R, ÁGUA PLUVIAL, DN 150 MM (INSTALADO EM CONDUTORES VERTICAIS), INCLUSIVE CONEXÕES, CORTES E FIXAÇÕES, PARA PRÉDIOS. </t>
  </si>
  <si>
    <t xml:space="preserve">TUBO PVC, SÉRIE R, ÁGUA PLUVIAL, DN 100 MM, FORNECIDO E INSTALADO EM CONDUTORES VERTICAIS DE ÁGUAS PLUVIAIS. </t>
  </si>
  <si>
    <t xml:space="preserve">TUBO PVC, SÉRIE R, ÁGUA PLUVIAL, DN 75 MM, FORNECIDO E INSTALADO EM CONDUTORES VERTICAIS DE ÁGUAS PLUVIAIS. </t>
  </si>
  <si>
    <t xml:space="preserve">JOELHO 90 GRAUS, PVC, SERIE R, ÁGUA PLUVIAL, DN 150 MM, JUNTA ELÁSTICA, FORNECIDO E INSTALADO EM CONDUTORES VERTICAIS DE ÁGUAS PLUVIAIS. </t>
  </si>
  <si>
    <t xml:space="preserve">JOELHO 45 GRAUS, PVC, SERIE R, ÁGUA PLUVIAL, DN 150 MM, JUNTA ELÁSTICA, FORNECIDO E INSTALADO EM CONDUTORES VERTICAIS DE ÁGUAS PLUVIAIS. </t>
  </si>
  <si>
    <t xml:space="preserve">JOELHO 90 GRAUS, PVC, SERIE R, ÁGUA PLUVIAL, DN 100 MM, JUNTA ELÁSTICA, FORNECIDO E INSTALADO EM CONDUTORES VERTICAIS DE ÁGUAS PLUVIAIS. </t>
  </si>
  <si>
    <t xml:space="preserve">JOELHO 45 GRAUS, PVC, SERIE R, ÁGUA PLUVIAL, DN 100 MM, JUNTA ELÁSTICA, FORNECIDO E INSTALADO EM CONDUTORES VERTICAIS DE ÁGUAS PLUVIAIS. </t>
  </si>
  <si>
    <t xml:space="preserve">JOELHO 90 GRAUS, PVC, SOLDÁVEL, DN 32MM, INSTALADO EM PRUMADA DE ÁGUA - FORNECIMENTO E INSTALAÇÃO. </t>
  </si>
  <si>
    <t xml:space="preserve">JOELHO 45 GRAUS, PVC, SERIE R, ÁGUA PLUVIAL, DN 40 MM, JUNTA SOLDÁVEL, FORNECIDO E INSTALADO EM RAMAL DE ENCAMINHAMENTO. </t>
  </si>
  <si>
    <t xml:space="preserve">JOELHO 45 GRAUS, PVC, SERIE R, ÁGUA PLUVIAL, DN 75 MM, JUNTA ELÁSTICA, FORNECIDO E INSTALADO EM CONDUTORES VERTICAIS DE ÁGUAS PLUVIAIS. </t>
  </si>
  <si>
    <t xml:space="preserve">JOELHO 45 GRAUS, PVC, SOLDÁVEL, DN 32MM, INSTALADO EM RAMAL OU SUB-RAMAL DE ÁGUA - FORNECIMENTO E INSTALAÇÃO. </t>
  </si>
  <si>
    <t xml:space="preserve">JUNÇÃO SIMPLES, PVC, SERIE R, ÁGUA PLUVIAL, DN 100 X 100 MM, JUNTA ELÁSTICA, FORNECIDO E INSTALADO EM CONDUTORES VERTICAIS DE ÁGUAS PLUVIAIS. </t>
  </si>
  <si>
    <t xml:space="preserve">JUNÇÃO DUPLA, PVC, SERIE R, ÁGUA PLUVIAL, DN 100 X 100 X 100 MM, JUNTA ELÁSTICA, FORNECIDO E INSTALADO EM RAMAL DE ENCAMINHAMENTO. </t>
  </si>
  <si>
    <t xml:space="preserve">TE, PVC, SOLDÁVEL, DN 32MM, INSTALADO EM PRUMADA DE ÁGUA - FORNECIMENTO E INSTALAÇÃO. </t>
  </si>
  <si>
    <t xml:space="preserve">RALO SIFONADO, PVC, DN 100 X 40 MM, JUNTA SOLDÁVEL, FORNECIDO E INSTALADO EM RAMAIS DE ENCAMINHAMENTO DE ÁGUA PLUVIAL. </t>
  </si>
  <si>
    <t xml:space="preserve">TUBO PVC, SERIE NORMAL, ESGOTO PREDIAL, DN 40 MM, FORNECIDO E INSTALADO EM RAMAL DE DESCARGA OU RAMAL DE ESGOTO SANITÁRIO. </t>
  </si>
  <si>
    <t xml:space="preserve">TUBO PVC, SERIE NORMAL, ESGOTO PREDIAL, DN 50 MM, FORNECIDO E INSTALADO EM PRUMADA DE ESGOTO SANITÁRIO OU VENTILAÇÃO. </t>
  </si>
  <si>
    <t xml:space="preserve">TUBO PVC, SERIE NORMAL, ESGOTO PREDIAL, DN 75 MM, FORNECIDO E INSTALADO EM PRUMADA DE ESGOTO SANITÁRIO OU VENTILAÇÃO. </t>
  </si>
  <si>
    <t xml:space="preserve">TUBO PVC, SERIE NORMAL, ESGOTO PREDIAL, DN 100 MM, FORNECIDO E INSTALADO EM RAMAL DE DESCARGA OU RAMAL DE ESGOTO SANITÁRIO. </t>
  </si>
  <si>
    <t xml:space="preserve">TUBO PVC, SERIE NORMAL, ESGOTO PREDIAL, DN 150 MM, FORNECIDO E INSTALADO EM SUBCOLETOR AÉREO DE ESGOTO SANITÁRIO. </t>
  </si>
  <si>
    <t xml:space="preserve">JOELHO 90 GRAUS, PVC, SERIE NORMAL, ESGOTO PREDIAL, DN 50 MM, JUNTA ELÁSTICA, FORNECIDO E INSTALADO EM RAMAL DE DESCARGA OU RAMAL DE ESGOTO SANITÁRIO. </t>
  </si>
  <si>
    <t xml:space="preserve">JOELHO 90 GRAUS, PVC, SERIE NORMAL, ESGOTO PREDIAL, DN 40 MM, JUNTA SOLDÁVEL, FORNECIDO E INSTALADO EM RAMAL DE DESCARGA OU RAMAL DE ESGOTO SANITÁRIO. </t>
  </si>
  <si>
    <t xml:space="preserve">JOELHO 90 GRAUS, PVC, SERIE NORMAL, ESGOTO PREDIAL, DN 75 MM, JUNTA ELÁSTICA, FORNECIDO E INSTALADO EM PRUMADA DE ESGOTO SANITÁRIO OU VENTILAÇÃO. </t>
  </si>
  <si>
    <t xml:space="preserve">JOELHO 90 GRAUS, PVC, SERIE NORMAL, ESGOTO PREDIAL, DN 100 MM, JUNTA ELÁSTICA, FORNECIDO E INSTALADO EM RAMAL DE DESCARGA OU RAMAL DE ESGOTO SANITÁRIO. </t>
  </si>
  <si>
    <t xml:space="preserve">JOELHO 90 GRAUS, PVC, SERIE NORMAL, ESGOTO PREDIAL, DN 150 MM, JUNTA ELÁSTICA, FORNECIDO E INSTALADO EM SUBCOLETOR AÉREO DE ESGOTO SANITÁRIO. </t>
  </si>
  <si>
    <t xml:space="preserve">JOELHO 45 GRAUS, PVC, SERIE NORMAL, ESGOTO PREDIAL, DN 150 MM, JUNTA ELÁSTICA, FORNECIDO E INSTALADO EM SUBCOLETOR AÉREO DE ESGOTO SANITÁRIO. </t>
  </si>
  <si>
    <t xml:space="preserve">JOELHO 45 GRAUS, PVC, SERIE NORMAL, ESGOTO PREDIAL, DN 100 MM, JUNTA ELÁSTICA, FORNECIDO E INSTALADO EM RAMAL DE DESCARGA OU RAMAL DE ESGOTO SANITÁRIO. </t>
  </si>
  <si>
    <t xml:space="preserve">JOELHO 45 GRAUS, PVC, SERIE NORMAL, ESGOTO PREDIAL, DN 75 MM, JUNTA ELÁSTICA, FORNECIDO E INSTALADO EM RAMAL DE DESCARGA OU RAMAL DE ESGOTO SANITÁRIO. </t>
  </si>
  <si>
    <t xml:space="preserve">JOELHO 45 GRAUS, PVC, SERIE NORMAL, ESGOTO PREDIAL, DN 50 MM, JUNTA ELÁSTICA, FORNECIDO E INSTALADO EM PRUMADA DE ESGOTO SANITÁRIO OU VENTILAÇÃO. </t>
  </si>
  <si>
    <t xml:space="preserve">JOELHO 45 GRAUS, PVC, SERIE NORMAL, ESGOTO PREDIAL, DN 40 MM, JUNTA SOLDÁVEL, FORNECIDO E INSTALADO EM RAMAL DE DESCARGA OU RAMAL DE ESGOTO SANITÁRIO. </t>
  </si>
  <si>
    <t xml:space="preserve">TE, PVC, SERIE NORMAL, ESGOTO PREDIAL, DN 50 X 50 MM, JUNTA ELÁSTICA, FORNECIDO E INSTALADO EM RAMAL DE DESCARGA OU RAMAL DE ESGOTO SANITÁRIO. </t>
  </si>
  <si>
    <t xml:space="preserve">LUVA SIMPLES, PVC, SERIE R, ÁGUA PLUVIAL, DN 150 MM, JUNTA ELÁSTICA, FORNECIDO E INSTALADO EM CONDUTORES VERTICAIS DE ÁGUAS PLUVIAIS. </t>
  </si>
  <si>
    <t xml:space="preserve">LUVA SIMPLES, PVC, SERIE NORMAL, ESGOTO PREDIAL, DN 100 MM, JUNTA ELÁSTICA, FORNECIDO E INSTALADO EM SUBCOLETOR AÉREO DE ESGOTO SANITÁRIO. </t>
  </si>
  <si>
    <t xml:space="preserve">LUVA SIMPLES, PVC, SERIE NORMAL, ESGOTO PREDIAL, DN 50 MM, JUNTA ELÁSTICA, FORNECIDO E INSTALADO EM PRUMADA DE ESGOTO SANITÁRIO OU VENTILAÇÃO. </t>
  </si>
  <si>
    <t xml:space="preserve">LUVA SIMPLES, PVC, SERIE NORMAL, ESGOTO PREDIAL, DN 40 MM, JUNTA SOLDÁVEL, FORNECIDO E INSTALADO EM RAMAL DE DESCARGA OU RAMAL DE ESGOTO SANITÁRIO. </t>
  </si>
  <si>
    <t xml:space="preserve">TE, PVC, SERIE NORMAL, ESGOTO PREDIAL, DN 40 X 40 MM, JUNTA SOLDÁVEL, FORNECIDO E INSTALADO EM RAMAL DE DESCARGA OU RAMAL DE ESGOTO SANITÁRIO. </t>
  </si>
  <si>
    <t xml:space="preserve">TE, PVC, SERIE NORMAL, ESGOTO PREDIAL, DN 75 X 75 MM, JUNTA ELÁSTICA, FORNECIDO E INSTALADO EM PRUMADA DE ESGOTO SANITÁRIO OU VENTILAÇÃO. </t>
  </si>
  <si>
    <t xml:space="preserve">TE, PVC, SERIE NORMAL, ESGOTO PREDIAL, DN 100 X 100 MM, JUNTA ELÁSTICA, FORNECIDO E INSTALADO EM PRUMADA DE ESGOTO SANITÁRIO OU VENTILAÇÃO. </t>
  </si>
  <si>
    <t xml:space="preserve">TE, PVC, SERIE NORMAL, ESGOTO PREDIAL, DN 75 X 50 MM, JUNTA ELÁSTICA, FORNECIDO E INSTALADO EM PRUMADA DE ESGOTO SANITÁRIO OU VENTILAÇÃO. </t>
  </si>
  <si>
    <t xml:space="preserve">TE, PVC, SERIE NORMAL, ESGOTO PREDIAL, DN 150 X 100 MM, JUNTA ELÁSTICA, FORNECIDO E INSTALADO EM SUBCOLETOR AÉREO DE ESGOTO SANITÁRIO. </t>
  </si>
  <si>
    <t xml:space="preserve">TUBO, PVC, SOLDÁVEL, DN 25MM, INSTALADO EM DRENO DE AR-CONDICIONADO - FORNECIMENTO E INSTALAÇÃO. </t>
  </si>
  <si>
    <t xml:space="preserve">LUVA, PVC, SOLDÁVEL, DN 25MM, INSTALADO EM DRENO DE AR-CONDICIONADO - FORNECIMENTO E INSTALAÇÃO. </t>
  </si>
  <si>
    <t xml:space="preserve">JOELHO 90 GRAUS, PVC, SOLDÁVEL, DN 25MM, INSTALADO EM DRENO DE AR-CONDICIONADO - FORNECIMENTO E INSTALAÇÃO. </t>
  </si>
  <si>
    <t xml:space="preserve">TE, PVC, SOLDÁVEL, DN 25MM, INSTALADO EM DRENO DE AR-CONDICIONADO - FORNECIMENTO E INSTALAÇÃO. </t>
  </si>
  <si>
    <t xml:space="preserve">TUBO DE AÇO GALVANIZADO COM COSTURA, CLASSE MÉDIA, CONEXÃO RANHURADA, DN 65 (2 1/2"), INSTALADO EM PRUMADAS - FORNECIMENTO E INSTALAÇÃO. </t>
  </si>
  <si>
    <t xml:space="preserve">TUBO DE AÇO GALVANIZADO COM COSTURA, CLASSE MÉDIA, CONEXÃO RANHURADA, DN 50 (2"), INSTALADO EM PRUMADAS - FORNECIMENTO E INSTALAÇÃO. </t>
  </si>
  <si>
    <t xml:space="preserve">NIPLE, EM FERRO GALVANIZADO, DN 65 (2 1/2"), CONEXÃO ROSQUEADA, INSTALADO EM PRUMADAS - FORNECIMENTO E INSTALAÇÃO. </t>
  </si>
  <si>
    <t xml:space="preserve">CONDULETE DE PVC, TIPO LB, PARA ELETRODUTO DE PVC SOLDÁVEL DN 25 MM (3/4''), APARENTE - FORNECIMENTO E INSTALAÇÃO. </t>
  </si>
  <si>
    <t xml:space="preserve">REGISTRO DE GAVETA BRUTO, LATÃO, ROSCÁVEL, 2 1/2?, INSTALADO EM RESERVAÇÃO DE ÁGUA DE EDIFICAÇÃO QUE POSSUA RESERVATÓRIO DE FIBRA/FIBROCIMENTO ? FORNECIMENTO E INSTALAÇÃO. </t>
  </si>
  <si>
    <t xml:space="preserve">CONDULETE DE ALUMÍNIO, TIPO B, PARA ELETRODUTO DE AÇO GALVANIZADO DN 20 MM (3/4''), APARENTE - FORNECIMENTO E INSTALAÇÃO. </t>
  </si>
  <si>
    <t xml:space="preserve">ELETRODUTO RÍGIDO ROSCÁVEL, PVC, DN 32 MM (1"), PARA CIRCUITOS TERMINAIS, INSTALADO EM FORRO - FORNECIMENTO E INSTALAÇÃO. </t>
  </si>
  <si>
    <t xml:space="preserve">LUVA PARA ELETRODUTO, PVC, ROSCÁVEL, DN 32 MM (1"), PARA CIRCUITOS TERMINAIS, INSTALADA EM FORRO - FORNECIMENTO E INSTALAÇÃO. </t>
  </si>
  <si>
    <t xml:space="preserve">ELETRODUTO RÍGIDO ROSCÁVEL, PVC, DN 40 MM (1 1/4"), PARA CIRCUITOS TERMINAIS, INSTALADO EM PAREDE - FORNECIMENTO E INSTALAÇÃO. </t>
  </si>
  <si>
    <t xml:space="preserve">CURVA 90 GRAUS PARA ELETRODUTO, PVC, ROSCÁVEL, DN 40 MM (1 1/4"), PARA CIRCUITOS TERMINAIS, INSTALADA EM PAREDE - FORNECIMENTO E INSTALAÇÃO. </t>
  </si>
  <si>
    <t xml:space="preserve">LUVA PARA ELETRODUTO, PVC, ROSCÁVEL, DN 40 MM (1 1/4"), PARA CIRCUITOS TERMINAIS, INSTALADA EM PAREDE - FORNECIMENTO E INSTALAÇÃO. </t>
  </si>
  <si>
    <t xml:space="preserve">CURVA 90 GRAUS PARA ELETRODUTO, PVC, ROSCÁVEL, (1 1/2"), PARA CIRCUITOS TERMINAIS, INSTALADA EM FORRO - FORNECIMENTO E INSTALAÇÃO. </t>
  </si>
  <si>
    <t xml:space="preserve">ELETRODUTO RÍGIDO ROSCÁVEL, PVC, DN 60 MM (2") - FORNECIMENTO E INSTALAÇÃO. </t>
  </si>
  <si>
    <t xml:space="preserve">CURVA 90 GRAUS PARA ELETRODUTO, PVC, ROSCÁVEL, DN 60 MM (2") - FORNECIMENTO E INSTALAÇÃO. </t>
  </si>
  <si>
    <t xml:space="preserve">LUVA PARA ELETRODUTO, PVC, ROSCÁVEL, (2"), PARA CIRCUITOS TERMINAIS, INSTALADA EM FORRO - FORNECIMENTO E INSTALAÇÃO. </t>
  </si>
  <si>
    <t xml:space="preserve">ELETRODUTO RÍGIDO ROSCÁVEL, PVC, DN 75 MM (2 1/2") - FORNECIMENTO E INSTALAÇÃO. </t>
  </si>
  <si>
    <t xml:space="preserve">LUVA PARA ELETRODUTO, PVC, ROSCÁVEL, DN 75 MM (2 1/2") - FORNECIMENTO E INSTALAÇÃO. </t>
  </si>
  <si>
    <t xml:space="preserve">ELETRODUTO RÍGIDO ROSCÁVEL, PVC,(3"), PARA CIRCUITOS TERMINAIS, INSTALADO EM FORRO - FORNECIMENTO E INSTALAÇÃO. </t>
  </si>
  <si>
    <t xml:space="preserve">CURVA 90 GRAUS PARA ELETRODUTO, PVC, ROSCÁVEL, (3"), PARA CIRCUITOS TERMINAIS, INSTALADA EM PAREDE - FORNECIMENTO E INSTALAÇÃO. </t>
  </si>
  <si>
    <t xml:space="preserve">LUVA PARA ELETRODUTO, PVC, ROSCÁVEL, (3"), PARA CIRCUITOS TERMINAIS, INSTALADA EM FORRO - FORNECIMENTO E INSTALAÇÃO. </t>
  </si>
  <si>
    <t xml:space="preserve">ELETRODUTO RÍGIDO ROSCÁVEL, PVC, DN 110 MM (4") - FORNECIMENTO E INSTALAÇÃO. </t>
  </si>
  <si>
    <t xml:space="preserve">LUVA PARA ELETRODUTO, PVC, ROSCÁVEL, DN 110 MM (4") - FORNECIMENTO E INSTALAÇÃO. </t>
  </si>
  <si>
    <t xml:space="preserve">ESCAVAÇÃO MECANIZADA DE VALA COM PROF. MAIOR QUE 1,5 M E ATÉ 3,0 M(MÉDIA ENTRE MONTANTE E JUSANTE/UMA COMPOSIÇÃO POR TRECHO), COM ESCAVADEIRA HIDRÁULICA (0,8 M3/111 HP), LARG. MENOR QUE 1,5 M, EM SOLO DE 1A CATEGORIA, LOCAIS COM BAIXO NÍVEL DE INTERFERÊNCIA. </t>
  </si>
  <si>
    <t xml:space="preserve">REATERRO MECANIZADO DE VALA COM RETROESCAVADEIRA (CAPACIDADE DA CAÇAMBA DA RETRO: 0,26 M³ / POTÊNCIA: 88 HP), LARGURA DE 0,8 A 1,5 M, PROFUNDIDADE DE 1,5 A 3,0 M, COM SOLO (SEM SUBSTITUIÇÃO) DE 1ª CATEGORIA EM LOCAIS COM BAIXO NÍVEL DE INTERFERÊNCIA. </t>
  </si>
  <si>
    <t xml:space="preserve">CABO DE COBRE FLEXÍVEL ISOLADO, 06 MM², ANTI-CHAMA 0,6/1,0 KV, PARA DISTRIBUIÇÃO - FORNECIMENTO E INSTALAÇÃO. </t>
  </si>
  <si>
    <t xml:space="preserve">CABO DE COBRE FLEXÍVEL ISOLADO, 10 MM², ANTI-CHAMA 0,6/1,0 KV, PARA DISTRIBUIÇÃO - FORNECIMENTO E INSTALAÇÃO. </t>
  </si>
  <si>
    <t xml:space="preserve">CABO DE COBRE FLEXÍVEL ISOLADO, 16 MM², ANTI-CHAMA 0,6/1,0 KV, PARA DISTRIBUIÇÃO - FORNECIMENTO E INSTALAÇÃO. </t>
  </si>
  <si>
    <t xml:space="preserve">CABO DE COBRE FLEXÍVEL ISOLADO, 25 MM², ANTI-CHAMA 0,6/1,0 KV, PARA DISTRIBUIÇÃO - FORNECIMENTO E INSTALAÇÃO. </t>
  </si>
  <si>
    <t xml:space="preserve">CABO DE COBRE FLEXÍVEL ISOLADO, 35 MM², ANTI-CHAMA 0,6/1,0 KV, PARA DISTRIBUIÇÃO - FORNECIMENTO E INSTALAÇÃO. </t>
  </si>
  <si>
    <t xml:space="preserve">CABO DE COBRE FLEXÍVEL ISOLADO, 50 MM², ANTI-CHAMA 0,6/1,0 KV, PARA DISTRIBUIÇÃO - FORNECIMENTO E INSTALAÇÃO. </t>
  </si>
  <si>
    <t xml:space="preserve">CABO DE COBRE FLEXÍVEL ISOLADO, 70 MM², ANTI-CHAMA 0,6/1,0 KV, PARA DISTRIBUIÇÃO - FORNECIMENTO E INSTALAÇÃO. </t>
  </si>
  <si>
    <t xml:space="preserve">CABO DE COBRE FLEXÍVEL ISOLADO, 95 MM², ANTI-CHAMA 0,6/1,0 KV, PARA DISTRIBUIÇÃO - FORNECIMENTO E INSTALAÇÃO. </t>
  </si>
  <si>
    <t xml:space="preserve">CABO DE COBRE FLEXÍVEL ISOLADO, 120 MM², ANTI-CHAMA 0,6/1,0 KV, PARA DISTRIBUIÇÃO - FORNECIMENTO E INSTALAÇÃO. </t>
  </si>
  <si>
    <t xml:space="preserve">CONDULETE DE ALUMÍNIO, TIPO LR, PARA ELETRODUTO DE AÇO GALVANIZADO DN 25 MM (1''), APARENTE - FORNECIMENTO E INSTALAÇÃO. </t>
  </si>
  <si>
    <t xml:space="preserve">CONDULETE DE ALUMÍNIO, TIPO T, PARA ELETRODUTO DE AÇO GALVANIZADO DN 25 MM (1''), APARENTE - FORNECIMENTO E INSTALAÇÃO. </t>
  </si>
  <si>
    <t xml:space="preserve">ELETRODUTO RÍGIDO ROSCÁVEL, PVC, DN 25 MM (3/4"), PARA CIRCUITOS TERMINAIS, INSTALADO EM FORRO - FORNECIMENTO E INSTALAÇÃO. </t>
  </si>
  <si>
    <t xml:space="preserve">CURVA 90 GRAUS PARA ELETRODUTO, PVC, ROSCÁVEL, DN 25 MM (3/4"), PARA CIRCUITOS TERMINAIS, INSTALADA EM FORRO - FORNECIMENTO E INSTALAÇÃO. </t>
  </si>
  <si>
    <t xml:space="preserve">LUVA PARA ELETRODUTO, PVC, ROSCÁVEL, DN 25 MM (3/4"), PARA CIRCUITOS TERMINAIS, INSTALADA EM FORRO - FORNECIMENTO E INSTALAÇÃO. </t>
  </si>
  <si>
    <t xml:space="preserve">ELETRODUTO RÍGIDO ROSCÁVEL, PVC, DN 25 MM (3/4"), PARA CIRCUITOS TERMINAIS, INSTALADO EM PAREDE - FORNECIMENTO E INSTALAÇÃO. </t>
  </si>
  <si>
    <t xml:space="preserve">CURVA 90 GRAUS PARA ELETRODUTO, PVC, ROSCÁVEL, DN 25 MM (3/4"), PARA CIRCUITOS TERMINAIS, INSTALADA EM PAREDE - FORNECIMENTO E INSTALAÇÃO. </t>
  </si>
  <si>
    <t xml:space="preserve">LUVA PARA ELETRODUTO, PVC, ROSCÁVEL, DN 25 MM (3/4"), PARA CIRCUITOS TERMINAIS, INSTALADA EM PAREDE - FORNECIMENTO E INSTALAÇÃO. </t>
  </si>
  <si>
    <t xml:space="preserve">CURVA 90 GRAUS PARA ELETRODUTO, PVC, ROSCÁVEL, DN 32 MM (1"), PARA CIRCUITOS TERMINAIS, INSTALADA EM FORRO - FORNECIMENTO E INSTALAÇÃO. </t>
  </si>
  <si>
    <t xml:space="preserve">ELETRODUTO RÍGIDO ROSCÁVEL, PVC, DN 32 MM (1"), PARA CIRCUITOS TERMINAIS, INSTALADO EM PAREDE - FORNECIMENTO E INSTALAÇÃO. </t>
  </si>
  <si>
    <t xml:space="preserve">CURVA 90 GRAUS PARA ELETRODUTO, PVC, ROSCÁVEL, DN 32 MM (1"), PARA CIRCUITOS TERMINAIS, INSTALADA EM PAREDE - FORNECIMENTO E INSTALAÇÃO. </t>
  </si>
  <si>
    <t xml:space="preserve">LUVA PARA ELETRODUTO, PVC, ROSCÁVEL, DN 32 MM (1"), PARA CIRCUITOS TERMINAIS, INSTALADA EM PAREDE - FORNECIMENTO E INSTALAÇÃO. </t>
  </si>
  <si>
    <t xml:space="preserve">ELETRODUTO RÍGIDO ROSCÁVEL, PVC, DN 40 MM (1 1/4"), PARA CIRCUITOS TERMINAIS, INSTALADO EM FORRO - FORNECIMENTO E INSTALAÇÃO. </t>
  </si>
  <si>
    <t xml:space="preserve">CURVA 90 GRAUS PARA ELETRODUTO, PVC, ROSCÁVEL, DN 40 MM (1 1/4"), PARA CIRCUITOS TERMINAIS, INSTALADA EM FORRO - FORNECIMENTO E INSTALAÇÃO. </t>
  </si>
  <si>
    <t xml:space="preserve">LUVA PARA ELETRODUTO, PVC, ROSCÁVEL, DN 40 MM (1 1/4"), PARA CIRCUITOS TERMINAIS, INSTALADA EM FORRO - FORNECIMENTO E INSTALAÇÃO. </t>
  </si>
  <si>
    <t xml:space="preserve">ESCAVAÇÃO MECANIZADA DE VALA COM PROF. ATÉ 1,5 M(MÉDIA ENTRE MONTANTE E JUSANTE/UMA COMPOSIÇÃO POR TRECHO), COM ESCAVADEIRA HIDRÁULICA (0,8 M3/111 HP), LARG. DE 1,5M A 2,5 M, EM SOLO DE 1A CATEGORIA, LOCAIS COM BAIXO NÍVEL DE INTERFERÊNCIA. </t>
  </si>
  <si>
    <t xml:space="preserve">REATERRO MECANIZADO DE VALA COM ESCAVADEIRA HIDRÁULICA (CAPACIDADE DA CAÇAMBA: 0,8 M³ / POTÊNCIA: 111 HP), LARGURA ATÉ 1,5 M, PROFUNDIDADE DE 1,5 A 3,0 M, COM SOLO (SEM SUBSTITUIÇÃO) DE 1ª CATEGORIA EM LOCAIS COM BAIXO NÍVEL DE INTERFERÊNCIA. </t>
  </si>
  <si>
    <t xml:space="preserve">CONDULETE DE ALUMÍNIO, TIPO T, PARA ELETRODUTO DE AÇO GALVANIZADO DN 20 MM (3/4''), APARENTE - FORNECIMENTO E INSTALAÇÃO. </t>
  </si>
  <si>
    <t xml:space="preserve">CONDULETE DE ALUMÍNIO, TIPO LR, PARA ELETRODUTO DE AÇO GALVANIZADO DN 20 MM (3/4''), APARENTE - FORNECIMENTO E INSTALAÇÃO. </t>
  </si>
  <si>
    <t xml:space="preserve">CONDULETE DE ALUMÍNIO, TIPO C, PARA ELETRODUTO DE AÇO GALVANIZADO DN 20 MM (3/4''), APARENTE - FORNECIMENTO E INSTALAÇÃO. </t>
  </si>
  <si>
    <t xml:space="preserve">CONDULETE DE ALUMÍNIO, TIPO E, PARA ELETRODUTO DE AÇO GALVANIZADO DN 20 MM (3/4''), APARENTE - FORNECIMENTO E INSTALAÇÃO. </t>
  </si>
  <si>
    <t xml:space="preserve">TOMADA BAIXA DE EMBUTIR (2 MÓDULOS), 2P+T 10 A, INCLUINDO SUPORTE E PLACA - FORNECIMENTO E INSTALAÇÃO. </t>
  </si>
  <si>
    <t xml:space="preserve">TOMADA ALTA DE EMBUTIR (1 MÓDULO), 2P+T 10 A, INCLUINDO SUPORTE E PLACA - FORNECIMENTO E INSTALAÇÃO. </t>
  </si>
  <si>
    <t xml:space="preserve">CABO DE COBRE FLEXÍVEL ISOLADO, 2,5 MM², ANTI-CHAMA 450/750 V, PARA CIRCUITOS TERMINAIS - FORNECIMENTO E INSTALAÇÃO. </t>
  </si>
  <si>
    <t xml:space="preserve">CABO DE COBRE FLEXÍVEL ISOLADO, 4 MM², ANTI-CHAMA 0,6/1,0 KV, PARA CIRCUITOS TERMINAIS - FORNECIMENTO E INSTALAÇÃO. </t>
  </si>
  <si>
    <t xml:space="preserve">CAIXA RETANGULAR 4" X 2" ALTA (2,00 M DO PISO), PVC, INSTALADA EM PAREDE - FORNECIMENTO E INSTALAÇÃO. </t>
  </si>
  <si>
    <t xml:space="preserve">CAIXA RETANGULAR 4" X 2" BAIXA (0,30 M DO PISO), PVC, INSTALADA EM PAREDE - FORNECIMENTO E INSTALAÇÃO. </t>
  </si>
  <si>
    <t xml:space="preserve">CONDULETE DE ALUMÍNIO, TIPO X, PARA ELETRODUTO DE AÇO GALVANIZADO DN 20 MM (3/4''), APARENTE - FORNECIMENTO E INSTALAÇÃO. </t>
  </si>
  <si>
    <t xml:space="preserve">TOMADA BAIXA DE EMBUTIR (1 MÓDULO), 2P+T 10 A, INCLUINDO SUPORTE E PLACA - FORNECIMENTO E INSTALAÇÃO. </t>
  </si>
  <si>
    <t xml:space="preserve">TOMADA MÉDIA DE EMBUTIR (1 MÓDULO), 2P+T 10 A, INCLUINDO SUPORTE E PLACA - FORNECIMENTO E INSTALAÇÃO. </t>
  </si>
  <si>
    <t xml:space="preserve">TOMADA MÉDIA DE EMBUTIR (2 MÓDULOS), 2P+T 10 A, INCLUINDO SUPORTE E PLACA - FORNECIMENTO E INSTALAÇÃO. </t>
  </si>
  <si>
    <t xml:space="preserve">INTERRUPTOR SIMPLES (1 MÓDULO), 10A/250V, INCLUINDO SUPORTE E PLACA - FORNECIMENTO E INSTALAÇÃO. </t>
  </si>
  <si>
    <t xml:space="preserve">INTERRUPTOR SIMPLES (2 MÓDULOS), 10A/250V, INCLUINDO SUPORTE E PLACA - FORNECIMENTO E INSTALAÇÃO. </t>
  </si>
  <si>
    <t xml:space="preserve">INTERRUPTOR SIMPLES (3 MÓDULOS), 10A/250V, INCLUINDO SUPORTE E PLACA - FORNECIMENTO E INSTALAÇÃO. </t>
  </si>
  <si>
    <t xml:space="preserve">INTERRUPTOR PARALELO (1 MÓDULO), 10A/250V, INCLUINDO SUPORTE E PLACA - FORNECIMENTO E INSTALAÇÃO. </t>
  </si>
  <si>
    <t xml:space="preserve">INTERRUPTOR PARALELO (2 MÓDULOS), 10A/250V, INCLUINDO SUPORTE E PLACA - FORNECIMENTO E INSTALAÇÃO. </t>
  </si>
  <si>
    <t xml:space="preserve">CAIXA OCTOGONAL 4" X 4", PVC, INSTALADA EM LAJE - FORNECIMENTO E INSTALAÇÃO. </t>
  </si>
  <si>
    <t xml:space="preserve">CAIXA RETANGULAR 4" X 2" MÉDIA (1,30 M DO PISO), PVC, INSTALADA EM PAREDE - FORNECIMENTO E INSTALAÇÃO. </t>
  </si>
  <si>
    <t xml:space="preserve">CAIXA RETANGULAR 4" X 4" BAIXA (0,30 M DO PISO), PVC, INSTALADA EM PAREDE - FORNECIMENTO E INSTALAÇÃO. </t>
  </si>
  <si>
    <t xml:space="preserve">DISJUNTOR MONOPOLAR TIPO DIN, CORRENTE NOMINAL DE 10A - FORNECIMENTO E INSTALAÇÃO. </t>
  </si>
  <si>
    <t xml:space="preserve">DISJUNTOR MONOPOLAR TIPO DIN, CORRENTE NOMINAL DE 16A - FORNECIMENTO E INSTALAÇÃO. </t>
  </si>
  <si>
    <t xml:space="preserve">CABO DE COBRE FLEXÍVEL ISOLADO, 6 MM², ANTI-CHAMA 450/750 V, PARA CIRCUITOS TERMINAIS - FORNECIMENTO E INSTALAÇÃO. </t>
  </si>
  <si>
    <t xml:space="preserve">DISJUNTOR TRIPOLAR TIPO DIN, CORRENTE NOMINAL DE 20A - FORNECIMENTO E INSTALAÇÃO. </t>
  </si>
  <si>
    <t xml:space="preserve">DISJUNTOR TRIPOLAR TIPO DIN, CORRENTE NOMINAL DE 32A - FORNECIMENTO E INSTALAÇÃO. </t>
  </si>
  <si>
    <t xml:space="preserve">DISJUNTOR TRIPOLAR TIPO DIN, CORRENTE NOMINAL DE 40A - FORNECIMENTO E INSTALAÇÃO. </t>
  </si>
  <si>
    <t xml:space="preserve">DISJUNTOR MONOPOLAR TIPO DIN, CORRENTE NOMINAL DE 6A - FORNECIMENTO E INSTALAÇÃO. </t>
  </si>
  <si>
    <t xml:space="preserve">CABO DE COBRE FLEXÍVEL ISOLADO, 1,5 MM², ANTI-CHAMA 450/750 V, PARA CIRCUITOS TERMINAIS - FORNECIMENTO E INSTALAÇÃO. </t>
  </si>
  <si>
    <t xml:space="preserve">CABO DE COBRE FLEXÍVEL ISOLADO, 6 MM², ANTI-CHAMA 0,6/1,0 KV, PARA CIRCUITOS TERMINAIS - FORNECIMENTO E INSTALAÇÃO. </t>
  </si>
  <si>
    <t xml:space="preserve">CABO DE COBRE FLEXÍVEL ISOLADO, 240 MM², ANTI-CHAMA 0,6/1,0 KV, PARA DISTRIBUIÇÃO - FORNECIMENTO E INSTALAÇÃO. </t>
  </si>
  <si>
    <t xml:space="preserve">(COMPOSIÇÃO REPRESENTATIVA) DO SERVIÇO DE INSTALAÇÃO DE TUBOS DE PVC, SOLDÁVEL, ÁGUA FRIA, DN 40 MM (INSTALADO EM PRUMADA), INCLUSIVE CONEXÕES, CORTES E FIXAÇÕES, PARA PRÉDIOS. </t>
  </si>
  <si>
    <t xml:space="preserve">(COMPOSIÇÃO REPRESENTATIVA) DO SERVIÇO DE INSTALAÇÃO TUBOS DE PVC, SOLDÁVEL, ÁGUA FRIA, DN 32 MM (INSTALADO EM RAMAL, SUB-RAMAL, RAMAL DE DISTRIBUIÇÃO OU PRUMADA), INCLUSIVE CONEXÕES, CORTES E FIXAÇÕES, PARA PRÉDIOS. </t>
  </si>
  <si>
    <t xml:space="preserve">APLICAÇÃO E LIXAMENTO DE MASSA LÁTEX EM PAREDES, DUAS DEMÃOS. </t>
  </si>
  <si>
    <t xml:space="preserve">APLICAÇÃO DE FUNDO SELADOR ACRÍLICO EM PAREDES, UMA DEMÃO. </t>
  </si>
  <si>
    <t xml:space="preserve">TÊ HORIZONTAL 150 X 50 MM COM BASE LISA PERFURADA PARA ELETROCALHA METÁLICA </t>
  </si>
  <si>
    <t xml:space="preserve">FLANGE DE LIGAÇÃO 150X50MM PARA ELETROCALHA METÁLICA </t>
  </si>
  <si>
    <t xml:space="preserve">TÊ HORIZONTAL 200 X 50 MM COM BASE LISA PERFURADA PARA ELETROCALHA METÁLICA </t>
  </si>
  <si>
    <t xml:space="preserve">FLANGE DE LIGAÇÃO 200X50MM PARA ELETROCALHA METÁLICA </t>
  </si>
  <si>
    <t xml:space="preserve">FORNECIMENTO E INSTALAÇÃO DE ELETROCALHA PERFURADA 200 X 100 X 3000 MM </t>
  </si>
  <si>
    <t xml:space="preserve">FORNECIMENTO E INSTALAÇÃO DE ELETROCALHA PERFURADA 700 X 100 X 3000 MM </t>
  </si>
  <si>
    <t xml:space="preserve">FORNECIMENTO E INSTALAÇÃO DE ELETROCALHA PERFURADA 100 X 50 X 3000 MM </t>
  </si>
  <si>
    <t xml:space="preserve">TÊ HORIZONTAL 100 X 50 MM COM BASE LISA PERFURADA PARA ELETROCALHA METÁLICA </t>
  </si>
  <si>
    <t xml:space="preserve">FLANGE DE LIGAÇÃO 100X50MM PARA ELETROCALHA METÁLICA </t>
  </si>
  <si>
    <t xml:space="preserve">FLANGE DE LIGAÇÃO 400X50MM PARA ELETROCALHA METÁLICA </t>
  </si>
  <si>
    <t xml:space="preserve">TÊ HORIZONTAL 200 X 50MM PARA ELETROCALHA METÁLICA </t>
  </si>
  <si>
    <t xml:space="preserve">FORNECIMENTO E INSTALAÇÃO DE ELETROCALHA PERFURADA 200 X 50 X 3000 MM </t>
  </si>
  <si>
    <t xml:space="preserve">CURVA HORIZONTAL 150 X 50 MM PARA ELETROCALHA METÁLICA, COM ÂNGULO 90° </t>
  </si>
  <si>
    <t xml:space="preserve">CURVA VERTICAL 200 X 50 MM PARA ELETROCALHA METÁLICA, COM ÂNGULO 90° </t>
  </si>
  <si>
    <t xml:space="preserve">CURVA HORIZONTAL 200 X 50 MM PARA ELETROCALHA METÁLICA, COM ÂNGULO 90° </t>
  </si>
  <si>
    <t xml:space="preserve">CURVA VERTICAL 200 X 100 MM PARA ELETROCALHA METÁLICA, COM ÂNGULO 90° </t>
  </si>
  <si>
    <t xml:space="preserve">CURVA VERTICAL 100 X 50 MM PARA ELETROCALHA METÁLICA, COM ÂNGULO 90° </t>
  </si>
  <si>
    <t xml:space="preserve">SUPORTE HORIZONTAL 150 X 50 MM PARA FIXAÇÃO DE ELETROCALHA METÁLICA </t>
  </si>
  <si>
    <t xml:space="preserve">SUPORTE HORIZONTAL 200 X 50 MM PARA ELETROCALHA METÁLICA </t>
  </si>
  <si>
    <t xml:space="preserve">SUPORTE VERTICAL 75 X 50 MM PARA FIXAÇÃO DE ELETROCALHA METÁLICA </t>
  </si>
  <si>
    <t xml:space="preserve">SUPORTE VERTICAL 150 X 50 MM PARA FIXAÇÃO DE ELETROCALHA METÁLICA </t>
  </si>
  <si>
    <t xml:space="preserve">SUPORTE VERTICAL 100 X 50 MM PARA FIXAÇÃO DE ELETROCALHA METÁLICA </t>
  </si>
  <si>
    <t xml:space="preserve">FORNECIMENTO E INSTALAÇÃO DE SAÍDA HORIZONTAL PARA ELETRODUTO 3/4" </t>
  </si>
  <si>
    <t xml:space="preserve">FORNECIMENTO E INSTALAÇÃO DE SAÍDA HORIZONTAL PARA ELETRODUTO 1" </t>
  </si>
  <si>
    <t xml:space="preserve">FORNECIMENTO E INSTALAÇÃO DE ELETROCALHA METÁLICA 50 X 50 X 3000 MM </t>
  </si>
  <si>
    <t>DUTO CORRUGADO FLEXÍVEL EM PEAD Ø = 2.1/2",  LANÇADO DIRETAMENTE NO SOLO, EXCLUSIVE ESCAVAÇÃO E REATERRO</t>
  </si>
  <si>
    <t>QUANT.</t>
  </si>
  <si>
    <t>CARPETE , E = 4,5 MM, COLADO SOBRE CIMENTADO, PLASTIFICADO, C/ ADESIVO BASE PVA, EXCLUSIVE CIMENTADO</t>
  </si>
  <si>
    <t xml:space="preserve">FORNECIMENTO E ASSENTAMENTO DE TUBO CORRUGADO PAREDE DUPLA PEAD, D= 600MM (24"), P/SISTEMAS DRENAGEM, </t>
  </si>
  <si>
    <t xml:space="preserve">FORNECIMENTO E ASSENTAMENTO DE TUBO CORRUGADO PAREDE DUPLA PEAD, D= 450MM (18"), P/SISTEMAS DRENAGEM, </t>
  </si>
  <si>
    <t xml:space="preserve">CONCRETO MAGRO PARA LASTRO, TRAÇO 1:4,5:4,5 (CIMENTO/ AREIA MÉDIA/ BRITA 1)  - PREPARO MECÂNICO COM BETONEIRA 400 L. </t>
  </si>
  <si>
    <t xml:space="preserve">ESCAVAÇÃO MANUAL DE VALA COM PROFUNDIDADE MENOR OU IGUAL A 1,30 M. </t>
  </si>
  <si>
    <t xml:space="preserve">TRATOR DE ESTEIRAS, POTÊNCIA 100 HP, PESO OPERACIONAL 9,4 T, COM LÂMINA 2,19 M3 - CHP DIURNO. </t>
  </si>
  <si>
    <t xml:space="preserve">COMPACTADOR DE SOLOS DE PERCUSSÃO (SOQUETE) COM MOTOR A GASOLINA 4 TEMPOS, POTÊNCIA 4 CV - CHP DIURNO. </t>
  </si>
  <si>
    <t xml:space="preserve">COMPACTADOR DE SOLOS DE PERCUSSÃO (SOQUETE) COM MOTOR A GASOLINA 4 TEMPOS, POTÊNCIA 4 CV - CHI DIURNO. </t>
  </si>
  <si>
    <t xml:space="preserve">CAMINHÃO BASCULANTE 6 M3, PESO BRUTO TOTAL 16.000 KG, CARGA ÚTIL MÁXIMA 13.071 KG, DISTÂNCIA ENTRE EIXOS 4,80 M, POTÊNCIA 230 CV INCLUSIVE CAÇAMBA METÁLICA - CHP DIURNO. </t>
  </si>
  <si>
    <t xml:space="preserve">TRATOR DE ESTEIRAS, POTÊNCIA 170 HP, PESO OPERACIONAL 19 T, CAÇAMBA 5,2 M3 - CHP DIURNO. </t>
  </si>
  <si>
    <t xml:space="preserve">VIBRADOR DE IMERSÃO, DIÂMETRO DE PONTEIRA 45MM, MOTOR ELÉTRICO TRIFÁSICO POTÊNCIA DE 2 CV - CHP DIURNO. </t>
  </si>
  <si>
    <t xml:space="preserve">FABRICAÇÃO DE FÔRMA PARA LAJES, EM MADEIRA SERRADA, E=25 MM. </t>
  </si>
  <si>
    <t xml:space="preserve">FABRICAÇÃO DE ESCORAS DO TIPO PONTALETE, EM MADEIRA. </t>
  </si>
  <si>
    <t xml:space="preserve">VIBRADOR DE IMERSÃO, DIÂMETRO DE PONTEIRA 45MM, MOTOR ELÉTRICO TRIFÁSICO POTÊNCIA DE 2 CV - CHI DIURNO. </t>
  </si>
  <si>
    <t xml:space="preserve">ARGAMASSA TRAÇO 1:2:8 (CIMENTO, CAL E AREIA MÉDIA) PARA EMBOÇO/MASSA ÚNICA/ASSENTAMENTO DE ALVENARIA DE VEDAÇÃO, PREPARO MANUAL. </t>
  </si>
  <si>
    <t xml:space="preserve">ARGAMASSA TRAÇO 1:3 (CIMENTO E AREIA MÉDIA), PREPARO MANUAL. </t>
  </si>
  <si>
    <t xml:space="preserve">ARGAMASSA TRAÇO 1:3 (CIMENTO E AREIA GROSSA) PARA CHAPISCO CONVENCIONAL, PREPARO MECÂNICO COM BETONEIRA 400 L. </t>
  </si>
  <si>
    <t xml:space="preserve">FABRICAÇÃO DE FÔRMA PARA PILARES E ESTRUTURAS SIMILARES, EM MADEIRA SERRADA, E=25 MM. </t>
  </si>
  <si>
    <t xml:space="preserve">FABRICAÇÃO DE FÔRMA PARA LAJES, EM CHAPA DE MADEIRA COMPENSADA RESINADA, E = 17 MM. </t>
  </si>
  <si>
    <t xml:space="preserve">FABRICAÇÃO DE FÔRMA PARA ESCADAS, COM 2 LANCES, EM MADEIRA SERRADA, E=25 MM. </t>
  </si>
  <si>
    <t xml:space="preserve">PORTA DE MADEIRA FRISADA, SEMI-OCA (LEVE OU MÉDIA), 80X210CM, ESPESSURA DE 3,5CM, INCLUSO DOBRADIÇAS - FORNECIMENTO E INSTALAÇÃO. </t>
  </si>
  <si>
    <t xml:space="preserve">FECHADURA DE EMBUTIR PARA PORTAS INTERNAS, COMPLETA, ACABAMENTO PADRÃO MÉDIO, COM EXECUÇÃO DE FURO - FORNECIMENTO E INSTALAÇÃO. </t>
  </si>
  <si>
    <t xml:space="preserve">ADUELA / MARCO / BATENTE PARA PORTA DE 90X210CM, PADRÃO MÉDIO - FORNECIMENTO E MONTAGEM. </t>
  </si>
  <si>
    <t xml:space="preserve">ARGAMASSA TRAÇO 1:0,5:4,5 (CIMENTO, CAL E AREIA MÉDIA) PARA ASSENTAMENTO DE ALVENARIA, PREPARO MANUAL. </t>
  </si>
  <si>
    <t xml:space="preserve">JANELA DE ALUMÍNIO MAXIM-AR, FIXAÇÃO COM PARAFUSO SOBRE CONTRAMARCO (EXCLUSIVE CONTRAMARCO), COM VIDROS, PADRONIZADA. </t>
  </si>
  <si>
    <t xml:space="preserve">CONCRETO FCK = 15MPA, TRAÇO 1:3,4:3,5 (CIMENTO/ AREIA MÉDIA/ BRITA 1)  - PREPARO MECÂNICO COM BETONEIRA 600 L. </t>
  </si>
  <si>
    <t xml:space="preserve">ARGAMASSA TRAÇO 1:3 (CIMENTO E AREIA MÉDIA) PARA CONTRAPISO, PREPARO MECÂNICO COM BETONEIRA 400 L. </t>
  </si>
  <si>
    <t xml:space="preserve">CAMINHÃO PIPA 10.000 L TRUCADO, PESO BRUTO TOTAL 23.000 KG, CARGA ÚTIL MÁXIMA 15.935 KG, DISTÂNCIA ENTRE EIXOS 4,8 M, POTÊNCIA 230 CV, INCLUSIVE TANQUE DE AÇO PARA TRANSPORTE DE ÁGUA - CHP DIURNO. </t>
  </si>
  <si>
    <t xml:space="preserve">CAMINHÃO PIPA 10.000 L TRUCADO, PESO BRUTO TOTAL 23.000 KG, CARGA ÚTIL MÁXIMA 15.935 KG, DISTÂNCIA ENTRE EIXOS 4,8 M, POTÊNCIA 230 CV, INCLUSIVE TANQUE DE AÇO PARA TRANSPORTE DE ÁGUA - CHI DIURNO. </t>
  </si>
  <si>
    <t xml:space="preserve">MOTONIVELADORA POTÊNCIA BÁSICA LÍQUIDA (PRIMEIRA MARCHA) 125 HP, PESO BRUTO 13032 KG, LARGURA DA LÂMINA DE 3,7 M - CHP DIURNO. </t>
  </si>
  <si>
    <t xml:space="preserve">MOTONIVELADORA POTÊNCIA BÁSICA LÍQUIDA (PRIMEIRA MARCHA) 125 HP, PESO BRUTO 13032 KG, LARGURA DA LÂMINA DE 3,7 M - CHI DIURNO. </t>
  </si>
  <si>
    <t xml:space="preserve">ROLO COMPACTADOR PE DE CARNEIRO VIBRATORIO, POTENCIA 125 HP, PESO OPERACIONAL SEM/COM LASTRO 11,95 / 13,30 T, IMPACTO DINAMICO 38,5 / 22,5 T, LARGURA DE TRABALHO 2,15 M - CHP DIURNO. </t>
  </si>
  <si>
    <t xml:space="preserve">TRATOR DE PNEUS COM POTÊNCIA DE 85 CV, TRAÇÃO 4X4, COM GRADE DE DISCOS ACOPLADA - CHP DIURNO. </t>
  </si>
  <si>
    <t xml:space="preserve">TRATOR DE PNEUS COM POTÊNCIA DE 85 CV, TRAÇÃO 4X4, COM GRADE DE DISCOS ACOPLADA - CHI DIURNO. </t>
  </si>
  <si>
    <t xml:space="preserve">ARGAMASSA TRAÇO 1:3 (CIMENTO E AREIA MÉDIA), PREPARO MECÂNICO COM BETONEIRA 400 L. </t>
  </si>
  <si>
    <t xml:space="preserve">BETONEIRA CAPACIDADE NOMINAL DE 600 L, CAPACIDADE DE MISTURA 360 L, MOTOR ELÉTRICO TRIFÁSICO POTÊNCIA DE 4 CV, SEM CARREGADOR - CHP DIURNO. </t>
  </si>
  <si>
    <t xml:space="preserve">RETROESCAVADEIRA SOBRE RODAS COM CARREGADEIRA, TRAÇÃO 4X4, POTÊNCIA LÍQ. 88 HP, CAÇAMBA CARREG. CAP. MÍN. 1 M3, CAÇAMBA RETRO CAP. 0,26 M3, PESO OPERACIONAL MÍN. 6.674 KG, PROFUNDIDADE ESCAVAÇÃO MÁX. 4,37 M - MATERIAIS NA OPERAÇÃO. </t>
  </si>
  <si>
    <t xml:space="preserve">ARGAMASSA TRAÇO 1:2:8 (CIMENTO, CAL E AREIA MÉDIA) PARA EMBOÇO/MASSA ÚNICA/ASSENTAMENTO DE ALVENARIA DE VEDAÇÃO, PREPARO MECÂNICO COM MISTURADOR DE EIXO HORIZONTAL DE 300 KG. </t>
  </si>
  <si>
    <t xml:space="preserve">ARGAMASSA TRAÇO 1:4 (CIMENTO E AREIA MÉDIA), PREPARO MECÂNICO COM BETONEIRA 400 L. </t>
  </si>
  <si>
    <t xml:space="preserve">ARGAMASSA TRAÇO 1:4 (CIMENTO E AREIA GROSSA) PARA CHAPISCO CONVENCIONAL, PREPARO MECÂNICO COM BETONEIRA 400 L. </t>
  </si>
  <si>
    <t xml:space="preserve">ARMAÇÃO DE ESTRUTURAS DE CONCRETO ARMADO, EXCETO VIGAS, PILARES, LAJES E FUNDAÇÕES, UTILIZANDO AÇO CA-60 DE 5,0 MM - MONTAGEM. </t>
  </si>
  <si>
    <t xml:space="preserve">ELETROCALHA METÁLICA PERFURADA 150 X 50 X 3000 MM </t>
  </si>
  <si>
    <t xml:space="preserve">ELETROCALHA METÁLICA PERFURADA 200 X 50 X 3000 MM </t>
  </si>
  <si>
    <t xml:space="preserve">ELETROCALHA METÁLICA PERFURADA 200 X 100 X 3000 MM </t>
  </si>
  <si>
    <t xml:space="preserve">ELETROCALHA METÁLICA PERFURADA 700 X 100 X 3000 MM </t>
  </si>
  <si>
    <t xml:space="preserve">CURVA DE INVERSÃO 700 X 100MM PARA ELETROCALHA METÁLICA </t>
  </si>
  <si>
    <t xml:space="preserve">FLANGE 100 X 50MM PARA ELETROCALHA METÁLICA </t>
  </si>
  <si>
    <t xml:space="preserve">CURVA DE INVERSÃO 75 X 50 MM PARA ELETROCALHA METÁLICA </t>
  </si>
  <si>
    <t xml:space="preserve">CURVA DE INVERSÃO 150 X 75 MM PARA ELETROCALHA METÁLICA </t>
  </si>
  <si>
    <t xml:space="preserve">CURVA VERTICAL 200 X 100 MM PARA ELETROCALHA METÁLICA </t>
  </si>
  <si>
    <t xml:space="preserve">SUPORTE VERTICAL  75 X 50 MM  PARA FIXAÇÃO DE ELETROCALHA METÁLICA </t>
  </si>
  <si>
    <t xml:space="preserve">SUPORTE VERTICAL  150 X 50 MM  PARA FIXAÇÃO DE ELETROCALHA METÁLICA </t>
  </si>
  <si>
    <t xml:space="preserve">SUPORTE VERTICAL  200 X 100 MM  PARA FIXAÇÃO DE ELETROCALHA METÁLICA </t>
  </si>
  <si>
    <t xml:space="preserve">SUPORTE VERTICAL  100 X 50 MM  PARA FIXAÇÃO DE ELETROCALHA METÁLICA </t>
  </si>
  <si>
    <t xml:space="preserve">SAÍDA HORIZONTAL PARA ELETRODUTO 1" </t>
  </si>
  <si>
    <t xml:space="preserve">SAÍDA HORIZONTAL PARA ELETRODUTO 3/4" </t>
  </si>
  <si>
    <t>COEF.</t>
  </si>
  <si>
    <t xml:space="preserve">TUBO CORRUGADO PAREDE DUPLA PEAD, D= 600MM (24"), P/SISTEMAS DRENAGEM, </t>
  </si>
  <si>
    <t xml:space="preserve">TUBO CORRUGADO PAREDE DUPLA PEAD, D= 450MM (18"), P/SISTEMAS DRENAGEM, </t>
  </si>
  <si>
    <t>OBRA:</t>
  </si>
  <si>
    <t>ENDEREÇO:</t>
  </si>
  <si>
    <t>UNID (M2)</t>
  </si>
  <si>
    <t>MONTAGEM E DESMONTAGEM DE FÔRMA DE VIGA, ESCORAMENTO METÁLICO, PÉ-DIREITO SIMPLES, EM CHAPA DE MADEIRA RESINADA, 2 UTILIZAÇÕES. (INCLUSO ESCORAMENTO)</t>
  </si>
  <si>
    <t>MONTAGEM E DESMONTAGEM DE FÔRMA DE LAJE NERVURADA COM CUBETA E ASSOALHO COM ÁREA MÉDIA MENOR OU IGUAL A 20 M², PÉ-DIREITO SIMPLES, EM CHAPA DE MADEIRA COMPENSADA RESINADA, 8 UTILIZAÇÕES. (INCLUSO ESCORAMENTO)</t>
  </si>
  <si>
    <t>MONTAGEM E DESMONTAGEM DE FÔRMA PARA ESCADAS, COM 2 LANCES, EM MADEIRA SERRADA, 2 UTILIZAÇÕES. (INCLUSO ESCORAMENTO)</t>
  </si>
  <si>
    <t>6,43</t>
  </si>
  <si>
    <t>10,73</t>
  </si>
  <si>
    <t>15,04</t>
  </si>
  <si>
    <t>2,45</t>
  </si>
  <si>
    <t>7,06</t>
  </si>
  <si>
    <t>2,20</t>
  </si>
  <si>
    <t>3,04</t>
  </si>
  <si>
    <t>1,79</t>
  </si>
  <si>
    <t>1,19</t>
  </si>
  <si>
    <t>CAIXA DE PASSAGEM METALICA DE SOBREPOR COM TAMPA PARAFUSADA, DIMENSOES 20 X 20 X 10 CM</t>
  </si>
  <si>
    <t>11,00</t>
  </si>
  <si>
    <t>6,13</t>
  </si>
  <si>
    <t>16,70</t>
  </si>
  <si>
    <t>6,90</t>
  </si>
  <si>
    <t>CHAPA DE ACO XADREZ PARA PISOS, E = 1/4 " (6,30 MM) 54,53 KG/M2</t>
  </si>
  <si>
    <t>CHAPA DE MADEIRA COMPENSADA RESINADA PARA FORMA DE CONCRETO, DE *2,2 X 1,1* M, E = 14 MM</t>
  </si>
  <si>
    <t>6,94</t>
  </si>
  <si>
    <t>10,22</t>
  </si>
  <si>
    <t>15,99</t>
  </si>
  <si>
    <t>4,07</t>
  </si>
  <si>
    <t>25,14</t>
  </si>
  <si>
    <t>11,33</t>
  </si>
  <si>
    <t>10,29</t>
  </si>
  <si>
    <t>0,91</t>
  </si>
  <si>
    <t>6,92</t>
  </si>
  <si>
    <t>17,02</t>
  </si>
  <si>
    <t>1,82</t>
  </si>
  <si>
    <t>4,82</t>
  </si>
  <si>
    <t>6,02</t>
  </si>
  <si>
    <t>4,43</t>
  </si>
  <si>
    <t>16,69</t>
  </si>
  <si>
    <t>4,13</t>
  </si>
  <si>
    <t>13,96</t>
  </si>
  <si>
    <t>7,13</t>
  </si>
  <si>
    <t>12,12</t>
  </si>
  <si>
    <t>7,25</t>
  </si>
  <si>
    <t>13,58</t>
  </si>
  <si>
    <t>11,89</t>
  </si>
  <si>
    <t>21,18</t>
  </si>
  <si>
    <t>PATCH CORD, CATEGORIA 6, EXTENSAO DE 1,50 M</t>
  </si>
  <si>
    <t>17,72</t>
  </si>
  <si>
    <t>PATCH CORD, CATEGORIA 6, EXTENSAO DE 2,50 M</t>
  </si>
  <si>
    <t>PISO EM GRANITO, POLIDO, TIPO ANDORINHA/ QUARTZ/ CASTELO/ CORUMBA OU OUTROS EQUIVALENTES DA REGIAO, FORMATO MENOR OU IGUAL A 3025 CM2, E=  *2* CM</t>
  </si>
  <si>
    <t>12,17</t>
  </si>
  <si>
    <t>20,46</t>
  </si>
  <si>
    <t>39,37</t>
  </si>
  <si>
    <t>15,89</t>
  </si>
  <si>
    <t>16,37</t>
  </si>
  <si>
    <t>57,22</t>
  </si>
  <si>
    <t>9,22</t>
  </si>
  <si>
    <t>8,10</t>
  </si>
  <si>
    <t>11,94</t>
  </si>
  <si>
    <t>21,90</t>
  </si>
  <si>
    <t>24,91</t>
  </si>
  <si>
    <t>18,81</t>
  </si>
  <si>
    <t>9,18</t>
  </si>
  <si>
    <t/>
  </si>
  <si>
    <t>UNIDADE</t>
  </si>
  <si>
    <t>CUSTO TOTAL</t>
  </si>
  <si>
    <t>2,83</t>
  </si>
  <si>
    <t>0,29</t>
  </si>
  <si>
    <t>11,70</t>
  </si>
  <si>
    <t>10,44</t>
  </si>
  <si>
    <t>9,89</t>
  </si>
  <si>
    <t>20,52</t>
  </si>
  <si>
    <t>10,23</t>
  </si>
  <si>
    <t>9,35</t>
  </si>
  <si>
    <t>CONCRETO MAGRO PARA LASTRO, TRAÇO 1:4,5:4,5 (CIMENTO/ AREIA MÉDIA/ BRITA 1)  - PREPARO MECÂNICO COM BETONEIRA 400 L. AF_07/2016</t>
  </si>
  <si>
    <t>CABO DE COBRE FLEXÍVEL ISOLADO, 4 MM², ANTI-CHAMA 450/750 V, PARA CIRCUITOS TERMINAIS - FORNECIMENTO E INSTALAÇÃO. AF_12/2015</t>
  </si>
  <si>
    <t>5,54</t>
  </si>
  <si>
    <t>QUADRO DE DISTRIBUIÇÃO PARA TELEFONE N.5, 80X80X12CM EM CHAPA METALICA, SEM ACESSORIOS, PADRAO TELEBRAS, FORNECIMENTO E INSTALAÇÃO. AF_11/2019</t>
  </si>
  <si>
    <t>8,89</t>
  </si>
  <si>
    <t>10,01</t>
  </si>
  <si>
    <t>10,40</t>
  </si>
  <si>
    <t>7,10</t>
  </si>
  <si>
    <t>6,41</t>
  </si>
  <si>
    <t>DESENHISTA DETALHISTA COM ENCARGOS COMPLEMENTARES</t>
  </si>
  <si>
    <t>10,59</t>
  </si>
  <si>
    <t>ART DE EXECUÇÃO - CREA -PI</t>
  </si>
  <si>
    <t>COMPOSIÇÃO</t>
  </si>
  <si>
    <t>CODIGO</t>
  </si>
  <si>
    <t>INSUMO</t>
  </si>
  <si>
    <t>ÍNDICE</t>
  </si>
  <si>
    <t>CREA-PI</t>
  </si>
  <si>
    <t>-</t>
  </si>
  <si>
    <t>ART DE OBRAS</t>
  </si>
  <si>
    <t>PONTALETE DE MADEIRA NAO APARELHADA *7,5 X 7,5* CM (3 X 3 ") PINUS, MISTA OU EQUIVALENTE DA REGIAO</t>
  </si>
  <si>
    <t>SEINFRA-CE</t>
  </si>
  <si>
    <t>FITA VEDA ROSCA 18MM</t>
  </si>
  <si>
    <t>DUCHA HIGIÊNICA COM REGISTRO, LINHA LINK, REF. 1984.C.ACT. LNK, DA DECA OU SIMILAR</t>
  </si>
  <si>
    <t>DUCHA HIGIENICA COM REGISTRO</t>
  </si>
  <si>
    <t>DISPOSITIVO DE PROTEÇÃO CONTRA SURTO DE TENSÃO DPS 60KA - 275V</t>
  </si>
  <si>
    <t>DISPOSITIVO DE PROTEÇÃO CONTRA SURTO DE TENSÃO DPS 60KA, 275V (PARA RAIO)</t>
  </si>
  <si>
    <t>DISJUNTOR BIPOLAR DR 25 A - DISPOSITIVO RESIDUAL DIFERENCIAL, TIPO AC, 30MA, REF.5SM1 312-OMB, SIEMENS OU SIMILAR</t>
  </si>
  <si>
    <t>DISJUNTOR BIPOLAR DR 25 A, DISPOSITIVO RESIDUAL DIFERENCIAL, TIPO AC, 30MA</t>
  </si>
  <si>
    <t>LUMINÁRIA TIPO CALHA DE EMBUTIR COM ALETAS E TUBOS LED 2 X 20 W, COMPLETA</t>
  </si>
  <si>
    <t>LAMPADA LED TUBULAR BIVOLT 20W</t>
  </si>
  <si>
    <t>Luminária fluorescente embutir com aletas 2 x 20 w (tecnolux - ref.fle 6440/216 ou similar)</t>
  </si>
  <si>
    <t>QUADRO DE DISTRIBUICAO DE ENERGIA DE EMBUTIR, EM CHAPA METALICA, PARA 70 DISJUNTORES TERMOMAGNETICOS MONOPOLARES, COM BARRAMENTO TRIFASICO E NEUTRO, FORNECIMENTO E INSTALACAO</t>
  </si>
  <si>
    <t>QUADRO DE DISTRIBUICAO COM BARRAMENTO TRIFASICO, DE EMBUTIR, EM CHAPA DE ACO GALVANIZADO, PARA 70 DISJUNTORES DIN, 225 A</t>
  </si>
  <si>
    <t>ARGAMASSA TRAÇO 1:3:12 (CIMENTO, CAL E AREIA MÉDIA) PARA EMBOÇO/MASSA ÚNICA/ASSENTAMENTO DE ALVENARIA DE VEDAÇÃO, PREPARO MECÂNICO COM BETONEIRA 600 L. AF_06/2014</t>
  </si>
  <si>
    <t>M³</t>
  </si>
  <si>
    <t>TOMADA 2P+T, ABNT, 10 A, PARA PISO, COM PLACA EM METAL AMARELO E CAIXA PVC</t>
  </si>
  <si>
    <t>Tomada 2p+t, ABNT, 10A, para piso, com placa em metal amarelo</t>
  </si>
  <si>
    <t>Caixa de passagem, em pvc, de 4" x 2", para eletroduto flexivel corrugado</t>
  </si>
  <si>
    <t>C4780</t>
  </si>
  <si>
    <t>UNID.</t>
  </si>
  <si>
    <t>FIO FLEXIVEL 2 X 2,5MM (PARALELO OU TORCIDO)</t>
  </si>
  <si>
    <t>CORDAO DE COBRE, FLEXIVEL, TORCIDO, CLASE 4 OU 5 ISOLAMENTO PVC/D 300V, 2 CONDUTORES DE 2,50MM²</t>
  </si>
  <si>
    <t xml:space="preserve">M </t>
  </si>
  <si>
    <t>REGUA (FILTRO DE LINHA ) COM 8 TOMADAS</t>
  </si>
  <si>
    <t>REGUA (FILTRO DE LINHA) COM 8 TOMADAS</t>
  </si>
  <si>
    <t>FORNECIMENTO E INSTALAÇÃO DE MINI RACK DE PAREDE 19" X 5U X 350MM</t>
  </si>
  <si>
    <t xml:space="preserve"> Mini Rack de parede 19" x 5u x 350mm (porta de acrílico)</t>
  </si>
  <si>
    <t>CAIXA ACUSTICA - SONOFLETOR 60 W</t>
  </si>
  <si>
    <t xml:space="preserve"> Caixa acústica BS ref B-52 FF250 60 w (RMS ou similar)</t>
  </si>
  <si>
    <t>MESA DE SOM / MIXER 8 CANAIS C/ USB OMX 52 - ONEAL OU SIMILAR</t>
  </si>
  <si>
    <t>MESA DE SOM / MIXER 5 CANAIS C/ USB OMX 52 - ONEAL OU SIMILAR</t>
  </si>
  <si>
    <t>AMPLIFICADOR CICLOTRON DBK 4000 (OU SIMILAR) - FORNECIMENTO E INSTALAÇÃO</t>
  </si>
  <si>
    <t>Amplificador Ciclotron DBK 4000 (ou similar)</t>
  </si>
  <si>
    <t>Cabo balanceado 2 x 0,30mm (para microfone)</t>
  </si>
  <si>
    <t>TOMADA XLR PARA MICROFONE, PARA PISO, COM PLACA E CAIXA</t>
  </si>
  <si>
    <t>Espelho / placa cega 4" x 2", para instalacao de tomadas e interruptores</t>
  </si>
  <si>
    <t>Conector XLR 05 pinos em alumínio com grau proteção IP66</t>
  </si>
  <si>
    <t>UNI</t>
  </si>
  <si>
    <t xml:space="preserve"> FORNECIMENTO E INSTALAÇÃO DE CONECTOR RJ 45 MACHO CAT 6</t>
  </si>
  <si>
    <t>CONECTOR RJ 45 MACHO CAT 6</t>
  </si>
  <si>
    <t>TOMADA DUPLA PARA LÓGICA RJ45, CAT.6, COM CAIXA PVC, EMBUTIR, COMPLETA</t>
  </si>
  <si>
    <t xml:space="preserve"> Modulo para tomada rj-45 cat.6</t>
  </si>
  <si>
    <t xml:space="preserve"> Placa 4" x 2" para tomada rj-45 cat.6 - p/ 02 módulos</t>
  </si>
  <si>
    <t>TOMADA PARA LÓGICA RJ45, COM CAIXA PVC, EMBUTIDA, CAT. 6</t>
  </si>
  <si>
    <t xml:space="preserve"> Tomada para lógica, rj45, com placa, cat. 6</t>
  </si>
  <si>
    <t>FORNECIMENTO E MONTAGEM DE GUIA DE CABOS HORIZONTAIS FECHADO DE CORPO DE AÇO SAE 1020, PROF.= 40MM.</t>
  </si>
  <si>
    <t>GUIA DE CABOS FECHADO 19'' 1U</t>
  </si>
  <si>
    <t>FORNECIMENTO E INSTALAÇÃO DE NO-BREAK 110/220V, 1.2 KVA COM 03 SAIDAS 110V AC</t>
  </si>
  <si>
    <t>NO-BREAK 110/220V 1.2KVA COM 03 SAIDA 110 AC</t>
  </si>
  <si>
    <t>BLOCO TERMINAL PARA TELEFONE - 10 PARES - INSTALADO</t>
  </si>
  <si>
    <t>Bloco terminal para telefone - 10 pares</t>
  </si>
  <si>
    <t>TOMADA DUPLA PARA LÓGICA NO PISO, METAL, RJ45</t>
  </si>
  <si>
    <t>Tomada dupla para lógica no piso, metal, RJ45</t>
  </si>
  <si>
    <t>CUMEEIRA TERMOACÚSTICA</t>
  </si>
  <si>
    <t xml:space="preserve"> Cumeeira termoacustica</t>
  </si>
  <si>
    <t>PLACA DE SINALIZACAO, FOTOLUMINESCENTE, EM PVC , ROTA DE FUGA</t>
  </si>
  <si>
    <t>Placa de sinalizacao, fotoluminescente, em pvc , rota de fuga</t>
  </si>
  <si>
    <t>SIRENE AÚDIO-VISUAL 120DB PARA ALARME DE INCÊNDIO,ENDEREÇÁVEL</t>
  </si>
  <si>
    <t>SIRENE AUDIO-VISUAL 120 DB PARA ALARME DE INCÊNDIO INDEREÇÁVEL</t>
  </si>
  <si>
    <t>SIRENE DE ALCANCE - 1.500M, 100A/220V, COM ESTROBO</t>
  </si>
  <si>
    <t>Sirene de alcance 1500m rotativa com estrobo</t>
  </si>
  <si>
    <t>PORTA EM ALUMÍNIO, COR N/P/B, MOLDURA-VIDRO,COMPLETA, INCLUSIVE CAIXILHOS, DOBRADIÇAS OU ROLDANAS E FECHADURA, EXCLUSIVE VIDRO</t>
  </si>
  <si>
    <t>PORTA EM ALUMÍNIO, COR N/P/B, TIPO MOLDURA-VIDRO, INCLUSIVE CAIXILHO, DOBRADIÇAS OU ROLDANAS E FECHADURA, EXCLUSIVE VIDRO</t>
  </si>
  <si>
    <t>ARGAMASSA CIMENTO E AREIA TRAÇO T-1 (1:3) - 1 SACO CIMENTO 50KG / 3 PADIOLAS AREIA DIM. 0.35 X 0.45 X 0.23 M - CONFECÇÃO MECÂNICA E TRANSPORTE</t>
  </si>
  <si>
    <t>ARGAMASSA TRAÇO 1:4 (CIMENTO E AREIA MÉDIA), PREPARO MANUAL. AF_08/2014</t>
  </si>
  <si>
    <t xml:space="preserve">UN </t>
  </si>
  <si>
    <t>BARRA DE APOIO RETA, EM ACO INOX POLIDO, COMPRIMENTO 80CM</t>
  </si>
  <si>
    <t>BARRA DE APOIO RETA, EM ACO INOX POLIDO, COMPRIMENTO 40CM</t>
  </si>
  <si>
    <t>BARRA DE APOIO, RETA, FIXA, EM AÇO INOX, L=40CM, D=1 1/4" - JACKWAL OU SIMILAR</t>
  </si>
  <si>
    <t>CHUVEIRO SIMPLES ARTICULADO, DE METAL CROMADO, (DECA REF1995), C/ REGISTRO DE PRESSÃO (DECA LINHA C40 REF1416) OU SIMILARES</t>
  </si>
  <si>
    <t>CHUVEIRO TRADICIONAL CROMADO, DECA 1995 OU SIMILAR</t>
  </si>
  <si>
    <t>UM</t>
  </si>
  <si>
    <t>REGISTRO PRESSÃO 1/2" C/CANOPLA ACAB.CROM.SIMPLES, LINHA TARGA C40 - REF.1416, DECA OU SIMILAR</t>
  </si>
  <si>
    <t>REVESTIMENTO METÁLICO EM ALUMÍNIO COMPOSTO (ALUCOBOND), E=0,3MM, PINTURA KAYNAR 500 COMPOSTA POR SEIS CAMADAS, INCLUSIVE ESTRUTURA METÁLICA AUXILIAR EM PERFIL DE VIGA "U" DE 2" - FORNECIMENTO E MONTAGEM</t>
  </si>
  <si>
    <t>REVESTIMENTO EM ALUMÍNIO TIPO ALUCOBOND, E=0,3MM, EM ESTRUTURA METÁLICA AUXILIAR DE PERFIL "U" 2", COM FORNECIMENTO E MONTAGEM, INCLUSIVE PINTURA KAYNAR 500 COM SEIS CAMADAS</t>
  </si>
  <si>
    <t>GRADIL NYLOFOR3D, MALHA 20X5CM, Ø 5MM 250X203 CM, BELGO OU SIMILAR, INCLUSIVE POSTES (SECÇÃO 60X40MM E H=2,60M) E ACESSÓRIOS</t>
  </si>
  <si>
    <t>TAMPA PARA POSTE NYLOFOR 60 X 40MM, BELGO OU SIMILAR</t>
  </si>
  <si>
    <t>PÇ</t>
  </si>
  <si>
    <t>POSTE DE GRADIL NYLOFOR 3D, H=2,60M, SEÇÃO DE 40X60MM, BELGO OU SIMILAR</t>
  </si>
  <si>
    <t>GRADIL NYLOFOR3D, MALHA 20X5CM, Ø 5MM 250X203 CM, BELGO OU SIMILAR</t>
  </si>
  <si>
    <t>FIXADOR POLIAMIDA 40 X 60MM, PARA POSTE NYLOFOR, BELGO OU SIMILAR</t>
  </si>
  <si>
    <t>CORRIMÃO EM AÇO INOX, ESCOVADO, D=1 1/2"</t>
  </si>
  <si>
    <t>SOLEIRA EM GRANITO BRANCO CEARA, LARGURA 15 CM, ESPESSURA 2,0 CM</t>
  </si>
  <si>
    <t>SOLEIRA EM GRANITO BRANCO FORTALEZA, L = 15 CM, E = 2 CM</t>
  </si>
  <si>
    <t>PEITORIL EM GRANITO BRANCO CEARÁ, LARGURA DE 22CM, ASSENTADO COM ARGAMASSA COLANTE PRE- FABRICADA</t>
  </si>
  <si>
    <t>PEITORIL GRANITO BRANCO FORTALEZA POLIDO 22 X 2CM</t>
  </si>
  <si>
    <t>ARGAMASSA COLANTE AC-II</t>
  </si>
  <si>
    <t>ESCADA TIPO MARINHEIRO EM TUBO ACO GALVANIZADO 1 1/2" 5 DEGRAUS</t>
  </si>
  <si>
    <t>74194/001</t>
  </si>
  <si>
    <t>Pré-amplificador Gongo PGH-3000 Ambience Line HAYONIK</t>
  </si>
  <si>
    <t>TERMINAL AÉREO EM AÇO GALVANIZADO 3/8" X 50CM, COM FIXAÇÃO HORIZONTAL</t>
  </si>
  <si>
    <t xml:space="preserve"> Terminal aéreo 3/8" x 50cm ref.TEL 045 ou similar</t>
  </si>
  <si>
    <t>COTAÇÃO</t>
  </si>
  <si>
    <t>COTAÇÃO 1</t>
  </si>
  <si>
    <t>COTAÇÃO 2</t>
  </si>
  <si>
    <t>COTAÇÃO 3</t>
  </si>
  <si>
    <t>NVR STAND ALONE 16 CANAIS COM POE, INTELBRAS 3116P OU SIMILAR, FORNECIMENTO E INSTALAÇÃO, INCLUI HD 4 TB PARA CFTV</t>
  </si>
  <si>
    <t>NVR STAND ALONE 16 CANAIS COM POE, INTELBRAS 3116P OU SIMILAR, FORNECIMENTO E INSTALAÇÃO</t>
  </si>
  <si>
    <t>HD 4 TB PARA CFTV</t>
  </si>
  <si>
    <t>BOMBA PARA INCENDIO 7,5 HP - FORNECIMENTO E INSTALAÇÃO</t>
  </si>
  <si>
    <t>Bomba para incendio 7,5 H P</t>
  </si>
  <si>
    <t>LETRA AÇO INOX ESCOVADO/POLIDO H = 15 CM - INSTALADO</t>
  </si>
  <si>
    <t>Letras aço inox 15 x 15cm</t>
  </si>
  <si>
    <t>LETRA AÇO INOX ESCOVADO/POLIDO H = 20 CM - INSTALADO</t>
  </si>
  <si>
    <t>LOCACAO CONVENCIONAL DE OBRA, ATRAVÉS DE GABARITO DE TABUAS CORRIDAS PONTALETADAS A CADA 1,50M, SEM REAPROVEITAMENTO (M2)</t>
  </si>
  <si>
    <t>73992/1</t>
  </si>
  <si>
    <t>LUMINÁRIA PLAFON REDONDO COM VIDRO FOSCO, EMBUTIR, COM 2 LEDS DE 10 W</t>
  </si>
  <si>
    <t>Elevador elétrico social para 08 passageiros ou 600kg, com 02 paradas, paineis e teto em aço escovado, corrimão tubular, portas aço inoxi, cabina 1,20-frente x 1,40-fundo x altura 2,2m inoxidável, Atlas Schindler 3300, modelo Mediterranée ou similar</t>
  </si>
  <si>
    <t>MICROFONE DINAMICO TIPO CARDIOIDE</t>
  </si>
  <si>
    <t xml:space="preserve"> Microfone Leson FM-58 Classic ou similar</t>
  </si>
  <si>
    <t>PEDESTAL GOOSENECK COM MICROFONE E TECLA PTT REF:SM-102, SANSARA OU SIMILAR (SONORIZAÇÃO)</t>
  </si>
  <si>
    <t xml:space="preserve"> Pedestal Gooseneck com microfone e tecla PTT ref:SM-102, Sansara ou similar (sonorização)</t>
  </si>
  <si>
    <t>CONECTOR XLR MACHO</t>
  </si>
  <si>
    <t xml:space="preserve">  Conector XLR 05 pinos em alumínio com grau proteção IP66</t>
  </si>
  <si>
    <t>MONITOR 42" - REF. 42LD460 LG OU SIMILAR</t>
  </si>
  <si>
    <t>COMP-1</t>
  </si>
  <si>
    <t xml:space="preserve"> 73937/3</t>
  </si>
  <si>
    <t>73937/3</t>
  </si>
  <si>
    <t>72895 - CARGA, MANOBRAS E DESCARGA DE MATERIAIS DIVERSOS, COM CAMINHAO BASCULANTE 6M3 (CARGA E DESCARGA MANUAIS) (M3)</t>
  </si>
  <si>
    <t>79480 - ESCAVACAO MECANICA CAMPO ABERTO EM SOLO EXCETO ROCHA ATE 2,00M PROFUNDIDADE (M3)</t>
  </si>
  <si>
    <t>83344 - ESPALHAMENTO DE MATERIAL EM BOTA FORA, COM UTILIZACAO DE TRATOR DE ESTEIRAS DE 165 HP (M3)</t>
  </si>
  <si>
    <t xml:space="preserve">94097 - PREPARO DE FUNDO DE VALA COM LARGURA MENOR QUE 1,5 M, EM LOCAL COM NÍVEL BAIXO DE INTERFERÊNCIA. </t>
  </si>
  <si>
    <t>83534 - LASTRO DE CONCRETO, ESPESSURA (5CM), PREPARO MECANICO, INCLUSO ADITIVO IMPERMEABILIZANTE (M3)</t>
  </si>
  <si>
    <t>COMP-2</t>
  </si>
  <si>
    <t>COMP-2 - FORMA TABUA P/CONCRETO EM FUNDAÇÃO S/REAPROVEITAMENTO (M2)</t>
  </si>
  <si>
    <t>74157/004 - LANCAMENTO/APLICACAO MANUAL DE CONCRETO EM FUNDACOES (M3)</t>
  </si>
  <si>
    <t xml:space="preserve">92481 - MONTAGEM E DESMONTAGEM DE FÔRMA DE LAJE MACIÇA COM ÁREA MÉDIA MENOR OU IGUAL A 20 M², PÉ-DIREITO SIMPLES, EM MADEIRA SERRADA, 1 UTILIZAÇÃO. </t>
  </si>
  <si>
    <t xml:space="preserve">COMP-3 - CONCRETAGEM DE VIGAS E LAJES, FCK=30 MPA, PARA LAJES MACIÇAS OU NERVURADAS COM USO DE BOMBA EM EDIFICAÇÃO COM ÁREA MÉDIA DE LAJES MENOR OU IGUAL A 20 M² - LANÇAMENTO, ADENSAMENTO E ACABAMENTO. </t>
  </si>
  <si>
    <t>COMP-3</t>
  </si>
  <si>
    <t>COMP-4 - CONTRAMARCO DE ALUMÍNIO, FIXAÇÃO COM PARAFUSO (M)</t>
  </si>
  <si>
    <t>COMP-4</t>
  </si>
  <si>
    <t>72175 - BLOCOS DE VIDRO TIPO XADREZ 20X20X10CM, ASSENTADO COM ARGAMASSA TRACO 1:3 (CIMENTO E AREIA GROSSA) PREPARO MECANICO, COM REJUNTAMENTO EM CIMENTO BRANCO E BARRAS DE ACO (M2)</t>
  </si>
  <si>
    <t xml:space="preserve">92408 - MONTAGEM E DESMONTAGEM DE FÔRMA DE PILARES RETANGULARES E ESTRUTURAS SIMILARES COM ÁREA MÉDIA DAS SEÇÕES MENOR OU IGUAL A 0,25 M², PÉ-DIREITO SIMPLES, EM MADEIRA SERRADA, 1 UTILIZAÇÃO. </t>
  </si>
  <si>
    <t xml:space="preserve">92720 - CONCRETAGEM DE PILARES, FCK = 30 MPA, COM USO DE BOMBA EM EDIFICAÇÃO COM SEÇÃO MÉDIA DE PILARES MENOR OU IGUAL A 0,25 M² - LANÇAMENTO, ADENSAMENTO E ACABAMENTO. </t>
  </si>
  <si>
    <t xml:space="preserve">92725 - CONCRETAGEM DE VIGAS E LAJES, FCK=30 MPA, PARA LAJES MACIÇAS OU NERVURADAS COM USO DE BOMBA EM EDIFICAÇÃO COM ÁREA MÉDIA DE LAJES MENOR OU IGUAL A 20 M² - LANÇAMENTO, ADENSAMENTO E ACABAMENTO. </t>
  </si>
  <si>
    <t xml:space="preserve">92489 - MONTAGEM E DESMONTAGEM DE FÔRMA DE LAJE NERVURADA COM CUBETA E ASSOALHO COM ÁREA MÉDIA MENOR OU IGUAL A 20 M², PÉ-DIREITO SIMPLES, EM CHAPA DE MADEIRA COMPENSADA RESINADA, 8 UTILIZAÇÕES. </t>
  </si>
  <si>
    <t>85662 - ARMACAO EM TELA DE ACO SOLDADA NERVURADA Q-92, ACO CA-60, 4,2MM, MALHA15X15CM PARA LAJE TRELIÇADA, COMO ARMAÇÃO NEGATIVA. (M2)</t>
  </si>
  <si>
    <t xml:space="preserve">95938 - MONTAGEM E DESMONTAGEM DE FÔRMA PARA ESCADAS, COM 2 LANCES, EM MADEIRA SERRADA, 2 UTILIZAÇÕES. </t>
  </si>
  <si>
    <t>GRADIL NYLOFOR3D, MALHA 20X5CM, Ø 5MM 250X203 CM, BELGO OU SIMILAR, INCLUSIVE POSTES (SECÇÃO 60X40MM E H=2,60M) E ACESSÓRIOS (C07)</t>
  </si>
  <si>
    <t>73933/1 - PORTA DE ALUMÍNIO, NA COR BRANCO COM PUXADOR DO TIPO ALAVANCA INOX, ROSETA INOX E FERRAGENS CROMADAS, DE ABRIR UMA FOLHA, DIMENSÃO: 0,90X2,10M (C09) (UN)</t>
  </si>
  <si>
    <t>73933/1</t>
  </si>
  <si>
    <t>PORTA EM ALUMÍNIO, COR N/P/B, MOLDURA-VIDRO,COMPLETA, INCLUSIVE CAIXILHOS, DOBRADIÇAS OU ROLDANAS E FECHADURA, EXCLUSIVE VIDRO (SU01)</t>
  </si>
  <si>
    <t>94575 - JANELA BASCULANTE EM ALUMÍNIO ANODIZADO COM VEDAÇÃO EM VIDRO TRANSPARENTE (REF. JC1,JC6,GJ6,GJ7,JC3,JC11,JC10,JC13) (M2)</t>
  </si>
  <si>
    <t>85010_2 - DIVISÓRIA EM ALUMÍNIO ANODIZADO NA COR BRANCA COM VEDAÇÃO EM VIDRO JATEADO (REF. JC9, JC26, JC27) (M2)</t>
  </si>
  <si>
    <t>85010_2</t>
  </si>
  <si>
    <t>94570_3</t>
  </si>
  <si>
    <t>94570_4 - VITRINE EM ALUMÍNIO NA COR BRANCA E VIDRO DUPLO ACÚSTICO TRANSPARENTE SOBRE CONTRAMARCO. FORNECIMENTO E INSTALAÇÃO (REF. JC2)  (M2)</t>
  </si>
  <si>
    <t>94570_4</t>
  </si>
  <si>
    <t>71623 - CHAPIM DE CONCRETO APARENTE COM ACABAMENTO DESEMPENADO, FORMA DE COMPENSADO PLASTIFICADO (MADEIRIT) DE 14 X 10 CM, FUNDIDO NO LOCAL. (M)</t>
  </si>
  <si>
    <t>73882/001 - CALHA EM CONCRETO SIMPLES, EM MEIA CANA, DIAMETRO 400 MM (M)</t>
  </si>
  <si>
    <t>73882/1</t>
  </si>
  <si>
    <t>100563 - RUFO CHAPA ZINCADA COM ARREMATES ARGAMASSA (M2)</t>
  </si>
  <si>
    <t>74106/1</t>
  </si>
  <si>
    <t>73753/1</t>
  </si>
  <si>
    <t>12737 - ESTRUTURA METÁLICA GALVANIZADA, REVESTIDA POR PLACAS DE ACM (ALUMÍNIO COMPOSTO) RECORTADO, E=0,3MM, NA COR COBRE, 1,00 NX 1,00M, FIXAÇÃO DA ESTRUTURA METÁLICA SEM AVANÇO NA EST. ESPACIAL EXISTENTE NO LOCAL POR PARAFUSOS. - FORNECIMENTO E MONTAGEM (M2)</t>
  </si>
  <si>
    <t>10078 - FORNECIMENTO E INSTALAÇÃO DE FACHADA VENTILADA EM PLACAS DE GRÊS PORCELÂNICO EXTRUDADO (E=16MM), FIXADO COM SUBESTRUTURA DE ALUMÍNIO, DA TEMPIO, REF.: GRIS GR02-02 (M2)</t>
  </si>
  <si>
    <t>C4442 - CERÂMICA ESMALTADA C/ ARG. PRÉ-FABRICADA ATÉ 25X25CM - DECORATIVA - P/ PAREDE (M2)</t>
  </si>
  <si>
    <t>CERÂMICA ESMALTADA DIMENSÕES ATÉ 10X10CM (100 CM²)</t>
  </si>
  <si>
    <t>C4442</t>
  </si>
  <si>
    <t>120173 - REVESTIMENTO CERÂMIC0 29,5X29,5CM COM EFEITO 3D COM COLA PAREDES SOBRE EMBOCO (CONFORME ESPECIFICAÇÃO DE PROJETO) (M2)</t>
  </si>
  <si>
    <t>8854 - REVESTIMENTO COM PLACA MDF 6MM REVESTIDO COM LAMINADO MELAMINICO E FITA DE BORDO - ACABAMENTO: LINHO (M2)</t>
  </si>
  <si>
    <t>72961 - REGULARIZACAO E COMPACTACAO DE SUBLEITO ATE 20 CM DE ESPESSURA (M2)</t>
  </si>
  <si>
    <t>73465 - PISO CIMENTADO E=1,5CM C/ARGAMASSA 1:3 CIMENTO AREIA ALISADO COLHER SOBRE BASE EXISTENTE E ARGAMASSA EM PREPARO MECANIZADO (M2)</t>
  </si>
  <si>
    <t>C1847 - PISO DE CONCRETO FCK=13,5MPA ESP=7 CM, INCL. PREPARO DE CAIXA, MOLDADO "IN LOCO", ESTAMPADO COM DESENHO TIPO ASSENTAMENTO ROMANO, COR CONCRETO NATURAL PARA AS CALÇADAS INTERNAS E EXTERNAS. (M2)</t>
  </si>
  <si>
    <t>C1847</t>
  </si>
  <si>
    <t>C3654</t>
  </si>
  <si>
    <t>C3655</t>
  </si>
  <si>
    <t>C3657</t>
  </si>
  <si>
    <t>C3654 - ADAPTADOR PVC P/ REGISTRO 32MM (1") (UN)</t>
  </si>
  <si>
    <t>C3655 - ADAPTADOR PVC P/ REGISTRO 40MM (1 1/4") (UN)</t>
  </si>
  <si>
    <t>C3657 - ADAPTADOR PVC P/ REGISTRO 60MM (2") (UN)</t>
  </si>
  <si>
    <t>7752 - RALO HEMISFÉRICO EM FERRO FUNDIDO TIPO ABACAXI, DN=150MM (UN)</t>
  </si>
  <si>
    <t>89432_1</t>
  </si>
  <si>
    <t>89432_1 - LUVA DE CORRER, PVC, SOLDÁVEL, DN 40MM, INSTALADO EM RAMAL DE DISTRIBUIÇÃO DE ÁGUA FORNECIMENTO E INSTALAÇÃO. (UN)</t>
  </si>
  <si>
    <t xml:space="preserve">90375_1 - BUCHA DE REDUÇÃO, PVC, SOLDÁVEL, DN 32 X 25 MM, INSTALADO EM RAMAL OU SUB-RAMAL DE ÁGUA - FORNECIMENTO E INSTALAÇÃO. </t>
  </si>
  <si>
    <t>90375_1</t>
  </si>
  <si>
    <t>90375_2</t>
  </si>
  <si>
    <t xml:space="preserve">90375_2 - BUCHA DE REDUÇÃO, PVC, SOLDÁVEL, DN 40 X 25 MM, INSTALADO EM RAMAL OU SUB-RAMAL DE ÁGUA - FORNECIMENTO E INSTALAÇÃO. </t>
  </si>
  <si>
    <t xml:space="preserve">90375_3 - BUCHA DE REDUÇÃO, PVC, SOLDÁVEL, DN 50 X 32 MM, INSTALADO EM RAMAL OU SUB-RAMAL DE ÁGUA - FORNECIMENTO E INSTALAÇÃO. </t>
  </si>
  <si>
    <t>90375_3</t>
  </si>
  <si>
    <t xml:space="preserve">90375_4 - BUCHA DE REDUÇÃO, PVC, SOLDÁVEL, DN 50 X 40 MM, INSTALADO EM RAMAL OU SUB-RAMAL DE ÁGUA - FORNECIMENTO E INSTALAÇÃO. </t>
  </si>
  <si>
    <t>90375_4</t>
  </si>
  <si>
    <t xml:space="preserve">89443_1 - TE, PVC, REDUCAO, PVC, SOLDAVEL, 90 GRAUS, 32 MM X 25 MM, INSTALADO EM RAMAL DE DISTRIBUIÇÃO DE ÁGUA - FORNECIMENTO E INSTALAÇÃO. </t>
  </si>
  <si>
    <t>89443_1</t>
  </si>
  <si>
    <t xml:space="preserve">89443_2 - TE, PVC, REDUCAO, PVC, SOLDAVEL, 90 GRAUS, 40 MM X 25 MM, INSTALADO EM RAMAL DE DISTRIBUIÇÃO DE ÁGUA - FORNECIMENTO E INSTALAÇÃO. </t>
  </si>
  <si>
    <t xml:space="preserve">89443_3 - TE, PVC, REDUCAO, PVC, SOLDAVEL, 90 GRAUS, 50 MM X 40 MM, INSTALADO EM RAMAL DE DISTRIBUIÇÃO DE ÁGUA - FORNECIMENTO E INSTALAÇÃO. </t>
  </si>
  <si>
    <t>89443_2</t>
  </si>
  <si>
    <t>89443_3</t>
  </si>
  <si>
    <t>86888 - VASO SANITÁRIO SIFONADO COM DESCARGA EMBUTIDA DE DUPLO ACIONAMENTO 6 OU 10 LITROS, LOUÇA BRANCA, INCLUSO ASSENTO SANITÁRIO DE PLÁSTICO COM TAMPA - FORNECIMENTO E INSTALAÇÃO. (UN)</t>
  </si>
  <si>
    <t xml:space="preserve">86895 - BANCADA DE GRANITO BRANCO CEARÁ PARA LAVATÓRIO 0,50 X 0,60 M, COM CUBA DE SEMI-ENCAIXE - FORNECIMENTO E INSTALAÇÃO. </t>
  </si>
  <si>
    <t>10050 - FORNECIMENTO E ASSENTAMENTO DE TUBO CORRUGADO PAREDE DUPLA PEAD, D= 600MM (24"), P/SISTEMAS DRENAGEM,  (M)</t>
  </si>
  <si>
    <t xml:space="preserve">FORNECIMENTO E ASSENTAMENTO DE TUBO CORRUGADO PAREDE DUPLA PEAD, D= 900MM, P/SISTEMAS DRENAGEM, </t>
  </si>
  <si>
    <t>53099 - TERMINAL DE VENTILAÇÃO PVCS  50MM (UN)</t>
  </si>
  <si>
    <t>53099_1 - TERMINAL DE VENTILAÇÃO PVCS  100MM (UN)</t>
  </si>
  <si>
    <t>53099_1</t>
  </si>
  <si>
    <t>74104/1</t>
  </si>
  <si>
    <t>74104/1 - CAIXA DE INSPEÇÃO EM ALVENARIA DE TIJOLO MACIÇO 60X60X60CM, REVESTIDA INTERNAMENTO COM BARRA LISA (CIMENTO E AREIA, TRAÇO 1:4) E=2,0CM, COM TAMPA PRÉ-MOLDADA DE CONCRETO E FUNDO DE CONCRETO 15MPA TIPO C - ESCAVAÇÃO E CONFECÇÃO (UN)</t>
  </si>
  <si>
    <t>72285 - CAIXA DE AREIA 40X40X40CM EM ALVENARIA - EXECUÇÃO (UN)</t>
  </si>
  <si>
    <t>C1576 - JUNÇÃO SIMPLES DE REDUÇÃO PVC P/ESGOTO 100X50MM (4"X2")-C/ANÉIS (UN)</t>
  </si>
  <si>
    <t>145683 - TE PVC REDUÇÃO ESGOTO DE 100X50MM (UN)</t>
  </si>
  <si>
    <t>89833_1</t>
  </si>
  <si>
    <t>89829_1</t>
  </si>
  <si>
    <t>89862_1</t>
  </si>
  <si>
    <t>5968 - IMPERMEABILIZACAO DE SUPERFICIE COM ARGAMASSA DE CIMENTO E AREIA (MEDIA), TRACO 1:3, COM ADITIVO IMPERMEABILIZANTE, E=2CM. (M2)</t>
  </si>
  <si>
    <t>111609 - ESCADA MARINHEIRO PERFIL DE FERRO C/ ANCORAGEM S/ PROTECAO (M)</t>
  </si>
  <si>
    <t>89833_1 - TE, PVC, SERIE NORMAL, ESGOTO PREDIAL, DN 100 X 50 MM, JUNTA ELÁSTICA, FORNECIDO E INSTALADO EM PRUMADA DE ESGOTO SANITÁRIO OU VENTILAÇÃO. (UN)</t>
  </si>
  <si>
    <t xml:space="preserve">89829_1 - TE, PVC, SERIE NORMAL, ESGOTO PREDIAL, DN 75 X 50 MM, JUNTA ELÁSTICA, FORNECIDO E INSTALADO EM PRUMADA DE ESGOTO SANITÁRIO OU VENTILAÇÃO. </t>
  </si>
  <si>
    <t xml:space="preserve">89862_1 - TE, PVC, SERIE NORMAL, ESGOTO PREDIAL, DN 150 X 100 MM, JUNTA ELÁSTICA, FORNECIDO E INSTALADO EM SUBCOLETOR AÉREO DE ESGOTO SANITÁRIO. </t>
  </si>
  <si>
    <t>1208 - REDUÇÃO EXCENTRICA EM PVC RÍGIDO SOLDÁVEL, PARA ESGOTO, D=150X100MM (UN)</t>
  </si>
  <si>
    <t>1582 - REDUÇÃO EXCENTRICA EM PVC RÍGIDO SOLDÁVEL, PARA ESGOTO PRIMÁRIO, DIÂM =   75 X 50MM (UN)</t>
  </si>
  <si>
    <t>C0678 - CAP (TAMPÃO) OU PLUG (BUJÃO) PVC P/ESGOTO D=100MM SOLD. (UN)</t>
  </si>
  <si>
    <t>C0680 - CAP (TAMPÃO) OU PLUG (BUJÃO) PVC P/ESGOTO D=50MM-SOLD. (UN)</t>
  </si>
  <si>
    <t>C0678</t>
  </si>
  <si>
    <t>C0680</t>
  </si>
  <si>
    <t>74104/001 - CAIXA DE INSPEÇÃO EM ALVENARIA DE TIJOLO MACIÇO 60X60X60CM, REVESTIDA INTERNAMENTO COM BARRA LISA (CIMENTO E AREIA, TRAÇO 1:4) E=2,0CM, COM TAMPA PRÉ-MOLDADA DE CONCRETO E FUNDO DE CONCRETO 15MPA TIPO C - ESCAVAÇÃO E CONFECÇÃO (UN)</t>
  </si>
  <si>
    <t>74051/001 - CAIXA DE GORDURA DUPLA EM CONCRETO PRE-MOLDADO DN 60MM COM TAMPA - FORNECIMENTO E INSTALACAO (UN)</t>
  </si>
  <si>
    <t>522265 - VEDACAO PVC, 100 MM, PARA SAIDA VASO SANITARIO (UN)</t>
  </si>
  <si>
    <t>74051/001</t>
  </si>
  <si>
    <t>C0232 - ASSENTAMENTO DE TUBO DE QUEDA (M)</t>
  </si>
  <si>
    <t>C0608 - CAIXA EM ALVENARIA (80X80X60CM) DE 1 TIJOLO COMUM, LASTRO DE CONCRETO E TAMPA DE CONCRETO (UN)</t>
  </si>
  <si>
    <t>74166/2</t>
  </si>
  <si>
    <t>73963/9</t>
  </si>
  <si>
    <t>238093 - CAIXA DE GORDURA EM PVC, DIAMETRO MINIMO 300 MM, DIAMETRO DE SAIDA 100 MM,CAPACIDADE APROXIMADA 18 LITROS, COM TAMPA (UN)</t>
  </si>
  <si>
    <t>C0601 - CAIXA DE GORDURA/SABÃO EM ALVENARIA (UN)</t>
  </si>
  <si>
    <t>C1436 - GRELHA DE FERRO P/ CALHAS E CAIXAS (M2)</t>
  </si>
  <si>
    <t>C0232</t>
  </si>
  <si>
    <t>C0608</t>
  </si>
  <si>
    <t>C0601</t>
  </si>
  <si>
    <t>C1436</t>
  </si>
  <si>
    <t>73924/3</t>
  </si>
  <si>
    <t>92336_1</t>
  </si>
  <si>
    <t>92336_1 - TUBO DE AÇO GALVANIZADO COM COSTURA, CLASSE MÉDIA, CONEXÃO RANHURADA,DN 75 (3"), INSTALADO EM PRUMADAS - FORNECIMENTO E INSTALAÇÃO. (M)</t>
  </si>
  <si>
    <t>92335_1 - TUBO DE AÇO GALVANIZADO COM COSTURA, CLASSE MÉDIA, CONEXÃO RANHURADA,DN 40 (1.1/2"), INSTALADO EM PRUMADAS - FORNECIMENTO E INSTALAÇÃO. (M)</t>
  </si>
  <si>
    <t>92335_2 - TUBO DE AÇO GALVANIZADO COM COSTURA, CLASSE MÉDIA, CONEXÃO RANHURADA,DN 32 (1.1/4"), INSTALADO EM PRUMADAS - FORNECIMENTO E INSTALAÇÃO. (M)</t>
  </si>
  <si>
    <t>92335_3 - TUBO DE AÇO GALVANIZADO COM COSTURA, CLASSE MÉDIA, CONEXÃO RANHURADA,DN 25 (1"), INSTALADO EM PRUMADAS - FORNECIMENTO E INSTALAÇÃO. (M)</t>
  </si>
  <si>
    <t>92337_1 - TUBO DE AÇO GALVANIZADO COM COSTURA, CLASSE MÉDIA, CONEXÃO RANHURADA,DN 100 (4"), INSTALADO EM PRUMADAS - FORNECIMENTO E INSTALAÇÃO. (M)</t>
  </si>
  <si>
    <t>94471_1 - COTOVELO 90 GRAUS, EM FERRO GALVANIZADO, CONEXÃO ROSQUEADA, DN 25 (1"), INSTALADO EM RESERVAÇÃO DE ÁGUA DE EDIFICAÇÃO QUE POSSUA RESERVATÓRIO DE FIBRA/FIBROCIMENTO FORNECIMENTO E INSTALAÇÃO. (UN)</t>
  </si>
  <si>
    <t>672043 - TE AÇO GALVANIZADO DE 2 1/2' (UN)</t>
  </si>
  <si>
    <t>231112 - ADAPTADOR PVC SOLDAVEL, COM FLANGES LIVRES, 75 MM X 2 1/2", PARA CAIXA D' AGUA (UN)</t>
  </si>
  <si>
    <t>854519 - CHUMBADOR DE ACO 5/8" X 200MM C/ ROSCA E PORCA (UN)</t>
  </si>
  <si>
    <t>73924/003 - PINTURA ESMALTE FOSCO, DUAS DEMAOS, SOBRE SUPERFICIE METALICA (M2)</t>
  </si>
  <si>
    <t>94471_1</t>
  </si>
  <si>
    <t>92335_3</t>
  </si>
  <si>
    <t>92337_1</t>
  </si>
  <si>
    <t>92335_1</t>
  </si>
  <si>
    <t>92335_2</t>
  </si>
  <si>
    <t>427003 - TAMPAO COM CORRENTE, EM LATAO, ENGATE RAPIDO 2 1/2", PARA INSTALACAO PREDIALDE COMBATE A INCENDIO (UN)</t>
  </si>
  <si>
    <t>9973 - ELETRODUTO EM FERRO GALVANIZADO PESADO SEM COSTURA 3/4" (UN)</t>
  </si>
  <si>
    <t>115031 - LÂMPADA SINALIZADORAS ATE 5W (UN)</t>
  </si>
  <si>
    <t>388251 - VALVULA DE ALÍVIO DN 3" COMPLETA (UN)</t>
  </si>
  <si>
    <t>C2687 - VÁLVULA DE FLUXO EM AÇO GALVANIZADO DE (2 1/2") (UN)</t>
  </si>
  <si>
    <t>C2687</t>
  </si>
  <si>
    <t>16.3.1.1.1</t>
  </si>
  <si>
    <t>16.3.1.1.2</t>
  </si>
  <si>
    <t>16.3.1.1.3</t>
  </si>
  <si>
    <t>16.3.1.1.4</t>
  </si>
  <si>
    <t>16.3.1.1.5</t>
  </si>
  <si>
    <t>16.3.1.1.9</t>
  </si>
  <si>
    <t>16.3.1.1.10</t>
  </si>
  <si>
    <t>16.3.1.1.11</t>
  </si>
  <si>
    <t>16.3.1.1.13</t>
  </si>
  <si>
    <t>16.3.1.1.18</t>
  </si>
  <si>
    <t>16.3.1.1.19</t>
  </si>
  <si>
    <t>16.3.1.1.20</t>
  </si>
  <si>
    <t>16.3.1.1.23</t>
  </si>
  <si>
    <t>16.3.1.1.27</t>
  </si>
  <si>
    <t>16.3.1.1.28</t>
  </si>
  <si>
    <t>16.3.1.1.29</t>
  </si>
  <si>
    <t>16.3.1.1.30</t>
  </si>
  <si>
    <t>16.3.1.1.31</t>
  </si>
  <si>
    <t>16.3.1.1.32</t>
  </si>
  <si>
    <t>16.3.1.1.33</t>
  </si>
  <si>
    <t>16.3.1.1.34</t>
  </si>
  <si>
    <t>16.3.1.1.38</t>
  </si>
  <si>
    <t>16.3.1.1.39</t>
  </si>
  <si>
    <t>16.3.1.1.40</t>
  </si>
  <si>
    <t>16.3.1.1.41</t>
  </si>
  <si>
    <t>16.3.1.1.42</t>
  </si>
  <si>
    <t>16.3.1.1.43</t>
  </si>
  <si>
    <t>16.3.1.1.45</t>
  </si>
  <si>
    <t>16.3.1.1.46</t>
  </si>
  <si>
    <t>16.3.1.1.47</t>
  </si>
  <si>
    <t>16.3.1.1.48</t>
  </si>
  <si>
    <t>FORNECIMENTO E INSTALAÇÃO DE MINI RACK DE PAREDE 19" X 5U X 450MM</t>
  </si>
  <si>
    <t>16.3.4.1.1</t>
  </si>
  <si>
    <t>16.3.4.1.2</t>
  </si>
  <si>
    <t>FORNECIMENTO E INSTALAÇÃO DE CATRACAS ELETRÔNICAS, COM LEITOR DE PROXIMIDADE, DA PRIME OU SIMILAR, INCLUSIVE FRETE, TREINAMENTO, SOFTWARE, CARTÕES DE PROXIMIDADE E COFRE COLETOR</t>
  </si>
  <si>
    <t>C1576</t>
  </si>
  <si>
    <t>C1456 - HIDRANTE C/REGISTRO GLOBO ANGULAR D= 65MM (2 1/2") (UN)</t>
  </si>
  <si>
    <t>TAMPA EM FOFO - D=600MM</t>
  </si>
  <si>
    <t>C4328 - SOBRETAMPA EM FERRO FUNDIDO C/ D=600 MM (UN)</t>
  </si>
  <si>
    <t>SOBRETAMPA EM FERRO FUNDIDO C/ D=600 MM</t>
  </si>
  <si>
    <t>C4328</t>
  </si>
  <si>
    <t>C1456</t>
  </si>
  <si>
    <r>
      <rPr>
        <sz val="11"/>
        <rFont val="Times New Roman"/>
        <family val="1"/>
      </rPr>
      <t>16.3.2.5.2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</si>
  <si>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16.3.2.5.3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</si>
  <si>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16.3.2.5.4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</si>
  <si>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16.3.2.5.5</t>
    </r>
    <r>
      <rPr>
        <sz val="11"/>
        <color theme="1"/>
        <rFont val="Calibri"/>
        <family val="2"/>
        <scheme val="minor"/>
      </rPr>
      <t/>
    </r>
  </si>
  <si>
    <t>3767_1</t>
  </si>
  <si>
    <t>3767_1 - DUTO CORRUGADO FLEXÍVEL EM PEAD Ø = 2.1/2",  LANÇADO DIRETAMENTE NO SOLO, EXCLUSIVE ESCAVAÇÃO E REATERRO (M)</t>
  </si>
  <si>
    <t>11522 - CURVA DE INVERSÃO 75 X 50 MM PARA ELETROCALHA METÁLICA (UN)</t>
  </si>
  <si>
    <t>11286 - CURVA HORIZONTAL PARA ELETROCALHA 75X50MM (UN)</t>
  </si>
  <si>
    <t>9280 - TÊ HORIZONTAL 150 X 50 MM COM BASE LISA PERFURADA PARA ELETROCALHA METÁLICA  (UN)</t>
  </si>
  <si>
    <t>748 - FORNECIMENTO E INSTALAÇÃO DE ELETROCALHA METÁLICA 150 X 50 X 300 MM (UN)</t>
  </si>
  <si>
    <t>11290 - CURVA DE INVERSÃO 150 X 50 MM PARA ELETROCALHA METÁLICA (UN)</t>
  </si>
  <si>
    <t>11548 - CURVA HORIZONTAL 150 X 50 MM PARA ELETROCALHA METÁLICA, COM ÂNGULO 90°  (UN)</t>
  </si>
  <si>
    <t>9533_2 - FLANGE DE LIGAÇÃO 150X50MM PARA ELETROCALHA METÁLICA  (UN)</t>
  </si>
  <si>
    <t>9533_2</t>
  </si>
  <si>
    <t>10849 - CURVA VERTICAL 200 X 50 MM PARA ELETROCALHA METÁLICA, COM ÂNGULO 90°  (UN)</t>
  </si>
  <si>
    <t>Curva vertical 200 x 50 mm para eletrocalha metálica, com ângulo 90° (ref.: mopa ou similar)</t>
  </si>
  <si>
    <t>7144 - CURVA HORIZONTAL 200 X 50 MM PARA ELETROCALHA METÁLICA, COM ÂNGULO 90°  (UN)</t>
  </si>
  <si>
    <t>7143 - TÊ HORIZONTAL 200 X 50 MM COM BASE LISA PERFURADA PARA ELETROCALHA METÁLICA  (UN)</t>
  </si>
  <si>
    <t>12924 - FLANGE DE LIGAÇÃO 200X50MM PARA ELETROCALHA METÁLICA  (UN)</t>
  </si>
  <si>
    <t>4533 - FORNECIMENTO E INSTALAÇÃO DE ELETROCALHA PERFURADA 200 X 50 X 300 MM (UN)</t>
  </si>
  <si>
    <t>11289 - CURVA VERTICAL 200 X 100 MM PARA ELETROCALHA METÁLICA, COM ÂNGULO 90°  (UN)</t>
  </si>
  <si>
    <t>63048_9 - CURVA HORIZONTAL LISA P/A ELETROCALHA 400X50MM (UN)</t>
  </si>
  <si>
    <t>Curva horizontal 400 x 50 mm para eletrocalha metálica, com ângulo de 90º</t>
  </si>
  <si>
    <t>63048_9</t>
  </si>
  <si>
    <t>Eletrocalha metálica perfurada 400 x 100 x 3000 mm (ref. mopa ou similar)</t>
  </si>
  <si>
    <t>FORNECIMENTO E INSTALAÇÃO DE ELETROCALHA PERFURADA 400 X 50 X 3000 MM  (M)</t>
  </si>
  <si>
    <t>8101_1 - FORNECIMENTO E INSTALAÇÃO DE ELETROCALHA PERFURADA 700 X 100 X 3000 MM  (UN)</t>
  </si>
  <si>
    <t>8101_1</t>
  </si>
  <si>
    <t>63048_1 - CURVA VERTICAL EXTERNA LISA P/A ELETROCALHA 700X50MM (UN)</t>
  </si>
  <si>
    <t>63048_1</t>
  </si>
  <si>
    <t>724 - FORNECIMENTO E INSTALAÇÃO DE SAÍDA HORIZONTAL PARA ELETRODUTO 1" (UN)</t>
  </si>
  <si>
    <t xml:space="preserve"> Saída horizontal para eletroduto 1 1/2" (ref. vl 33 valemam ou similar)</t>
  </si>
  <si>
    <t>12489 - FORNECIMENTO E INSTALAÇÃO DE SAÍDA HORIZONTAL PARA ELETRODUTO 4" (UN)</t>
  </si>
  <si>
    <t xml:space="preserve"> Saída horizontal para eletroduto 4" (ref. mopa ou similar)</t>
  </si>
  <si>
    <t>FORNECIMENTO E INSTALAÇÃO DE SAÍDA HORIZONTAL PARA ELETRODUTO 4"</t>
  </si>
  <si>
    <t>C1250 - ENVELOPE DE CONCRETO P/PROTEÇÃO DE TUBO PVC ENTERRADO (M)</t>
  </si>
  <si>
    <t>C1250</t>
  </si>
  <si>
    <t>7384 - FIXAÇÃO DE ELETROCALHA COM VERGALHÃO (TIRANTE) COM ROSCA TOTAL Ø 1/4"X1000MM (M)</t>
  </si>
  <si>
    <t>8697 - SUPORTE VERTICAL 75 X 50 MM PARA FIXAÇÃO DE ELETROCALHA METÁLICA  (UN)</t>
  </si>
  <si>
    <t>12573 - SUPORTE VERTICAL 150 X 50 MM PARA FIXAÇÃO DE ELETROCALHA METÁLICA  (UN)</t>
  </si>
  <si>
    <t>12976 - SUPORTE VERTICAL 200 X 50 MM PARA FIXAÇÃO DE ELETROCALHA METÁLICA  (UN)</t>
  </si>
  <si>
    <t xml:space="preserve">SUPORTE VERTICAL  200 X 50 MM  PARA FIXAÇÃO DE ELETROCALHA METÁLICA </t>
  </si>
  <si>
    <t>12977 - SUPORTE VERTICAL 400 X 50 MM PARA FIXAÇÃO DE ELETROCALHA METÁLICA  (UN)</t>
  </si>
  <si>
    <t xml:space="preserve">SUPORTE VERTICAL  400 X 50 MM  PARA FIXAÇÃO DE ELETROCALHA METÁLICA </t>
  </si>
  <si>
    <t>12978 - SUPORTE VERTICAL 200 X 100 MM PARA FIXAÇÃO DE ELETROCALHA METÁLICA  (UN)</t>
  </si>
  <si>
    <t>SUPORTE VERTICAL 200 X 100 MM PARA FIXAÇÃO DE ELETROCALHA METÁLICA</t>
  </si>
  <si>
    <t xml:space="preserve">SUPORTE VERTICAL  700 X 100 MM  PARA FIXAÇÃO DE ELETROCALHA METÁLICA </t>
  </si>
  <si>
    <t>3988 - SUPORTE VERTICAL 700 X 100 MM PARA FIXAÇÃO DE ELETROCALHA METÁLICA  (UN)</t>
  </si>
  <si>
    <t>629_1 - CAIXA DE PASSAGEM COM TAMPA PARAFUSADA 300X300X100MM (UN)</t>
  </si>
  <si>
    <t>629_1</t>
  </si>
  <si>
    <t>FORNECIMENTO E MONTAGEM DE RACK FECHADO TIPO ARMÁRIO 19" X 44U X 870 MM</t>
  </si>
  <si>
    <t>RACK FECHADO TIPO ARMÁRIO 19" X 44U X 870MM</t>
  </si>
  <si>
    <t>12781 - FORNECIMENTO E MONTAGEM DE RACK FECHADO TIPO ARMÁRIO 19" X 44U X 870 MM</t>
  </si>
  <si>
    <t>725 - FORNECIMENTO E INSTALAÇÃO DE SAÍDA HORIZONTAL PARA ELETRODUTO 1 1/2" (UN)</t>
  </si>
  <si>
    <t xml:space="preserve">FORNECIMENTO E INSTALAÇÃO DE SAÍDA HORIZONTAL PARA ELETRODUTO 1 1/2" </t>
  </si>
  <si>
    <t>7879 - SUPORTE VERTICAL 100 X 50 MM PARA FIXAÇÃO DE ELETROCALHA METÁLICA  (UN)</t>
  </si>
  <si>
    <t xml:space="preserve">ELETROCALHA METÁLICA PERFURADA 100 X 50 X 3000 MM </t>
  </si>
  <si>
    <t>Curva vertical 100 x 50 mm para eletrocalha metálica, com ângulo 90° (ref.: mopa ou similar)</t>
  </si>
  <si>
    <t>8443 - CURVA VERTICAL 100 X 50 MM PARA ELETROCALHA METÁLICA, COM ÂNGULO 90°  (UN)</t>
  </si>
  <si>
    <t>9533 - FLANGE DE LIGAÇÃO 100X50MM PARA ELETROCALHA METÁLICA  (UN)</t>
  </si>
  <si>
    <t>FIXAÇÃO PARA ELETRODUTOS E ELETROCALHAS</t>
  </si>
  <si>
    <t xml:space="preserve">FLANGE 400 X 50MM PARA ELETROCALHA METÁLICA </t>
  </si>
  <si>
    <t>4109 - FLANGE DE LIGAÇÃO 400X50MM PARA ELETROCALHA METÁLICA  (UN)</t>
  </si>
  <si>
    <t>8112 - Tê horizontal 400 x 50 mm com base lisa perfurada para eletrocalha metálica (ref. Mopa ou similar)</t>
  </si>
  <si>
    <t xml:space="preserve"> Tê horizontal 400 x 50mm para eletrocalha metálica (ref. Mopa ou similar)</t>
  </si>
  <si>
    <t xml:space="preserve"> Tê horizontal 100 x 50mm para eletrocalha metálica (ref. Mopa ou similar)</t>
  </si>
  <si>
    <t>8113 - Tê horizontal 100 x 50 mm com base lisa perfurada para eletrocalha metálica (ref. Mopa ou similar)</t>
  </si>
  <si>
    <t>C0627 - CAIXA DE PASSAGEM COM TAMPA PARAFUSADA 150X150X80MM (UN)</t>
  </si>
  <si>
    <t>C0627</t>
  </si>
  <si>
    <r>
      <rPr>
        <sz val="11"/>
        <rFont val="Times New Roman"/>
        <family val="1"/>
      </rPr>
      <t>16.3.3.2.2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</si>
  <si>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16.3.3.2.3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</si>
  <si>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16.3.3.2.4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</si>
  <si>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16.3.3.2.5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</si>
  <si>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16.3.3.2.6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</si>
  <si>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16.3.3.2.7</t>
    </r>
    <r>
      <rPr>
        <sz val="11"/>
        <color theme="1"/>
        <rFont val="Calibri"/>
        <family val="2"/>
        <scheme val="minor"/>
      </rPr>
      <t/>
    </r>
  </si>
  <si>
    <t>CURVA VERTICAL 200 X 50 MM PARA ELETROCALHA METÁLICA, COM ÂNGULO 90°  (UN)</t>
  </si>
  <si>
    <t>CURVA HORIZONTAL LISA P/A ELETROCALHA 400X50MM (UN)</t>
  </si>
  <si>
    <r>
      <rPr>
        <sz val="11"/>
        <rFont val="Times New Roman"/>
        <family val="1"/>
      </rPr>
      <t>16.3.3.1.2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</si>
  <si>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</si>
  <si>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16.3.3.1.4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</si>
  <si>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16.3.3.1.5</t>
    </r>
    <r>
      <rPr>
        <sz val="11"/>
        <color theme="1"/>
        <rFont val="Calibri"/>
        <family val="2"/>
        <scheme val="minor"/>
      </rPr>
      <t/>
    </r>
  </si>
  <si>
    <t>COMP-7</t>
  </si>
  <si>
    <t>Camêra de vídeo digital, monofocal, fixa, do tipo IP, 2MP, caixa de proteção contra luz solar e intemperismo IP66, Ref. GS2020IP, Giga Security ou similar</t>
  </si>
  <si>
    <t>COMP-8</t>
  </si>
  <si>
    <t>Sirene de alcance - 500m, 100A-220v, ref.Engesig ou similar</t>
  </si>
  <si>
    <t>59624 - SIRENE DE ALCANCE 500 M</t>
  </si>
  <si>
    <t>SIRENE DE ALCANCE 500 M</t>
  </si>
  <si>
    <t>59624_1 - SENSOR DE PRESENÇA INFRAVERMELHO PASSIVO. (UN)</t>
  </si>
  <si>
    <t>59624_1</t>
  </si>
  <si>
    <t>8016 - CENTRAL DE CONTROLE DE ALARME DE INTRUSÃO (UN)</t>
  </si>
  <si>
    <r>
      <rPr>
        <sz val="11"/>
        <rFont val="Times New Roman"/>
        <family val="1"/>
      </rPr>
      <t>16.3.5.3.3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</si>
  <si>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16.3.5.3.4</t>
    </r>
    <r>
      <rPr>
        <sz val="11"/>
        <color theme="1"/>
        <rFont val="Calibri"/>
        <family val="2"/>
        <scheme val="minor"/>
      </rPr>
      <t/>
    </r>
  </si>
  <si>
    <t>C1179 - ELETRODUTO DE ALUMÍNIO, INCLUSIVE CONEXÕES DE 3/4" (M)</t>
  </si>
  <si>
    <t>C1181 - ELETRODUTO DE ALUMÍNIO, INCLUSIVE CONEXÕES DE 1" (M)</t>
  </si>
  <si>
    <t>C1179</t>
  </si>
  <si>
    <t>C1181</t>
  </si>
  <si>
    <t>TÊ HORIZONTAL 75 X 50MM PARA ELETROCALHA METÁLICA</t>
  </si>
  <si>
    <t>9426 - TÊ HORIZONTAL 75 X 50 MM COM BASE LISA PERFURADA PARA ELETROCALHA METÁLICA  (UN)</t>
  </si>
  <si>
    <t>FLANGE DE LIGAÇÃO PARA ELETROCALHA METÁLICA 75 X 50MM</t>
  </si>
  <si>
    <t>11130 - LUMINÁRIA TIPO SPOT DE EMBUTIR COM LÂMPADA LED 8,5W (UN)</t>
  </si>
  <si>
    <t>C4412_1 - LUMINÁRIA LED DE EMBUTIR NO PISO, COM CORPO EM ALUMÍNIO INJETADO, BORRACHA DE VEDAÇÃO, DIFUSOR EM VIDRO TEMPERADO, IP66, COM UMA LÂMPADA LED 50 (UN)</t>
  </si>
  <si>
    <t>3836 - CAIXA EM CHAPA METÁLICA GALVANIZADA 60 X 50 X 20CM, PARA QUADRO DE DISTRIBUIÇÃO ELÉTRICA (UN)</t>
  </si>
  <si>
    <t>64021 - BARRAMENTO COBRE INTERLIGACAO 380V 2""X1.1/4"" (UN)</t>
  </si>
  <si>
    <t>3820 - RELÉ DE TEMPO 7PV00 20S 220V (UN)</t>
  </si>
  <si>
    <t>Relé de falta de fase 127-220V, ref. 3UGO2 40-OA507</t>
  </si>
  <si>
    <t>3820_1</t>
  </si>
  <si>
    <t>3820_2</t>
  </si>
  <si>
    <t>3820_1 - RELÉ FALTA DE FASE 380/220V (UN)</t>
  </si>
  <si>
    <t>3820_2 - RELÉ DE SOBRECARGA TÉRMICA PARA MOTOR (UN)</t>
  </si>
  <si>
    <t>72344_1 - CONTATOR TRIPOLAR I NOMINAL 65A - FORNECIMENTO E INSTALACAO INCLUSIVE ELETROTÉCNICO (UN)</t>
  </si>
  <si>
    <t>72344_1</t>
  </si>
  <si>
    <t>64355 - CHAVE BLINDADA 3 POSICOES 30A PARA COMANDO DE BOMBAS (UN)</t>
  </si>
  <si>
    <t>3803 - BOTÃO DE COMANDO 22,5MM (UN)</t>
  </si>
  <si>
    <t>3803_1 - SINALIZADOR LED DE COMANDO 22,5MM (UN)</t>
  </si>
  <si>
    <t>3803_1</t>
  </si>
  <si>
    <t>CAIXA EM CHAPA METÁLICA GALVANIZADA 60 X 50 X 20CM, PARA QUADRO DE DISTRIBUIÇÃO ELÉTRICA (UN)</t>
  </si>
  <si>
    <t>72343 - CONTATOR TRIPOLAR I NOMINAL 22A - FORNECIMENTO E INSTALACAO INCLUSIVE ELETROTÉCNICO (UN)</t>
  </si>
  <si>
    <t>72341_1 - CONTATOR TRIPOLAR I NOMINAL 16A - FORNECIMENTO E INSTALACAO INCLUSIVE ELETROTÉCNICO (UN)</t>
  </si>
  <si>
    <t>72341_1</t>
  </si>
  <si>
    <r>
      <rPr>
        <sz val="11"/>
        <rFont val="Times New Roman"/>
        <family val="1"/>
      </rPr>
      <t>16.3.9.4.4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</si>
  <si>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16.3.9.4.5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</si>
  <si>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16.3.9.4.6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</si>
  <si>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16.3.9.4.7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</si>
  <si>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16.3.9.4.8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</si>
  <si>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16.3.9.4.9</t>
    </r>
    <r>
      <rPr>
        <sz val="11"/>
        <color theme="1"/>
        <rFont val="Calibri"/>
        <family val="2"/>
        <scheme val="minor"/>
      </rPr>
      <t/>
    </r>
  </si>
  <si>
    <t>MICROFONE PARA PARTICIPANTES</t>
  </si>
  <si>
    <r>
      <rPr>
        <sz val="11"/>
        <rFont val="Times New Roman"/>
        <family val="1"/>
      </rPr>
      <t>16.3.10.1.2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</si>
  <si>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</si>
  <si>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16.3.10.3.3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</si>
  <si>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16.3.10.3.4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</si>
  <si>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16.3.10.3.5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</si>
  <si>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16.3.10.3.6</t>
    </r>
    <r>
      <rPr>
        <sz val="11"/>
        <color theme="1"/>
        <rFont val="Calibri"/>
        <family val="2"/>
        <scheme val="minor"/>
      </rPr>
      <t/>
    </r>
  </si>
  <si>
    <t>7903 - FORNECIMENTO E INSTALAÇAO DE HASTE DE ATERRAMENTO GALVANIZADA A FOGO 3/8"X3,45M (RE-BAR) TEL-760, EXCLISIVE CLIPS (UN)</t>
  </si>
  <si>
    <t>73781/1</t>
  </si>
  <si>
    <t xml:space="preserve">FORNECIMENTO E INSTALAÇÃO DE ELETROCALHA METÁLICA 75 X 50 X 3000 MM </t>
  </si>
  <si>
    <t>9546 - FORNECIMENTO E INSTALAÇÃO DE LEITO GALVANIZADO REFORÇADO 300 X 100 X 3000 MM</t>
  </si>
  <si>
    <t>FORNECIMENTO E INSTALAÇÃO DE LEITO GALVANIZADO REFORÇADO 300 X 100 X 3000 MM</t>
  </si>
  <si>
    <t>LEITO GALVANIZADO REFORÇADO 300 X 100 X 3000 MM</t>
  </si>
  <si>
    <t xml:space="preserve"> Luminária industrial chapa aço, blindada, prova tempo para lâmpada fluorescente 2 x 40w (tecnolux ref.tb165/24 ou similar)
</t>
  </si>
  <si>
    <t>619 - LUMINÁRIA INDUSTRIAL EM CHAPA DE AÇO, BLINDADA, A PROVA DE TEMPO, P/ LÂMPADA FLUORESCENTE 2 X 20 W (TECNOLUX - REF TB165/24 OU SIMILAR)</t>
  </si>
  <si>
    <t>7780_1 - LUMINÁRIA DE EMERGÊNCIA 2 X 55W (UN)</t>
  </si>
  <si>
    <t>7780_1</t>
  </si>
  <si>
    <t>9508_1 - CABO DE COBRE ISOLADO EPR, FLEXIVEL, 25MM², 8,7/15KV / 90º C (M)</t>
  </si>
  <si>
    <t>9508_1</t>
  </si>
  <si>
    <t>96562_1 - PERFILADO DE SEÇÃO 38X76 MM PARA SUPORTE DE LEITO PESADO, LARGURA ATE 50 MM. (M)</t>
  </si>
  <si>
    <t>96562_1</t>
  </si>
  <si>
    <t>3922 -TELA DE AÇO GALVANIZADO FIO 13BWG, COM REVESTIMENTO EM PVC, MALHA 3" (M²)</t>
  </si>
  <si>
    <t>Duto flexivel de alumínio Ø 100mm</t>
  </si>
  <si>
    <t>GERADOR</t>
  </si>
  <si>
    <t>9512_1</t>
  </si>
  <si>
    <t>ELEVADOR</t>
  </si>
  <si>
    <t>TERMINAL DE VENTILAÇÃO PVC  50MM</t>
  </si>
  <si>
    <t>TERMINAL DE VENTILAÇÃO PVC  100MM</t>
  </si>
  <si>
    <t>TAMPÃO EM CHAPA XADREZ DE FERRO GALVANIZADO DIM: 80X80CM, INCLUSIVE CANTONEIRA "L", 2" X 3/16" E JUNTAS DE VEDAÇÃO.</t>
  </si>
  <si>
    <t>FORNECIMENTO E INSTALAÇÃO DE AR CONDICIONADO TIPO SPLIT WALL 60.000 BTU'S COM COMPRESSOR SCROLL - CONTEMPLA A MÃO DE OBRA, SUPORTE E TUBULAÇÃO ATÉ 3,0M</t>
  </si>
  <si>
    <r>
      <rPr>
        <sz val="11"/>
        <rFont val="Times New Roman"/>
        <family val="1"/>
      </rPr>
      <t>16.3.11.9.2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</si>
  <si>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</si>
  <si>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</si>
  <si>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16.3.11.9.5</t>
    </r>
    <r>
      <rPr>
        <sz val="11"/>
        <color theme="1"/>
        <rFont val="Calibri"/>
        <family val="2"/>
        <scheme val="minor"/>
      </rPr>
      <t/>
    </r>
  </si>
  <si>
    <t>ESTRADO (TAPETE) DE BORRACHA ISOLANTE 15 KV - DIMENSÕES 1.000 X 1.000 X 25 MM</t>
  </si>
  <si>
    <t>12844 - ESTRADO (TAPETE) DE BORRACHA ISOLANTE 15 KV - DIMENSÕES 1.000 X 1.000 X 25 MM</t>
  </si>
  <si>
    <t>Fornecimento e instalação de ar condicionado tipo split wall 60.000 BTU's com compressor scroll - contempla a mão de obra, suporte e tubulação até 3,0m</t>
  </si>
  <si>
    <t>11103 - FORNECIMENTO E INSTALAÇÃO DE AR CONDICIONADO TIPO SPLIT WALL 60.000 BTU'S COM COMPRESSOR SCROLL - CONTEMPLA A MÃO DE OBRA, SUPORTE E TUBULAÇÃO ATÉ 3,0M</t>
  </si>
  <si>
    <t>11542 - TAMPÃO EM CHAPA XADREZ DE FERRO GALVANIZADO DIM: 80X80CM, INCLUSIVE CANTONEIRA "L", 2" X 3/16" E JUNTAS DE VEDAÇÃO.</t>
  </si>
  <si>
    <t xml:space="preserve"> Perfil Aço, Cantoneira abas iguais - 2" x 3/16" (3,63 kg/m)</t>
  </si>
  <si>
    <r>
      <rPr>
        <sz val="11"/>
        <rFont val="Times New Roman"/>
        <family val="1"/>
      </rPr>
      <t>16.3.3.2.8</t>
    </r>
    <r>
      <rPr>
        <sz val="11"/>
        <color theme="1"/>
        <rFont val="Calibri"/>
        <family val="2"/>
        <scheme val="minor"/>
      </rPr>
      <t/>
    </r>
  </si>
  <si>
    <t>Projetor para data-show, Full HD, 3D, relação de contraste 35.000:1, relação de projeção 16:9/4:3, conexões HDMI, VGA, RCA, USB, Wi-FI, narca OPTOMA, EPSON, ou simila</t>
  </si>
  <si>
    <t>12955 - PROJETOR PARA DATA-SHOW, FULL HD, 3D, RELAÇÃO DE CONTRASTE 35.000:1, RELAÇÃO DE PROJEÇÃO 16:9/4:3, CONEXÕES HDMI, VGA, RCA, USB, WI-FI, NARCA OPTOMA, EPSON, OU SIMILAR</t>
  </si>
  <si>
    <t>KIT BANDEJA EMENDA STACK 12F</t>
  </si>
  <si>
    <t>DIO A270 MODULO BASICO (BANDEJA)</t>
  </si>
  <si>
    <t>EXTENSÃO OPTICA CONECTORIZADA, MULTIMODO OM4, 1,5METRO, 6F, CONECTORES TIPO LC, COM ADAPTADORES ÓPTICOS DUPLEX</t>
  </si>
  <si>
    <t>BANDEJA PARA ACOMODACAO DE SOBRA DE CORDAO 1U CURTO (PRETO RAL9005)</t>
  </si>
  <si>
    <t>KIT SUPORTE ADAPTADOR P/ DIO A270 LC/LC (KIT 3 PEÇAS)</t>
  </si>
  <si>
    <t>COMP-9</t>
  </si>
  <si>
    <t>CORDÃO OPTICO DUPLEX OM4 MULTIMODO 50/125, LC/LC, 2,5 M (UN) - FORNECIMENTO E INSTALAÇÃO</t>
  </si>
  <si>
    <t>COMP-10</t>
  </si>
  <si>
    <t>CABO DE FIBRA ÓPTICA MULTIMODO 50/125 OM4 10 GIGABIT 6F - FORNECIMENTO E INSTALAÇÃO</t>
  </si>
  <si>
    <t>COMP-11</t>
  </si>
  <si>
    <t>COMP-9.1</t>
  </si>
  <si>
    <t>COMP-9.2</t>
  </si>
  <si>
    <t>COMP-9.3</t>
  </si>
  <si>
    <t>COMP-9.4</t>
  </si>
  <si>
    <t>COMP-9.5</t>
  </si>
  <si>
    <t>D.I.O. COMPLETO PARA 12 FIBRAS MULTIMODO, INCLUINDO ACESSÓRIOS (BANDEJAS, EXTENSÕES ÓPTICAS CONECTORIZADAS OM4, ADAPTADORES DUPLEX LC/LC)</t>
  </si>
  <si>
    <t>Brise metálico de alumínio, ref. B57, branco nieve 7000, da Hunter Douglas ou similar (material e mão de obra)</t>
  </si>
  <si>
    <t>COMP-10 - CORDÃO OPTICO DUPLEX OM4 MULTIMODO 50/125, LC/LC, 2,5 M (UN) - FORNECIMENTO E INSTALAÇÃO</t>
  </si>
  <si>
    <t>COMP-9 - D.I.O. COMPLETO PARA 12 FIBRAS MULTIMODO, INCLUINDO ACESSÓRIOS (BANDEJAS, EXTENSÕES ÓPTICAS CONECTORIZADAS OM4, ADAPTADORES DUPLEX LC/LC)</t>
  </si>
  <si>
    <t>CORDÃO OPTICO DUPLEX OM4 MULTIMODO 50/125, LC/LC, 2,5 M (UN)</t>
  </si>
  <si>
    <t>COMP-11 - CABO DE FIBRA ÓPTICA MULTIMODO 50/125 OM4 10 GIGABIT 6F - FORNECIMENTO E INSTALAÇÃO</t>
  </si>
  <si>
    <t>CABO DE FIBRA ÓPTICA MULTIMODO 50/125 OM4 10 GIGABIT 6F</t>
  </si>
  <si>
    <t>10726_1</t>
  </si>
  <si>
    <t>Projetor extra reforçado, blindado, hermético, base de alumínio fundido com movimentos horizontais, difusor em lente de cristal temperado (tecnolux - ref. bw -5/3 ou similar)</t>
  </si>
  <si>
    <t>Lâmpada led 50w de potência, luz branca bivolt, marca LLum ou similar</t>
  </si>
  <si>
    <t>C4412_1</t>
  </si>
  <si>
    <t>C1478 - INSTALAÇÃO INTEGRADA DE CANALETA NO PISO  25X30MM (UN)</t>
  </si>
  <si>
    <t>INSTALAÇÃO INTEGRADA DE CANALETA NO PISO  25X30MM (UN)</t>
  </si>
  <si>
    <t>C1478</t>
  </si>
  <si>
    <t>11908 - TRANSFORMADOR DE FORÇA À SECO 500 KVA/13.800-380/220V (FORNECIMENTO E MONTAGEM) (UN)</t>
  </si>
  <si>
    <t>MAT141050</t>
  </si>
  <si>
    <t>11908_2 - TRANSFORMADOR DE FORÇA À SECO 300 KVA/13.800-380/220V (FORNECIMENTO E MONTAGEM) (UN)</t>
  </si>
  <si>
    <t>11908_1</t>
  </si>
  <si>
    <t>9599 - ESCADA METÁLICA EM AÇO INOX (M)</t>
  </si>
  <si>
    <t>1620_2</t>
  </si>
  <si>
    <t>10832 - ELABORAÇÃO DE PROJETO "AS BUILT" DE TODA A EDIFICAÇÃO. (M2)</t>
  </si>
  <si>
    <t>9537 - LIMPEZA FINAL DA OBRA (M2)</t>
  </si>
  <si>
    <t>10726_1 - FORNECIMENTO E INSTALAÇÃO DE KIT GERADOR FOTOVOLTAICO 50,70KWP, INCLUINDO MÓDULOS, INVERSOR, CABOS, FIXAÇÃO E PROTEÇÃO (UND.)</t>
  </si>
  <si>
    <t>7223 - FORNECIMENTO E INSTALAÇÃO DE CARPETE BERBER POINT 920 DA BEAULIEU E=7MM (M²)</t>
  </si>
  <si>
    <t>FORNECIMENTO E INSTALAÇÃO DE CARPETE BERBER POINT 920 DA BEAULIEU E=7MM</t>
  </si>
  <si>
    <t>EXAUSTOR MULTIVAC MOD MURO 150A, VAZÃO 70 M3/H, MOTOR POT. 12W 220V/1Ø/60HZ, COM SISTEMA INTERTRAVADO COM INTERRUPTOR DE LUZ</t>
  </si>
  <si>
    <t>C4784</t>
  </si>
  <si>
    <t>C4781</t>
  </si>
  <si>
    <t xml:space="preserve">DETECTOR DE METAIS, TIPO PORTAL, MICROPROCESSADO </t>
  </si>
  <si>
    <t>16.3.1.1.6</t>
  </si>
  <si>
    <t>16.3.1.1.7</t>
  </si>
  <si>
    <t>16.3.1.1.8</t>
  </si>
  <si>
    <t>16.3.1.1.12</t>
  </si>
  <si>
    <t>16.3.1.1.14</t>
  </si>
  <si>
    <t>16.3.1.1.15</t>
  </si>
  <si>
    <t>16.3.1.1.16</t>
  </si>
  <si>
    <t>16.3.1.1.17</t>
  </si>
  <si>
    <t>16.3.1.1.21</t>
  </si>
  <si>
    <t>16.3.1.1.22</t>
  </si>
  <si>
    <t>16.3.1.1.24</t>
  </si>
  <si>
    <t>16.3.1.1.25</t>
  </si>
  <si>
    <t>16.3.1.1.26</t>
  </si>
  <si>
    <t>16.3.1.1.35</t>
  </si>
  <si>
    <t>16.3.1.1.36</t>
  </si>
  <si>
    <t>16.3.1.1.37</t>
  </si>
  <si>
    <t>16.3.1.1.44</t>
  </si>
  <si>
    <r>
      <rPr>
        <sz val="11"/>
        <rFont val="Times New Roman"/>
        <family val="1"/>
      </rPr>
      <t>16.3.9.4.10</t>
    </r>
    <r>
      <rPr>
        <sz val="11"/>
        <color theme="1"/>
        <rFont val="Calibri"/>
        <family val="2"/>
        <scheme val="minor"/>
      </rPr>
      <t/>
    </r>
  </si>
  <si>
    <t>COMP-12</t>
  </si>
  <si>
    <r>
      <rPr>
        <sz val="11"/>
        <rFont val="Times New Roman"/>
        <family val="1"/>
      </rPr>
      <t>13.4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</si>
  <si>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</si>
  <si>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</si>
  <si>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</si>
  <si>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</si>
  <si>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</si>
  <si>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</si>
  <si>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</si>
  <si>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</si>
  <si>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</si>
  <si>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13.14</t>
    </r>
    <r>
      <rPr>
        <sz val="11"/>
        <color theme="1"/>
        <rFont val="Calibri"/>
        <family val="2"/>
        <scheme val="minor"/>
      </rPr>
      <t/>
    </r>
  </si>
  <si>
    <t>14.5</t>
  </si>
  <si>
    <r>
      <rPr>
        <sz val="11"/>
        <rFont val="Times New Roman"/>
        <family val="1"/>
      </rPr>
      <t>16.3.3.2.9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</si>
  <si>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16.3.3.2.10</t>
    </r>
    <r>
      <rPr>
        <sz val="11"/>
        <color theme="1"/>
        <rFont val="Calibri"/>
        <family val="2"/>
        <scheme val="minor"/>
      </rPr>
      <t/>
    </r>
  </si>
  <si>
    <t>16.2.1.2.4</t>
  </si>
  <si>
    <t>16.2.1.2.5</t>
  </si>
  <si>
    <t>16.2.1.2.6</t>
  </si>
  <si>
    <t>16.2.1.2.7</t>
  </si>
  <si>
    <t>16.2.1.2.8</t>
  </si>
  <si>
    <t>16.2.1.2.9</t>
  </si>
  <si>
    <t>16.2.1.2.10</t>
  </si>
  <si>
    <t>16.2.1.2.11</t>
  </si>
  <si>
    <t>16.2.1.2.12</t>
  </si>
  <si>
    <t>16.2.1.2.13</t>
  </si>
  <si>
    <t>16.2.1.2.14</t>
  </si>
  <si>
    <t>16.2.1.2.15</t>
  </si>
  <si>
    <t>16.2.1.2.16</t>
  </si>
  <si>
    <t>16.2.1.2.17</t>
  </si>
  <si>
    <t>16.2.1.2.18</t>
  </si>
  <si>
    <r>
      <rPr>
        <sz val="11"/>
        <rFont val="Times New Roman"/>
        <family val="1"/>
      </rPr>
      <t>16.1.1.5.3</t>
    </r>
    <r>
      <rPr>
        <sz val="11"/>
        <color theme="1"/>
        <rFont val="Calibri"/>
        <family val="2"/>
        <scheme val="minor"/>
      </rPr>
      <t/>
    </r>
  </si>
  <si>
    <t>BOMBA CENTRÍFUGA, TRIFÁSICA, 1,5 CV OU 1,48 HP - FORNECIMENTO E INSTALAÇÃO</t>
  </si>
  <si>
    <t>FORNECIMENTO E ASSENTAMENTO DE TUBO CORRUGADO PAREDE DUPLA PEAD, D= 600MM (24"), P/SISTEMAS DRENAGEM</t>
  </si>
  <si>
    <t xml:space="preserve">TUBO CORRUGADO PAREDE DUPLA PEAD, D= 800MM P/SISTEMAS DRENAGEM, </t>
  </si>
  <si>
    <t>10052 - FORNECIMENTO E ASSENTAMENTO DE TUBO CORRUGADO PAREDE DUPLA PEAD, D= 800MM, P/SISTEMAS DRENAGEM  (M)</t>
  </si>
  <si>
    <t>10049 - FORNECIMENTO E ASSENTAMENTO DE TUBO CORRUGADO PAREDE DUPLA PEAD, D= 450MM (18"), P/SISTEMAS DRENAGEM  (M)</t>
  </si>
  <si>
    <t>73781/1 - MUFLA TERMINAL PRIMARIA UNIPOLAR USO INTERNO PARA CABO 25/120MM2, ISOLACAO 15/25KV EM EPR - BORRACHA DE SILICONE. FORNECIMENTO E INSTALACAO. (UN)</t>
  </si>
  <si>
    <t>MUFLA TERMINAL PRIMARIA UNIPOLAR USO INTERNO PARA CABO 25/120MM2 ISOLACAO 15/25KV EM EPR - BORRACHA DE SILICONE</t>
  </si>
  <si>
    <t>MUFLA TERMINAL PRIMARIA UNIPOLAR USO INTERNO PARA CABO 25/120MM2, ISOLACAO 15/25KV EM EPR - BORRACHA DE SILICONE. FORNECIMENTO E INSTALACAO.</t>
  </si>
  <si>
    <r>
      <rPr>
        <sz val="11"/>
        <rFont val="Times New Roman"/>
        <family val="1"/>
      </rPr>
      <t>16.3.11.5.5</t>
    </r>
    <r>
      <rPr>
        <sz val="11"/>
        <color theme="1"/>
        <rFont val="Calibri"/>
        <family val="2"/>
        <scheme val="minor"/>
      </rPr>
      <t/>
    </r>
  </si>
  <si>
    <t xml:space="preserve">DISJUNTOR TERMOMAGNÉTICO TRIPOLAR 63 A </t>
  </si>
  <si>
    <t xml:space="preserve">DISJUNTOR TERMOMAGNÉTICO TRIPOLAR 100 A </t>
  </si>
  <si>
    <t>DISJUNTOR TERMOMAGNÉTICO TRIPOLAR , CORRENTE NOMINAL DE 150A - FORNECIMENTO E INSTALAÇÃO. AF_10/2020</t>
  </si>
  <si>
    <t>TELA DE PROJEÇÃO RETRÁTIL 2,0X1,5M</t>
  </si>
  <si>
    <t>COMP-13</t>
  </si>
  <si>
    <t>TELA DE PROJEÇÃO RETRÁTIL ELÉTRICA 2,0X1,5M</t>
  </si>
  <si>
    <t>Câmera IP Fisheye PoE 5 Megapixel VIP 5500 F Intelbras OU SIMILAR</t>
  </si>
  <si>
    <t>CÂMERA IP FISHEYE POE 5 MEGAPIXEL VIP 5500 F INTELBRAS OU SIMILAR</t>
  </si>
  <si>
    <t>COMP-14</t>
  </si>
  <si>
    <t>CONCRETO FCK = 30MPA, TRAÇO 1:2,1:2,5 (CIMENTO/ AREIA MÉDIA/ BRITA 1) - PREPARO MECÂNICO COM BETONEIRA 400 L</t>
  </si>
  <si>
    <r>
      <rPr>
        <sz val="11"/>
        <rFont val="Times New Roman"/>
        <family val="1"/>
      </rPr>
      <t>4.3.10</t>
    </r>
    <r>
      <rPr>
        <sz val="11"/>
        <color theme="1"/>
        <rFont val="Calibri"/>
        <family val="2"/>
        <scheme val="minor"/>
      </rPr>
      <t/>
    </r>
  </si>
  <si>
    <t>91332_1</t>
  </si>
  <si>
    <t>PORTA DE MADEIRA FRISADA, SEMI-OCA (LEVE OU MÉDIA), PADRÃO MÉDIO, 80X210CM, ESPESSURA DE 3,5CM, ITENS INCLUSOS: DOBRADIÇAS, MONTAGEM E INSTALAÇÃO DO BATENTE, FECHADURA COM EXECUÇÃO DO FURO E ACABAMENTO EM MELAMINA COR CARVALHO- FORNECIMENTO E INSTALAÇÃO. (C01) (UN)</t>
  </si>
  <si>
    <t>91332_2</t>
  </si>
  <si>
    <t>PORTA DE MADEIRA FRISADA, SEMI-OCA (LEVE OU MÉDIA), PADRÃO MÉDIO, 80X210CM, ESPESSURA DE 3,5CM, ITENS INCLUSOS: DOBRADIÇAS, MONTAGEM E INSTALAÇÃO DO BATENTE, FECHADURA COM EXECUÇÃO DO FURO E ACABAMENTO MELAMÍNICO, COM CHAPA DE AÇO INOX NA BASE DA PORTA - FORNECIMENTO E INSTALAÇÃO. (C02) (UN)</t>
  </si>
  <si>
    <t>FORNECIMENTO E INSTALAÇÃO DE VOICE PAINEL 50 PORTAS</t>
  </si>
  <si>
    <t xml:space="preserve">VOICE PAINEL 50 PORTAS </t>
  </si>
  <si>
    <t>CABO TELEFÔNICO CI-50 50 PARES INSTALADO EM ENTRADA DE EDIFICAÇÃO - FORNECIMENTO E INSTALAÇÃO</t>
  </si>
  <si>
    <t>CABO ELETRÔNICO CATEGORIA 6, INSTALADO EM EDIFICAÇÃO INSTITUCIONAL - FORNECIMENTO E INSTALAÇÃO</t>
  </si>
  <si>
    <t>PATCH PANEL 48 PORTAS, CATEGORIA 6 - FORNECIMENTO E INSTALAÇÃO</t>
  </si>
  <si>
    <t>QUADRO DE DISTRIBUIÇÃO PARA TELEFONE N.5, 80X80X12CM EM CHAPA METALICA, SEM ACESSORIOS, PADRAO TELEBRAS, FORNECIMENTO E INSTALAÇÃO</t>
  </si>
  <si>
    <t>LUMINÁRIA TIPO CALHA, DE SOBREPOR, COM 2 LÂMPADAS TUBULARES LED DE 18 W - FORNECIMENTO E INSTALAÇÃO</t>
  </si>
  <si>
    <t>CORDOALHA DE COBRE NU 35 MM², NÃO ENTERRADA, COM ISOLADOR - FORNECIMENTO E INSTALAÇÃO</t>
  </si>
  <si>
    <t>CAPTOR TIPO FRANKLIN PARA SPDA - FORNECIMENTO E INSTALAÇÃO</t>
  </si>
  <si>
    <t>CAIXA DE INSPEÇÃO PARA ATERRAMENTO, CIRCULAR, EM POLIETILENO, DIÂMETRO INTERNO = 0,3 M</t>
  </si>
  <si>
    <t>HASTE DE ATERRAMENTO 5/8''  PARA SPDA - FORNECIMENTO E INSTALAÇÃO</t>
  </si>
  <si>
    <t>CORDOALHA DE COBRE NU 50 MM², ENTERRADA, SEM ISOLADOR - FORNECIMENTO E INSTALAÇÃO</t>
  </si>
  <si>
    <t>MULTIKIT DE DERIVAÇÃO PARA SISTEMA VRV - FORNECIMENTO E INSTALAÇÃO</t>
  </si>
  <si>
    <t>779329 - MULTIKIT DE DERIVAÇÃO PARA SISTEMA VRV - FORNECIMENTO E INSTALAÇÃO</t>
  </si>
  <si>
    <t>C4785 - REDE FRIGORÍGENA C/ TUBO DE COBRE 1 1/8", ISOLADO COM BORRACHA ELASTOMÉRICA, SUSTENTAÇÃO, SOLDA E LIMPEZA (M)</t>
  </si>
  <si>
    <t>Tubo de cobre flexível Ø 1 1/8" - 28mm, e= 1mm</t>
  </si>
  <si>
    <t>C4785</t>
  </si>
  <si>
    <t>Tubo de cobre flexível Ø 1" - 25,40mm, e= 1mm</t>
  </si>
  <si>
    <t>C4781 - REDE FRIGORÍGENA C/ TUBO DE COBRE 7/8" FLEXÍVEL, ISOLADO COM BORRACHA ELASTOMÉRICA, SUSTENTAÇÃO, SOLDA E LIMPEZA (M)</t>
  </si>
  <si>
    <t>C4784 - REDE FRIGORÍGENA C/ TUBO DE COBRE 1", ISOLADO COM BORRACHA ELASTOMÉRICA, SUSTENTAÇÃO, SOLDA E LIMPEZA (M)</t>
  </si>
  <si>
    <t>Tubo de cobre flexível Ø 7/8" - 22,23mm, e= 1mm</t>
  </si>
  <si>
    <t xml:space="preserve">GÁS REFRIGERANTE </t>
  </si>
  <si>
    <t xml:space="preserve">Gás refrigerante </t>
  </si>
  <si>
    <t>Isolamento esponjoso elastomérico para tubo de cobre 3/4"</t>
  </si>
  <si>
    <t xml:space="preserve">UNID EVAPORADORA VRV TIPO CASSETE 5,0HP </t>
  </si>
  <si>
    <t xml:space="preserve">MULTIKIT PARA VRV - INSTALADO
</t>
  </si>
  <si>
    <r>
      <rPr>
        <sz val="11"/>
        <rFont val="Times New Roman"/>
        <family val="1"/>
      </rPr>
      <t>16.4.1.3.3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</si>
  <si>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</si>
  <si>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</si>
  <si>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</si>
  <si>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</si>
  <si>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</si>
  <si>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</si>
  <si>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</si>
  <si>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</si>
  <si>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</si>
  <si>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16.4.1.3.13</t>
    </r>
    <r>
      <rPr>
        <sz val="11"/>
        <color theme="1"/>
        <rFont val="Calibri"/>
        <family val="2"/>
        <scheme val="minor"/>
      </rPr>
      <t/>
    </r>
  </si>
  <si>
    <t>COMP-15</t>
  </si>
  <si>
    <t>FORNECIMENTO E INSTALAÇÃO DE NO-BREAK 110/220 V, 2.2 KVA COM 06 SAÍDAS 110 V AC</t>
  </si>
  <si>
    <t>FORNECIMENTO E INSTALAÇÃO DE NO-BREAK 110/220V, 2.2 KVA COM 06 SAIDAS 110V AC</t>
  </si>
  <si>
    <t>NO-BREAK 110/220V 2.2KVA COM 05 SAIDA 110 AC</t>
  </si>
  <si>
    <t>LETRA AÇO INOX ESCOVADO/POLIDO H = 10 CM - INSTALADO</t>
  </si>
  <si>
    <t>LETRA AÇO INOX ESCOVADO/POLIDO H = 30 CM - INSTALADO</t>
  </si>
  <si>
    <t>LETRA AÇO INOX ESCOVADO/POLIDO H = 50 CM - INSTALADO</t>
  </si>
  <si>
    <r>
      <rPr>
        <sz val="11"/>
        <rFont val="Times New Roman"/>
        <family val="1"/>
      </rPr>
      <t>16.3.7.1.5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</si>
  <si>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16.3.7.1.6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</si>
  <si>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16.3.7.1.7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</si>
  <si>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</si>
  <si>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</si>
  <si>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</si>
  <si>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</si>
  <si>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</si>
  <si>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</si>
  <si>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</si>
  <si>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</si>
  <si>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</si>
  <si>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16.3.2.1.15</t>
    </r>
    <r>
      <rPr>
        <sz val="11"/>
        <color theme="1"/>
        <rFont val="Calibri"/>
        <family val="2"/>
        <scheme val="minor"/>
      </rPr>
      <t/>
    </r>
  </si>
  <si>
    <t>TRANSCEIVER CISCO SFP+ 10GBASE-SR OU SIMILAR EQUIVALENTE</t>
  </si>
  <si>
    <t>Projetor à LED, IP 67, perfil de alumínio etrudado, com 36 LED's de alta potência (1,2W/LED),com lentes de abertura de 30°, ref. CHROMADEL RGB ou similar</t>
  </si>
  <si>
    <t>PROJETOR À LED, IP 67, PERFIL DE ALUMÍNIO ETRUDADO, COM 36 LED'S DE ALTA POTÊNCIA (1,2W/LED),COM LENTES DE ABERTURA DE 30°, REF. CHROMADEL RGB OU SIMILAR</t>
  </si>
  <si>
    <t>TRIBUNAL DE JUSTIÇA DO PIAUÍ - SUPERINTENDÊNCIA DE ENGENHARIA E ARQUITETURA</t>
  </si>
  <si>
    <t>PREÇO</t>
  </si>
  <si>
    <t xml:space="preserve">PERFIL "U" DE ACO LAMINADO, "U" 152 X 15,6 </t>
  </si>
  <si>
    <t xml:space="preserve">MONTADOR DE ESTRUTURA METÁLICA COM ENCARGOS COMPLEMENTARES </t>
  </si>
  <si>
    <t xml:space="preserve">SERVENTE COM ENCARGOS COMPLEMENTARES 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</si>
  <si>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</si>
  <si>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 (M2)</t>
  </si>
  <si>
    <t>COMP-5</t>
  </si>
  <si>
    <t>COMP-6</t>
  </si>
  <si>
    <t>COMP-16</t>
  </si>
  <si>
    <t>SWITCH TIPO 1 - CISCO CATALYST C9200L-48P-4X-E OU SIMILAR EQUIVALENTE</t>
  </si>
  <si>
    <t>SWITCH TIPO 2 - CISCO CATALYST C9200L-48T-4X-E OU SIMILAR EQUIVALENTE</t>
  </si>
  <si>
    <t>SWITCH TIPO 3 -  CISCO CATALYST C9200L-48T-4G-E OU SIMILAR EQUIVALENTE</t>
  </si>
  <si>
    <t>COMP-17</t>
  </si>
  <si>
    <t xml:space="preserve">SWITCH TIPO 2 - CISCO CATALYST C9200L-48T-4X-E OU SIMILAR EQUIVALENTE </t>
  </si>
  <si>
    <t xml:space="preserve">SWITCH TIPO 3 -  CISCO CATALYST C9200L-48T-4G-E OU SIMILAR EQUIVALENTE </t>
  </si>
  <si>
    <t>LUMINÁRIA ARANDELA TIPO TARTARUGA, COM GRADE, DE SOBREPOR, COM 1 LÂMPADA 15 W - FORNECIMENTO E INSTALAÇÃO</t>
  </si>
  <si>
    <t>1620_2 - LETRA AÇO INOX ESCOVADO/POLIDO H = 30 CM - INSTALADO</t>
  </si>
  <si>
    <t>74106/1 - IMPERMEABILIZACAO DE ESTRUTURAS ENTERRADAS, COM TINTA ASFALTICA, DUAS DEMAOS. (M2)</t>
  </si>
  <si>
    <t>73753/1 - IMPERMEABILIZACAO DE SUPERFICIE COM MANTA ASFALTICA PROTEGIDA COM FILME DE ALUMINIO GOFRADO (DE ESPESSURA 0,8MM), INCLUSA APLICACAO DE EMULSAO ASFALTICA, E=3MM. (CALHAS E LAJE DA CAIXA DÁGUA) (M2)</t>
  </si>
  <si>
    <t>Fornecimento e instalação de catracas eletrônicas, com leitor de proximidade, da Prime ou similar, inclusive frete, treinamento, software, cartões de proximidade e cofre coletor</t>
  </si>
  <si>
    <t>73963/9 - POCO DE VISITA PARA REDE DE ESG. SANIT., EM ANEIS DE CONCRETO, DIÂMETRO = 110CM, PROF = 170CM, EXCLUINDO TAMPAO FERRO FUNDIDO. (UN)</t>
  </si>
  <si>
    <t>74166/2 - CAIXA DE INSPECAO EM ANEL DE CONCRETO PRE MOLDADO, COM 950MM DE ALTURA TOTAL. ANEIS COM ESP=50MM, DIAM.=600MM. EXCLUSIVE TAMPAO E ESCAVACAO - FORNECIMENTO E INSTALACAO (UN)</t>
  </si>
  <si>
    <t>Curva horizontal 75 x 50 mm para eletrocalha metálica (ref.: mopa ou similar)</t>
  </si>
  <si>
    <t>FORNECIMENTO E INSTALAÇÃO DE ELETROCALHA METÁLICA 75 X 50 X 3000 MM (UN)</t>
  </si>
  <si>
    <r>
      <rPr>
        <sz val="11"/>
        <rFont val="Times New Roman"/>
        <family val="1"/>
      </rPr>
      <t>16.3.2.2.6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</si>
  <si>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</si>
  <si>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</si>
  <si>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</si>
  <si>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</si>
  <si>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</si>
  <si>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</si>
  <si>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</si>
  <si>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</si>
  <si>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</si>
  <si>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</si>
  <si>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</si>
  <si>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</si>
  <si>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16.3.2.2.19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</si>
  <si>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</si>
  <si>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</si>
  <si>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</si>
  <si>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</si>
  <si>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</si>
  <si>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</si>
  <si>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</si>
  <si>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</si>
  <si>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</si>
  <si>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16.3.2.2.29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</si>
  <si>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16.3.2.2.30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</si>
  <si>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16.3.2.2.31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</si>
  <si>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16.3.2.2.34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</si>
  <si>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16.3.2.2.35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</si>
  <si>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16.3.2.2.37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</si>
  <si>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16.3.2.2.38</t>
    </r>
    <r>
      <rPr>
        <sz val="11"/>
        <color theme="1"/>
        <rFont val="Calibri"/>
        <family val="2"/>
        <scheme val="minor"/>
      </rPr>
      <t/>
    </r>
  </si>
  <si>
    <t>63988 - FORNECIMENTO E INSTALAÇÃO DE ELETROCALHA PERFURADA 400 X 50 X 3000 MM  (UN)</t>
  </si>
  <si>
    <t>6913 - FLANGE DE LIGAÇÃO PARA ELETROCALHA METÁLICA 75 X 50MM</t>
  </si>
  <si>
    <t>762 - FORNECIMENTO E INSTALAÇÃO DE ELETROCALHA PERFURADA 100 X 50 X 3000 MM  (UN)</t>
  </si>
  <si>
    <t>763 - FORNECIMENTO E INSTALAÇÃO DE ELETROCALHA PERFURADA 200 X 100 X 3000 MM  (UN)</t>
  </si>
  <si>
    <t xml:space="preserve">UNID EVAPORADORA VRV TIPO CASSETE 4,0HP </t>
  </si>
  <si>
    <t xml:space="preserve">UNID EVAPORADORA VRV TIPO TETO 2,5HP 
</t>
  </si>
  <si>
    <t xml:space="preserve">UNID EVAPORADORA VRV TIPO PAREDE 1,0HP 
</t>
  </si>
  <si>
    <t>REVESTIMENTO CERÂMICO 29,5X29,5CM COM EFEITO 3D COM COLA PAREDES SOBRE EMBOCO (CONFORME ESPECIFICAÇÃO DE PROJETO)</t>
  </si>
  <si>
    <t>TUBO/DUTO ALUMINIO 100X5000</t>
  </si>
  <si>
    <r>
      <rPr>
        <sz val="11"/>
        <rFont val="Times New Roman"/>
        <family val="1"/>
      </rPr>
      <t>16.1.1.5.4</t>
    </r>
    <r>
      <rPr>
        <sz val="11"/>
        <color theme="1"/>
        <rFont val="Calibri"/>
        <family val="2"/>
        <scheme val="minor"/>
      </rPr>
      <t/>
    </r>
  </si>
  <si>
    <t>CAIXA D'AGUA DE POLIETILENO ALTA DENSIDADE, 3.000 LITROS</t>
  </si>
  <si>
    <t>Caixa d'agua de polietileno alta densidade, 3.000 litros</t>
  </si>
  <si>
    <t>91338/1</t>
  </si>
  <si>
    <t>PORTA DE ALUMÍNIO ANODIZADO DE ABRIR DE 1,60X2,10M COM DUAS FOLHAS NA COR BRANCA, COM GUARNIÇÃO E VIDRO TRANSPARENTE, FIXAÇÃO COM PARAFUSOS - FORNECIMENTO E INSTALAÇÃO. (C03) (UN)</t>
  </si>
  <si>
    <t>90844_1</t>
  </si>
  <si>
    <t>90844_2</t>
  </si>
  <si>
    <t>90844_1 - PORTA DE ABRIR, DUAS FOLHAS E DIMENSÃO 1,72X2,12M. COM PUXADOR ANTIPÂNICO ROSETA INOX, ASSENTADA EM ALVENARIA.(C05) (UN)</t>
  </si>
  <si>
    <t>90844_2 - PORTA DE ABRIR, DUAS FOLHAS E DIMENSÃO 1,80X2,60M. COM PUXADOR ANTI-PÂNICO ROSETA INOX, ASSENTADA EM ALVENARIA.(C06) (UN)</t>
  </si>
  <si>
    <t>90844_3</t>
  </si>
  <si>
    <t>90844_3 - PORTA DE ABRIR, DUAS FOLHAS E DIMENSÃO 1,50X2,10M. COM PUXADOR ANTI-PÂNICO ROSETA INOX, ASSENTADA EM ALVENARIA.(C08) (UN)</t>
  </si>
  <si>
    <t>85010_1</t>
  </si>
  <si>
    <t>85010_1 - CORTINA DE VIDRO COM BASCULANTE E VEDAÇÃO COM VIDRO FUMÊ (REF.JC4, JC5, JC15, JC16, JC14) (M2)</t>
  </si>
  <si>
    <t>REVESTIMENTO CERÂMICO PARA PISO COM PLACAS TIPO PORCELANATO DE DIMENSÕES 60X60 CM POLIDO</t>
  </si>
  <si>
    <t>REVESTIMENTO CERÂMICO PARA PISO COM PLACAS TIPO PORCELANATO DE DIMENSÕES 60X60 CM NATURAL</t>
  </si>
  <si>
    <t xml:space="preserve"> Rejunte colorido flexivel para revestimentos cerâmicos</t>
  </si>
  <si>
    <t>Cerâmica 60 x 60 cm, porcelanato, natural, retificado, Portobello, linha pietra di firenze, grigio ou similar</t>
  </si>
  <si>
    <t>2,09</t>
  </si>
  <si>
    <t>10,00</t>
  </si>
  <si>
    <t>16,77</t>
  </si>
  <si>
    <t>24,27</t>
  </si>
  <si>
    <t>19,75</t>
  </si>
  <si>
    <t>8,70</t>
  </si>
  <si>
    <t>7,85</t>
  </si>
  <si>
    <t>4,51</t>
  </si>
  <si>
    <t>Letras aço escovado 50 x 50cm</t>
  </si>
  <si>
    <t>Letras aço inox escovado/polido 10 x 10cm</t>
  </si>
  <si>
    <t>PLACA DE INAUGURAÇÃO DE OBRA EM ALUMÍNIO 0,60 X 0,80 M</t>
  </si>
  <si>
    <t>Argamassa cimento e areia traço t-1 (1:3) - 1 saco cimento 50kg / 3 padiolas areia dim. 0.35 x 0.45 x 0.23 m - Confecção mecânica e transporte</t>
  </si>
  <si>
    <t>Placa de inauguração em alumínio fundido medindo 0,60 x 0,80m</t>
  </si>
  <si>
    <r>
      <rPr>
        <sz val="11"/>
        <rFont val="Times New Roman"/>
        <family val="1"/>
      </rPr>
      <t>20.3.4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</si>
  <si>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20.3.5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</si>
  <si>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20.3.6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</si>
  <si>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20.3.7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</si>
  <si>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20.3.8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</si>
  <si>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20.3.9</t>
    </r>
    <r>
      <rPr>
        <sz val="11"/>
        <color theme="1"/>
        <rFont val="Calibri"/>
        <family val="2"/>
        <scheme val="minor"/>
      </rPr>
      <t/>
    </r>
  </si>
  <si>
    <t>PLANTIO DE GRAMA EM PLACAS</t>
  </si>
  <si>
    <t>COMPOSIÇÃO DE CUSTOS</t>
  </si>
  <si>
    <t>CÂMERA IP, 2MP, POE - INSTALADA</t>
  </si>
  <si>
    <t>COMP-7 - CÂMERA IP, 2MP, POE - INSTALADA</t>
  </si>
  <si>
    <t xml:space="preserve">DISJUNTOR TERMOMAGNÉTICO TRIPOLAR 125 A </t>
  </si>
  <si>
    <t>BARRAMENTO DE COBRE 2''X1.1/4''</t>
  </si>
  <si>
    <t xml:space="preserve">SWITCH TIPO 1 - CISCO CATALYST C9200L-48P-4X-E OU SIMILAR EQUIVALENTE </t>
  </si>
  <si>
    <t>Estrado ( tapete ) de borracha isolante 15 kv - dimensões 1.000x1.000x25mm</t>
  </si>
  <si>
    <t>70473 - TUBO/DUTO ALUMINIO 100X5000 (M)</t>
  </si>
  <si>
    <r>
      <rPr>
        <sz val="11"/>
        <rFont val="Times New Roman"/>
        <family val="1"/>
      </rPr>
      <t>9.3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</si>
  <si>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9.4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</si>
  <si>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9.5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</si>
  <si>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8.1.8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</si>
  <si>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2.1.10</t>
    </r>
    <r>
      <rPr>
        <sz val="11"/>
        <color theme="1"/>
        <rFont val="Calibri"/>
        <family val="2"/>
        <scheme val="minor"/>
      </rPr>
      <t/>
    </r>
  </si>
  <si>
    <t>74125/2</t>
  </si>
  <si>
    <t xml:space="preserve"> PLACA INDICATIVA EM ACRÍLICO E=2MM, EM BRAILLE, COM ESFERAS EM INOX E TEXTO EM ALTO RÊLEVO, DIM.: 8 X 28 CM, FORNECIMENTO E INSTAÇÃO</t>
  </si>
  <si>
    <t xml:space="preserve"> Placa indicativa em acrílico e=2mm, em braille, com esferas em inox e texto em alto rêlevo, dim.: 8 x 28 cm, fornecimento e instação</t>
  </si>
  <si>
    <r>
      <rPr>
        <sz val="11"/>
        <rFont val="Times New Roman"/>
        <family val="1"/>
      </rPr>
      <t>20.3.10</t>
    </r>
    <r>
      <rPr>
        <sz val="11"/>
        <color theme="1"/>
        <rFont val="Calibri"/>
        <family val="2"/>
        <scheme val="minor"/>
      </rPr>
      <t/>
    </r>
  </si>
  <si>
    <t>PLACA INDICATIVA EM ACRÍLICO E=2MM, EM BRAILLE, COM ESFERAS EM INOX E TEXTO EM ALTO RÊLEVO, DIM.: 8 X 28 CM, FORNECIMENTO E INSTAÇÃO</t>
  </si>
  <si>
    <t>Caixa d'agua fibra vidro 20.000 litros - Fortlev-Torres (ou similar)</t>
  </si>
  <si>
    <r>
      <rPr>
        <sz val="11"/>
        <rFont val="Times New Roman"/>
        <family val="1"/>
      </rPr>
      <t>16.1.1.2.14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</si>
  <si>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16.1.1.2.15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</si>
  <si>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16.1.1.2.16</t>
    </r>
    <r>
      <rPr>
        <sz val="11"/>
        <color theme="1"/>
        <rFont val="Calibri"/>
        <family val="2"/>
        <scheme val="minor"/>
      </rPr>
      <t/>
    </r>
  </si>
  <si>
    <t>94570_3 - VITRINE EM ALUMÍNIO NA COR BRANCA E VIDRO TEMPERADO DE 6MM TRANSPARENTE SOBRE CONTRAMARCO. FORNECIMENTO E INSTALAÇÃO (REF.JC7) (M2)</t>
  </si>
  <si>
    <t>FORRO EM DRYWALL, PARA AMBIENTES COMERCIAIS, INCLUSIVE ESTRUTURA DE FIXAÇÃO</t>
  </si>
  <si>
    <t>DETECTOR PORTAL DE ALTA SENSIBILIDADE REF. AS360T DA MINEORO OU SIMILAR</t>
  </si>
  <si>
    <t>Detector portal de alta sensibilidade ref. as360t da mineoro ou similar</t>
  </si>
  <si>
    <r>
      <rPr>
        <sz val="11"/>
        <rFont val="Times New Roman"/>
        <family val="1"/>
      </rPr>
      <t>5.14</t>
    </r>
  </si>
  <si>
    <t>73909/001</t>
  </si>
  <si>
    <t>DIVISÓRIA ARTICULADA ACÚSTICA</t>
  </si>
  <si>
    <t>MONTAGEM E DESMONTAGEM DE FÔRMA DE VIGA, ESCORAMENTO METÁLICO, PÉ-DIREITO SIMPLES, EM CHAPA DE MADEIRA RESINADA, 2 UTILIZAÇÕES.  (INCLUSO ESCORAMENTO)</t>
  </si>
  <si>
    <t>MONTAGEM E DESMONTAGEM DE FÔRMA PARA ESCADAS, COM 2 LANCES, EM MADEIRA SERRADA, 2 UTILIZAÇÕES. ESCORAS INCLÚSAS</t>
  </si>
  <si>
    <t>PORTA DE MADEIRA FRISADA, SEMI-OCA (LEVE OU MÉDIA), PADRÃO MÉDIO, 80X210CM, ESPESSURA DE 3,5CM, ITENS INCLUSOS: DOBRADIÇAS, MONTAGEM E INSTALAÇÃO DO BATENTE, COM FECHADURA E ACABAMENTO EM MELAMINA CARVALHO- FORNECIMENTO E INSTALAÇÃO. (E01)</t>
  </si>
  <si>
    <t>PORTA DE MADEIRA FRISADA, SEMI-OCA (LEVE OU MÉDIA), PADRÃO MÉDIO, 80X210CM, ESPESSURA DE 3,5CM, ITENS INCLUSOS: DOBRADIÇAS, MONTAGEM E INSTALAÇÃO DO BATENTE, FECHADURA COM EXECUÇÃO DO FURO E ACABAMENTO MELAMÍNICO, COM CHAPA DE AÇO INOX NA BASE DA PORTA - FORNECIMENTO E INSTALAÇÃO. (E02)</t>
  </si>
  <si>
    <r>
      <rPr>
        <sz val="11"/>
        <rFont val="Times New Roman"/>
        <family val="1"/>
      </rPr>
      <t>7.3</t>
    </r>
    <r>
      <rPr>
        <sz val="11"/>
        <color theme="1"/>
        <rFont val="Calibri"/>
        <family val="2"/>
        <scheme val="minor"/>
      </rPr>
      <t/>
    </r>
  </si>
  <si>
    <t>8937_11</t>
  </si>
  <si>
    <t>FORNECIMENTO E INSTALAÇÃO DE PORTA EM MADEIRA DE ABRIR ACÚSTICA, 80X210CM, UMA FOLHA, ISOLAÇÃO 34DB, DOBRADIÇAS INOX, BATENTE 10CM E ALIZAR FIXO REGULÁVEL, ACABAMENTO MELAMÍNICO NA COR CARVALHO(E03)</t>
  </si>
  <si>
    <t>91338_24</t>
  </si>
  <si>
    <t>PORTA DE ALUMÍNIO ANODIZADO DE ABRIR DE 1.50X2.10M COM DUAS FOLHAS NA COR BRANCA, COM GUARNIÇÃO E VIDRO FUMÊ, COM BANDEIRA, FIXAÇÃO COM PARAFUSOS - FORNECIMENTO E INSTALAÇÃO. (E05)</t>
  </si>
  <si>
    <t>91338_23</t>
  </si>
  <si>
    <t>PORTA DE ALUMÍNIO ANODIZADO DE ABRIR DE 0,9X3,00M COM DUAS FOLHAS NA COR BRANCA, COM GUARNIÇÃO E VIDRO FUMÊ, COM BANDEIRA, FIXAÇÃO COM PARAFUSOS - FORNECIMENTO E INSTALAÇÃO. (E04)</t>
  </si>
  <si>
    <t>91338_20</t>
  </si>
  <si>
    <t>PORTA DE ALUMÍNIO ANODIZADO DE ABRIR DE 1,20X2,10M COM DUAS FOLHAS NA COR BRANCA, COM GUARNIÇÃO E VIDRO TRANSPARENTE, FIXAÇÃO COM PARAFUSOS - FORNECIMENTO E INSTALAÇÃO. (E06)</t>
  </si>
  <si>
    <t>91338_25</t>
  </si>
  <si>
    <t>PORTA DE ALUMÍNIO ANODIZADO DE ABRIR DE 1.80X3.00M COM DUAS FOLHAS NA COR BRANCA, COM GUARNIÇÃO E VIDRO FUMÊ, COM BANDEIRA, FIXAÇÃO COM PARAFUSOS - FORNECIMENTO E INSTALAÇÃO. (E07)</t>
  </si>
  <si>
    <t>85010_3</t>
  </si>
  <si>
    <t>JANELA EM ALUMÍNIO ANODIZADO COM VEDAÇÃO EM VIDRO TRANSPARENTE (REF.JE1, JE2, JE3, JE4, JE7, JE8, JE9, JE11, JE12, JE13, JE14, JE15)</t>
  </si>
  <si>
    <r>
      <rPr>
        <sz val="11"/>
        <rFont val="Times New Roman"/>
        <family val="1"/>
      </rPr>
      <t>8.2.2</t>
    </r>
  </si>
  <si>
    <t>112900_5</t>
  </si>
  <si>
    <t>JANELA EM VIDRO DUPLO ACÚSTICO TRANSPARENTE (REF. JE10)</t>
  </si>
  <si>
    <t>CORTINA DE VIDRO COM BASCULANTE E VEDAÇÃO COM VIDRO FUMÊ.</t>
  </si>
  <si>
    <t>C3652</t>
  </si>
  <si>
    <t>RUFO/ALGEIROZ EM CONCRETO PRÉ-MOLDADO L=30CM</t>
  </si>
  <si>
    <t>FORRO ACÚSTICO DE FIBRA MINERAL - INSTALADO</t>
  </si>
  <si>
    <t xml:space="preserve">MASSA ÚNICA, PARA RECEBIMENTO DE PINTURA, EM ARGAMASSA INDUSTRIALIZADA, PREPARO MECÂNICO, APLICADO COM EQUIPAMENTO DE MISTURA E PROJEÇÃO DE 1,5 M3/H DE ARGAMASSA EM FACES INTERNAS DE PAREDES, ESPESSURA DE 10MM, COM EXECUÇÃO DE TALISCAS. </t>
  </si>
  <si>
    <t xml:space="preserve">REVESTIMENTO CERÂMICO PARA PAREDES INTERNAS COM PLACAS TIPO ESMALTADA EXTRA DE DIMENSÕES 30X60 CM APLICADAS EM AMBIENTES DE ÁREA MAIOR QUE 5 M² NA ALTURA INTEIRA DAS PAREDES. </t>
  </si>
  <si>
    <t xml:space="preserve">REVESTIMENTO CERÂMICO PARA PAREDES INTERNAS COM PLACAS TIPO GRÊS OU SEMI-GRÊS GRIS-ARMANI-30X60 CM APLICADAS EM AMBIENTES DE ÁREA MAIOR QUE 10 M² NA ALTURA INTEIRA DAS PAREDES. </t>
  </si>
  <si>
    <t>REVESTIMENTO COM PLACA MDF 6MM REVESTIDO COM LAMINADO MELAMINICO E FITA DE BORDO. TAN BRANCO REAL</t>
  </si>
  <si>
    <t>PISO GRANITO ASSENTADO SOBRE ARGAMASSA CIMENTO / CAL / AREIA TRACO 1:0,25:3 INCLUSIVE REJUNTE EM CIMENTO</t>
  </si>
  <si>
    <r>
      <rPr>
        <sz val="11"/>
        <rFont val="Times New Roman"/>
        <family val="1"/>
      </rPr>
      <t>16.1.1.2.17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</si>
  <si>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16.1.1.2.18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</si>
  <si>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16.1.1.5.5</t>
    </r>
    <r>
      <rPr>
        <sz val="11"/>
        <color theme="1"/>
        <rFont val="Calibri"/>
        <family val="2"/>
        <scheme val="minor"/>
      </rPr>
      <t/>
    </r>
  </si>
  <si>
    <t>CAIXA D'AGUA DE POLIETILENO ALTA DENSIDADE, 3.000 LITROS - INSTALADA</t>
  </si>
  <si>
    <r>
      <rPr>
        <sz val="11"/>
        <rFont val="Times New Roman"/>
        <family val="1"/>
      </rPr>
      <t>16.2.1.2.4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</si>
  <si>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</si>
  <si>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</si>
  <si>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</si>
  <si>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</si>
  <si>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</si>
  <si>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</si>
  <si>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</si>
  <si>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</si>
  <si>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</si>
  <si>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</si>
  <si>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</si>
  <si>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</si>
  <si>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</si>
  <si>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16.2.1.2.18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</si>
  <si>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</si>
  <si>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16.3.1.1.11</t>
    </r>
    <r>
      <rPr>
        <sz val="11"/>
        <color theme="1"/>
        <rFont val="Calibri"/>
        <family val="2"/>
        <scheme val="minor"/>
      </rPr>
      <t/>
    </r>
  </si>
  <si>
    <t xml:space="preserve">CURVA 90 GRAUS PARA ELETRODUTO, PVC, ROSCÁVEL, (2.1/2"), PARA CIRCUITOS TERMINAIS, INSTALADA EM PAREDE - FORNECIMENTO E INSTALAÇÃO. </t>
  </si>
  <si>
    <r>
      <rPr>
        <sz val="11"/>
        <rFont val="Times New Roman"/>
        <family val="1"/>
      </rPr>
      <t>16.3.1.1.12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</si>
  <si>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</si>
  <si>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</si>
  <si>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</si>
  <si>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</si>
  <si>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</si>
  <si>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16.3.1.1.18</t>
    </r>
    <r>
      <rPr>
        <sz val="11"/>
        <color theme="1"/>
        <rFont val="Calibri"/>
        <family val="2"/>
        <scheme val="minor"/>
      </rPr>
      <t/>
    </r>
  </si>
  <si>
    <t>FORNECIMENTO E INSTALAÇÃO DE ELETROCALHA PERFURADA 400 X 50 X 3000 MM  (UN)</t>
  </si>
  <si>
    <r>
      <rPr>
        <sz val="11"/>
        <rFont val="Times New Roman"/>
        <family val="1"/>
      </rPr>
      <t>16.3.1.1.19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</si>
  <si>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16.3.1.1.20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</si>
  <si>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</si>
  <si>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16.3.1.1.22</t>
    </r>
    <r>
      <rPr>
        <sz val="11"/>
        <color theme="1"/>
        <rFont val="Calibri"/>
        <family val="2"/>
        <scheme val="minor"/>
      </rPr>
      <t/>
    </r>
  </si>
  <si>
    <t>C0630</t>
  </si>
  <si>
    <t>CAIXA DE PASSAGEM COM TAMPA PARAFUSADA 600X600X150MM</t>
  </si>
  <si>
    <t>FORNECIMENTO E MONTAGEM DE RACK FECHADO TIPO ARMÁRIO 19" X 36U X 870 MM</t>
  </si>
  <si>
    <t>16.3.2.1.4</t>
  </si>
  <si>
    <r>
      <rPr>
        <sz val="11"/>
        <rFont val="Times New Roman"/>
        <family val="1"/>
      </rPr>
      <t>16.3.2.1.16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</si>
  <si>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16.3.2.1.17</t>
    </r>
    <r>
      <rPr>
        <sz val="11"/>
        <color theme="1"/>
        <rFont val="Calibri"/>
        <family val="2"/>
        <scheme val="minor"/>
      </rPr>
      <t/>
    </r>
  </si>
  <si>
    <t>C0628</t>
  </si>
  <si>
    <t>CAIXA DE PASSAGEM COM TAMPA PARAFUSADA 200X200X100MM</t>
  </si>
  <si>
    <t>CATV</t>
  </si>
  <si>
    <t>ANTENAS E EQUIPAMENTOS</t>
  </si>
  <si>
    <t>16.3.3.1.1</t>
  </si>
  <si>
    <t>ELETRODUTOS E ACESSÓRIOS</t>
  </si>
  <si>
    <t>CABO HDMI 4K ULTRA HD (M)</t>
  </si>
  <si>
    <t>FIO FLEXÍVEL 2 X 0,2MM2 PARA MICROFONE/AUDIO</t>
  </si>
  <si>
    <t xml:space="preserve">CAIXA RETANGULAR 4" X 4" BAIXA (0,30 M DO PISO), METÁLICA, INSTALADA EM PAREDE - FORNECIMENTO E INSTALAÇÃO. </t>
  </si>
  <si>
    <r>
      <rPr>
        <sz val="11"/>
        <rFont val="Times New Roman"/>
        <family val="1"/>
      </rPr>
      <t>16.3.3.4.2</t>
    </r>
  </si>
  <si>
    <r>
      <rPr>
        <sz val="11"/>
        <rFont val="Times New Roman"/>
        <family val="1"/>
      </rPr>
      <t>16.3.4.1.2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</si>
  <si>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</si>
  <si>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16.3.4.1.4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</si>
  <si>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16.3.4.1.5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</si>
  <si>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Times New Roman"/>
        <family val="1"/>
      </rPr>
      <t>16.3.4.2</t>
    </r>
  </si>
  <si>
    <r>
      <rPr>
        <sz val="11"/>
        <rFont val="Times New Roman"/>
        <family val="1"/>
      </rPr>
      <t>16.3.4.2.1</t>
    </r>
  </si>
  <si>
    <r>
      <rPr>
        <sz val="11"/>
        <rFont val="Times New Roman"/>
        <family val="1"/>
      </rPr>
      <t>16.3.4.2.2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</si>
  <si>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16.3.4.2.3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</si>
  <si>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16.3.4.2.4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</si>
  <si>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16.3.4.2.5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</si>
  <si>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16.3.4.2.6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</si>
  <si>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Times New Roman"/>
        <family val="1"/>
      </rPr>
      <t>16.3.4.3</t>
    </r>
  </si>
  <si>
    <r>
      <rPr>
        <sz val="11"/>
        <rFont val="Times New Roman"/>
        <family val="1"/>
      </rPr>
      <t>16.3.4.3.1</t>
    </r>
  </si>
  <si>
    <r>
      <rPr>
        <sz val="11"/>
        <rFont val="Times New Roman"/>
        <family val="1"/>
      </rPr>
      <t>16.3.4.3.2</t>
    </r>
  </si>
  <si>
    <r>
      <rPr>
        <sz val="11"/>
        <rFont val="Times New Roman"/>
        <family val="1"/>
      </rPr>
      <t>16.3.4.3.3</t>
    </r>
  </si>
  <si>
    <r>
      <rPr>
        <sz val="11"/>
        <rFont val="Times New Roman"/>
        <family val="1"/>
      </rPr>
      <t>16.3.4.3.4</t>
    </r>
  </si>
  <si>
    <r>
      <rPr>
        <sz val="11"/>
        <rFont val="Times New Roman"/>
        <family val="1"/>
      </rPr>
      <t>16.3.4.3.5</t>
    </r>
  </si>
  <si>
    <r>
      <rPr>
        <sz val="11"/>
        <rFont val="Times New Roman"/>
        <family val="1"/>
      </rPr>
      <t>16.3.4.3.6</t>
    </r>
  </si>
  <si>
    <r>
      <rPr>
        <sz val="11"/>
        <rFont val="Times New Roman"/>
        <family val="1"/>
      </rPr>
      <t>16.3.4.3.7</t>
    </r>
  </si>
  <si>
    <r>
      <rPr>
        <sz val="11"/>
        <rFont val="Times New Roman"/>
        <family val="1"/>
      </rPr>
      <t>16.3.4.3.8</t>
    </r>
  </si>
  <si>
    <r>
      <rPr>
        <sz val="11"/>
        <rFont val="Times New Roman"/>
        <family val="1"/>
      </rPr>
      <t>16.3.4.3.9</t>
    </r>
  </si>
  <si>
    <r>
      <rPr>
        <sz val="11"/>
        <rFont val="Times New Roman"/>
        <family val="1"/>
      </rPr>
      <t>16.3.4.3.10</t>
    </r>
  </si>
  <si>
    <r>
      <rPr>
        <sz val="11"/>
        <rFont val="Times New Roman"/>
        <family val="1"/>
      </rPr>
      <t>16.3.4.3.11</t>
    </r>
  </si>
  <si>
    <r>
      <rPr>
        <sz val="11"/>
        <rFont val="Times New Roman"/>
        <family val="1"/>
      </rPr>
      <t>16.3.4.3.12</t>
    </r>
  </si>
  <si>
    <r>
      <rPr>
        <sz val="11"/>
        <rFont val="Times New Roman"/>
        <family val="1"/>
      </rPr>
      <t>16.3.4.3.13</t>
    </r>
  </si>
  <si>
    <r>
      <rPr>
        <sz val="11"/>
        <rFont val="Times New Roman"/>
        <family val="1"/>
      </rPr>
      <t>16.3.4.3.14</t>
    </r>
  </si>
  <si>
    <r>
      <rPr>
        <b/>
        <sz val="11"/>
        <rFont val="Times New Roman"/>
        <family val="1"/>
      </rPr>
      <t>16.3.4.4</t>
    </r>
  </si>
  <si>
    <r>
      <rPr>
        <sz val="11"/>
        <rFont val="Times New Roman"/>
        <family val="1"/>
      </rPr>
      <t>16.3.4.4.1</t>
    </r>
  </si>
  <si>
    <r>
      <rPr>
        <b/>
        <sz val="11"/>
        <rFont val="Times New Roman"/>
        <family val="1"/>
      </rPr>
      <t>16.3.4.5</t>
    </r>
  </si>
  <si>
    <r>
      <rPr>
        <sz val="11"/>
        <rFont val="Times New Roman"/>
        <family val="1"/>
      </rPr>
      <t>16.3.4.5.1</t>
    </r>
  </si>
  <si>
    <r>
      <rPr>
        <sz val="11"/>
        <rFont val="Times New Roman"/>
        <family val="1"/>
      </rPr>
      <t>16.3.4.5.2</t>
    </r>
  </si>
  <si>
    <t>16.3.5.1</t>
  </si>
  <si>
    <t>16.3.5.2</t>
  </si>
  <si>
    <r>
      <rPr>
        <sz val="11"/>
        <rFont val="Times New Roman"/>
        <family val="1"/>
      </rPr>
      <t>16.3.6.1.2</t>
    </r>
  </si>
  <si>
    <r>
      <rPr>
        <sz val="11"/>
        <rFont val="Times New Roman"/>
        <family val="1"/>
      </rPr>
      <t>16.3.6.1.3</t>
    </r>
  </si>
  <si>
    <r>
      <rPr>
        <sz val="11"/>
        <rFont val="Times New Roman"/>
        <family val="1"/>
      </rPr>
      <t>16.3.6.1.4</t>
    </r>
  </si>
  <si>
    <r>
      <rPr>
        <sz val="11"/>
        <rFont val="Times New Roman"/>
        <family val="1"/>
      </rPr>
      <t>16.3.6.1.5</t>
    </r>
  </si>
  <si>
    <r>
      <rPr>
        <sz val="11"/>
        <rFont val="Times New Roman"/>
        <family val="1"/>
      </rPr>
      <t>16.3.6.1.6</t>
    </r>
  </si>
  <si>
    <r>
      <rPr>
        <sz val="11"/>
        <rFont val="Times New Roman"/>
        <family val="1"/>
      </rPr>
      <t>16.3.6.1.7</t>
    </r>
  </si>
  <si>
    <r>
      <rPr>
        <sz val="11"/>
        <rFont val="Times New Roman"/>
        <family val="1"/>
      </rPr>
      <t>16.3.6.1.8</t>
    </r>
  </si>
  <si>
    <r>
      <rPr>
        <sz val="11"/>
        <rFont val="Times New Roman"/>
        <family val="1"/>
      </rPr>
      <t>16.3.6.1.9</t>
    </r>
  </si>
  <si>
    <r>
      <rPr>
        <sz val="11"/>
        <rFont val="Times New Roman"/>
        <family val="1"/>
      </rPr>
      <t>16.3.6.1.10</t>
    </r>
  </si>
  <si>
    <r>
      <rPr>
        <sz val="11"/>
        <rFont val="Times New Roman"/>
        <family val="1"/>
      </rPr>
      <t>16.3.6.1.11</t>
    </r>
  </si>
  <si>
    <t xml:space="preserve">CURVA HORIZONTAL 50 X 50 MM PARA ELETROCALHA METÁLICA, COM ÂNGULO 90° </t>
  </si>
  <si>
    <r>
      <rPr>
        <sz val="11"/>
        <rFont val="Times New Roman"/>
        <family val="1"/>
      </rPr>
      <t>16.3.6.1.12</t>
    </r>
  </si>
  <si>
    <r>
      <rPr>
        <sz val="11"/>
        <rFont val="Times New Roman"/>
        <family val="1"/>
      </rPr>
      <t>16.3.6.1.13</t>
    </r>
  </si>
  <si>
    <r>
      <rPr>
        <sz val="11"/>
        <rFont val="Times New Roman"/>
        <family val="1"/>
      </rPr>
      <t>16.3.6.1.14</t>
    </r>
  </si>
  <si>
    <r>
      <rPr>
        <sz val="11"/>
        <rFont val="Times New Roman"/>
        <family val="1"/>
      </rPr>
      <t>16.3.6.1.15</t>
    </r>
  </si>
  <si>
    <r>
      <rPr>
        <sz val="11"/>
        <rFont val="Times New Roman"/>
        <family val="1"/>
      </rPr>
      <t>16.3.6.1.16</t>
    </r>
  </si>
  <si>
    <r>
      <rPr>
        <sz val="11"/>
        <rFont val="Times New Roman"/>
        <family val="1"/>
      </rPr>
      <t>16.3.6.1.17</t>
    </r>
  </si>
  <si>
    <r>
      <rPr>
        <sz val="11"/>
        <rFont val="Times New Roman"/>
        <family val="1"/>
      </rPr>
      <t>16.3.6.1.18</t>
    </r>
  </si>
  <si>
    <r>
      <rPr>
        <sz val="11"/>
        <rFont val="Times New Roman"/>
        <family val="1"/>
      </rPr>
      <t>16.3.6.1.19</t>
    </r>
  </si>
  <si>
    <r>
      <rPr>
        <sz val="11"/>
        <rFont val="Times New Roman"/>
        <family val="1"/>
      </rPr>
      <t>16.3.6.1.20</t>
    </r>
  </si>
  <si>
    <r>
      <rPr>
        <sz val="11"/>
        <rFont val="Times New Roman"/>
        <family val="1"/>
      </rPr>
      <t>16.3.6.3.2</t>
    </r>
  </si>
  <si>
    <r>
      <rPr>
        <sz val="11"/>
        <rFont val="Times New Roman"/>
        <family val="1"/>
      </rPr>
      <t>16.3.6.3.3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</si>
  <si>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16.3.6.3.4</t>
    </r>
    <r>
      <rPr>
        <sz val="11"/>
        <color theme="1"/>
        <rFont val="Calibri"/>
        <family val="2"/>
        <scheme val="minor"/>
      </rPr>
      <t/>
    </r>
  </si>
  <si>
    <t xml:space="preserve">CABO DE COBRE FLEXÍVEL ISOLADO, 4,0 MM², ANTI-CHAMA 450/750 V, PARA CIRCUITOS TERMINAIS - FORNECIMENTO E INSTALAÇÃO. </t>
  </si>
  <si>
    <r>
      <rPr>
        <sz val="11"/>
        <rFont val="Times New Roman"/>
        <family val="1"/>
      </rPr>
      <t>16.3.6.5.3</t>
    </r>
  </si>
  <si>
    <t>FORNECIMENTO E INSTALAÇÃO DE KIT GERADOR FOTOVOLTAICO 31,20KWP, INCLUINDO MÓDULOS, INVERSOR, CABOS, FIXAÇÃO E PROTEÇÃO</t>
  </si>
  <si>
    <r>
      <rPr>
        <sz val="11"/>
        <rFont val="Times New Roman"/>
        <family val="1"/>
      </rPr>
      <t>16.3.8.2.8</t>
    </r>
  </si>
  <si>
    <r>
      <rPr>
        <sz val="11"/>
        <rFont val="Times New Roman"/>
        <family val="1"/>
      </rPr>
      <t>16.3.8.2.9</t>
    </r>
  </si>
  <si>
    <r>
      <rPr>
        <sz val="11"/>
        <rFont val="Times New Roman"/>
        <family val="1"/>
      </rPr>
      <t>16.3.8.2.10</t>
    </r>
  </si>
  <si>
    <r>
      <rPr>
        <sz val="11"/>
        <rFont val="Times New Roman"/>
        <family val="1"/>
      </rPr>
      <t>16.3.8.2.11</t>
    </r>
  </si>
  <si>
    <t>FORNECIMENTO E INSTALAÇÃO DE ELETROCALHA PERFURADA 100 X 50 X 3000 MM  COM TAMPA</t>
  </si>
  <si>
    <r>
      <rPr>
        <sz val="11"/>
        <rFont val="Times New Roman"/>
        <family val="1"/>
      </rPr>
      <t>16.3.8.2.12</t>
    </r>
  </si>
  <si>
    <r>
      <rPr>
        <sz val="11"/>
        <rFont val="Times New Roman"/>
        <family val="1"/>
      </rPr>
      <t>16.3.8.2.13</t>
    </r>
  </si>
  <si>
    <r>
      <rPr>
        <sz val="11"/>
        <rFont val="Times New Roman"/>
        <family val="1"/>
      </rPr>
      <t>16.3.8.2.14</t>
    </r>
  </si>
  <si>
    <r>
      <rPr>
        <sz val="11"/>
        <rFont val="Times New Roman"/>
        <family val="1"/>
      </rPr>
      <t>16.3.8.2.15</t>
    </r>
  </si>
  <si>
    <r>
      <rPr>
        <sz val="11"/>
        <rFont val="Times New Roman"/>
        <family val="1"/>
      </rPr>
      <t>16.3.8.2.16</t>
    </r>
  </si>
  <si>
    <r>
      <rPr>
        <sz val="11"/>
        <rFont val="Times New Roman"/>
        <family val="1"/>
      </rPr>
      <t>16.3.8.2.17</t>
    </r>
  </si>
  <si>
    <t xml:space="preserve">SUPORTE HORIZONTAL 100 X 50 MM PARA FIXAÇÃO DE ELETROCALHA METÁLICA </t>
  </si>
  <si>
    <t>1JQDFL - TÉRREO</t>
  </si>
  <si>
    <t>QUADRO DE DISTRIBUIÇÃO DE ENERGIA EM CHAPA DE AÇO GALVANIZADO, DE EMBUTIR, COM BARRAMENTO TRIFÁSICO, PARA 24 DISJUNTORES DIN 100A - FORNECIMENTO E INSTALAÇÃO</t>
  </si>
  <si>
    <t>DISJUNTOR BIPOLAR DR 25 A - DISPOSITIVO RESIDUAL DIFERENCIAL, TIPO AC, 30MA</t>
  </si>
  <si>
    <r>
      <rPr>
        <sz val="11"/>
        <rFont val="Times New Roman"/>
        <family val="1"/>
      </rPr>
      <t>16.3.9.1.11</t>
    </r>
  </si>
  <si>
    <t>2JQDFL - PAV 1</t>
  </si>
  <si>
    <r>
      <rPr>
        <sz val="11"/>
        <rFont val="Times New Roman"/>
        <family val="1"/>
      </rPr>
      <t>16.3.9.2.3</t>
    </r>
  </si>
  <si>
    <r>
      <rPr>
        <sz val="11"/>
        <rFont val="Times New Roman"/>
        <family val="1"/>
      </rPr>
      <t>16.3.9.2.4</t>
    </r>
  </si>
  <si>
    <r>
      <rPr>
        <sz val="11"/>
        <rFont val="Times New Roman"/>
        <family val="1"/>
      </rPr>
      <t>16.3.9.2.5</t>
    </r>
  </si>
  <si>
    <r>
      <rPr>
        <sz val="11"/>
        <rFont val="Times New Roman"/>
        <family val="1"/>
      </rPr>
      <t>16.3.9.2.11</t>
    </r>
  </si>
  <si>
    <t>3JQDFE - TÉRREO</t>
  </si>
  <si>
    <t>DISJUNTOR MONOPOLAR TIPO DIN, CORRENTE NOMINAL DE 20A - FORNECIMENTO E INSTALAÇÃO</t>
  </si>
  <si>
    <t>DISJUNTOR TERMOMAGNÉTICO TRIPOLAR 80 A</t>
  </si>
  <si>
    <r>
      <rPr>
        <sz val="11"/>
        <rFont val="Times New Roman"/>
        <family val="1"/>
      </rPr>
      <t>16.3.9.3.11</t>
    </r>
  </si>
  <si>
    <t>4JQDFE - PAV. 1</t>
  </si>
  <si>
    <t xml:space="preserve">DISJUNTOR MONOPOLAR TIPO DIN, CORRENTE NOMINAL DE 20A - FORNECIMENTO E INSTALAÇÃO. </t>
  </si>
  <si>
    <r>
      <rPr>
        <b/>
        <sz val="11"/>
        <rFont val="Times New Roman"/>
        <family val="1"/>
      </rPr>
      <t>16.3.9.5</t>
    </r>
  </si>
  <si>
    <t>5JQDCLIM - COBERTURA</t>
  </si>
  <si>
    <r>
      <rPr>
        <sz val="11"/>
        <rFont val="Times New Roman"/>
        <family val="1"/>
      </rPr>
      <t>16.3.9.5.2</t>
    </r>
  </si>
  <si>
    <r>
      <rPr>
        <sz val="11"/>
        <rFont val="Times New Roman"/>
        <family val="1"/>
      </rPr>
      <t>16.3.9.5.3</t>
    </r>
  </si>
  <si>
    <r>
      <rPr>
        <sz val="11"/>
        <rFont val="Times New Roman"/>
        <family val="1"/>
      </rPr>
      <t>16.3.9.5.4</t>
    </r>
  </si>
  <si>
    <r>
      <rPr>
        <sz val="11"/>
        <rFont val="Times New Roman"/>
        <family val="1"/>
      </rPr>
      <t>16.3.9.5.5</t>
    </r>
  </si>
  <si>
    <t>DISJUNTOR TERMOMAGNETICO TRIPOLAR 80 A</t>
  </si>
  <si>
    <r>
      <rPr>
        <sz val="11"/>
        <rFont val="Times New Roman"/>
        <family val="1"/>
      </rPr>
      <t>16.3.9.5.6</t>
    </r>
  </si>
  <si>
    <t xml:space="preserve">DISJUNTOR TERMOMAGNETICO TRIPOLAR EM CAIXA MOLDADA 175 A </t>
  </si>
  <si>
    <r>
      <rPr>
        <sz val="11"/>
        <rFont val="Times New Roman"/>
        <family val="1"/>
      </rPr>
      <t>16.3.9.5.14</t>
    </r>
  </si>
  <si>
    <r>
      <rPr>
        <b/>
        <sz val="11"/>
        <rFont val="Times New Roman"/>
        <family val="1"/>
      </rPr>
      <t>16.3.9.6</t>
    </r>
  </si>
  <si>
    <t>6JQDCLIM - COBERTURA</t>
  </si>
  <si>
    <r>
      <rPr>
        <sz val="11"/>
        <rFont val="Times New Roman"/>
        <family val="1"/>
      </rPr>
      <t>16.3.9.6.2</t>
    </r>
  </si>
  <si>
    <r>
      <rPr>
        <sz val="11"/>
        <rFont val="Times New Roman"/>
        <family val="1"/>
      </rPr>
      <t>16.3.9.6.3</t>
    </r>
  </si>
  <si>
    <r>
      <rPr>
        <sz val="11"/>
        <rFont val="Times New Roman"/>
        <family val="1"/>
      </rPr>
      <t>16.3.9.6.5</t>
    </r>
  </si>
  <si>
    <t>DISJUNTOR TERMOMAGNÉTICO TRIPOLAR 150 A</t>
  </si>
  <si>
    <r>
      <rPr>
        <sz val="11"/>
        <rFont val="Times New Roman"/>
        <family val="1"/>
      </rPr>
      <t>16.3.9.6.11</t>
    </r>
  </si>
  <si>
    <r>
      <rPr>
        <sz val="11"/>
        <rFont val="Times New Roman"/>
        <family val="1"/>
      </rPr>
      <t>16.3.9.6.12</t>
    </r>
  </si>
  <si>
    <r>
      <rPr>
        <b/>
        <sz val="11"/>
        <rFont val="Times New Roman"/>
        <family val="1"/>
      </rPr>
      <t>16.3.9.7</t>
    </r>
  </si>
  <si>
    <t>7JQDELEV - COBERTA</t>
  </si>
  <si>
    <r>
      <rPr>
        <sz val="11"/>
        <rFont val="Times New Roman"/>
        <family val="1"/>
      </rPr>
      <t>16.3.9.7.2</t>
    </r>
  </si>
  <si>
    <r>
      <rPr>
        <sz val="11"/>
        <rFont val="Times New Roman"/>
        <family val="1"/>
      </rPr>
      <t>16.3.9.7.3</t>
    </r>
  </si>
  <si>
    <r>
      <rPr>
        <sz val="11"/>
        <rFont val="Times New Roman"/>
        <family val="1"/>
      </rPr>
      <t>16.3.9.7.4</t>
    </r>
  </si>
  <si>
    <r>
      <rPr>
        <sz val="11"/>
        <rFont val="Times New Roman"/>
        <family val="1"/>
      </rPr>
      <t>16.3.9.7.5</t>
    </r>
  </si>
  <si>
    <r>
      <rPr>
        <sz val="11"/>
        <rFont val="Times New Roman"/>
        <family val="1"/>
      </rPr>
      <t>16.3.9.7.6</t>
    </r>
  </si>
  <si>
    <r>
      <rPr>
        <sz val="11"/>
        <rFont val="Times New Roman"/>
        <family val="1"/>
      </rPr>
      <t>16.3.9.7.11</t>
    </r>
  </si>
  <si>
    <r>
      <rPr>
        <b/>
        <sz val="11"/>
        <rFont val="Times New Roman"/>
        <family val="1"/>
      </rPr>
      <t>16.3.9.8</t>
    </r>
  </si>
  <si>
    <t>8JQBIN - TOPO</t>
  </si>
  <si>
    <r>
      <rPr>
        <sz val="11"/>
        <rFont val="Times New Roman"/>
        <family val="1"/>
      </rPr>
      <t>16.3.9.8.2</t>
    </r>
  </si>
  <si>
    <r>
      <rPr>
        <sz val="11"/>
        <rFont val="Times New Roman"/>
        <family val="1"/>
      </rPr>
      <t>16.3.9.8.3</t>
    </r>
  </si>
  <si>
    <r>
      <rPr>
        <sz val="11"/>
        <rFont val="Times New Roman"/>
        <family val="1"/>
      </rPr>
      <t>16.3.9.8.4</t>
    </r>
  </si>
  <si>
    <r>
      <rPr>
        <sz val="11"/>
        <rFont val="Times New Roman"/>
        <family val="1"/>
      </rPr>
      <t>16.3.9.8.5</t>
    </r>
  </si>
  <si>
    <r>
      <rPr>
        <sz val="11"/>
        <rFont val="Times New Roman"/>
        <family val="1"/>
      </rPr>
      <t>16.3.9.8.6</t>
    </r>
  </si>
  <si>
    <r>
      <rPr>
        <sz val="11"/>
        <rFont val="Times New Roman"/>
        <family val="1"/>
      </rPr>
      <t>16.3.9.8.7</t>
    </r>
  </si>
  <si>
    <r>
      <rPr>
        <sz val="11"/>
        <rFont val="Times New Roman"/>
        <family val="1"/>
      </rPr>
      <t>16.3.9.8.8</t>
    </r>
  </si>
  <si>
    <r>
      <rPr>
        <sz val="11"/>
        <rFont val="Times New Roman"/>
        <family val="1"/>
      </rPr>
      <t>16.3.9.8.9</t>
    </r>
  </si>
  <si>
    <r>
      <rPr>
        <sz val="11"/>
        <rFont val="Times New Roman"/>
        <family val="1"/>
      </rPr>
      <t>16.3.9.8.10</t>
    </r>
  </si>
  <si>
    <r>
      <rPr>
        <sz val="11"/>
        <rFont val="Times New Roman"/>
        <family val="1"/>
      </rPr>
      <t>16.3.9.8.11</t>
    </r>
  </si>
  <si>
    <r>
      <rPr>
        <sz val="11"/>
        <rFont val="Times New Roman"/>
        <family val="1"/>
      </rPr>
      <t>16.3.9.8.13</t>
    </r>
  </si>
  <si>
    <r>
      <rPr>
        <sz val="11"/>
        <rFont val="Times New Roman"/>
        <family val="1"/>
      </rPr>
      <t>16.3.9.8.14</t>
    </r>
  </si>
  <si>
    <r>
      <rPr>
        <b/>
        <sz val="11"/>
        <rFont val="Times New Roman"/>
        <family val="1"/>
      </rPr>
      <t>16.3.9.9</t>
    </r>
  </si>
  <si>
    <t>09JQBR - TÉRREO</t>
  </si>
  <si>
    <r>
      <rPr>
        <sz val="11"/>
        <rFont val="Times New Roman"/>
        <family val="1"/>
      </rPr>
      <t>16.3.9.9.1</t>
    </r>
  </si>
  <si>
    <r>
      <rPr>
        <sz val="11"/>
        <rFont val="Times New Roman"/>
        <family val="1"/>
      </rPr>
      <t>16.3.9.9.3</t>
    </r>
  </si>
  <si>
    <r>
      <rPr>
        <sz val="11"/>
        <rFont val="Times New Roman"/>
        <family val="1"/>
      </rPr>
      <t>16.3.9.9.4</t>
    </r>
  </si>
  <si>
    <r>
      <rPr>
        <sz val="11"/>
        <rFont val="Times New Roman"/>
        <family val="1"/>
      </rPr>
      <t>16.3.9.9.5</t>
    </r>
  </si>
  <si>
    <r>
      <rPr>
        <sz val="11"/>
        <rFont val="Times New Roman"/>
        <family val="1"/>
      </rPr>
      <t>16.3.9.9.6</t>
    </r>
  </si>
  <si>
    <r>
      <rPr>
        <sz val="11"/>
        <rFont val="Times New Roman"/>
        <family val="1"/>
      </rPr>
      <t>16.3.9.9.7</t>
    </r>
  </si>
  <si>
    <r>
      <rPr>
        <sz val="11"/>
        <rFont val="Times New Roman"/>
        <family val="1"/>
      </rPr>
      <t>16.3.9.9.11</t>
    </r>
  </si>
  <si>
    <r>
      <rPr>
        <sz val="11"/>
        <rFont val="Times New Roman"/>
        <family val="1"/>
      </rPr>
      <t>16.3.9.9.12</t>
    </r>
  </si>
  <si>
    <r>
      <rPr>
        <sz val="11"/>
        <rFont val="Times New Roman"/>
        <family val="1"/>
      </rPr>
      <t>16.3.9.9.13</t>
    </r>
  </si>
  <si>
    <r>
      <rPr>
        <sz val="11"/>
        <rFont val="Times New Roman"/>
        <family val="1"/>
      </rPr>
      <t>16.3.9.9.14</t>
    </r>
  </si>
  <si>
    <r>
      <rPr>
        <b/>
        <sz val="11"/>
        <rFont val="Times New Roman"/>
        <family val="1"/>
      </rPr>
      <t>16.3.9.10</t>
    </r>
  </si>
  <si>
    <t>10JQBRU - TÉRREO</t>
  </si>
  <si>
    <r>
      <rPr>
        <sz val="11"/>
        <rFont val="Times New Roman"/>
        <family val="1"/>
      </rPr>
      <t>16.3.9.10.1</t>
    </r>
  </si>
  <si>
    <r>
      <rPr>
        <sz val="11"/>
        <rFont val="Times New Roman"/>
        <family val="1"/>
      </rPr>
      <t>16.3.9.10.3</t>
    </r>
  </si>
  <si>
    <r>
      <rPr>
        <sz val="11"/>
        <rFont val="Times New Roman"/>
        <family val="1"/>
      </rPr>
      <t>16.3.9.10.4</t>
    </r>
  </si>
  <si>
    <r>
      <rPr>
        <sz val="11"/>
        <rFont val="Times New Roman"/>
        <family val="1"/>
      </rPr>
      <t>16.3.9.10.5</t>
    </r>
  </si>
  <si>
    <r>
      <rPr>
        <sz val="11"/>
        <rFont val="Times New Roman"/>
        <family val="1"/>
      </rPr>
      <t>16.3.9.10.6</t>
    </r>
  </si>
  <si>
    <r>
      <rPr>
        <sz val="11"/>
        <rFont val="Times New Roman"/>
        <family val="1"/>
      </rPr>
      <t>16.3.9.10.7</t>
    </r>
  </si>
  <si>
    <r>
      <rPr>
        <sz val="11"/>
        <rFont val="Times New Roman"/>
        <family val="1"/>
      </rPr>
      <t>16.3.9.10.11</t>
    </r>
  </si>
  <si>
    <r>
      <rPr>
        <sz val="11"/>
        <rFont val="Times New Roman"/>
        <family val="1"/>
      </rPr>
      <t>16.3.9.10.12</t>
    </r>
  </si>
  <si>
    <r>
      <rPr>
        <sz val="11"/>
        <rFont val="Times New Roman"/>
        <family val="1"/>
      </rPr>
      <t>16.3.9.10.13</t>
    </r>
  </si>
  <si>
    <r>
      <rPr>
        <sz val="11"/>
        <rFont val="Times New Roman"/>
        <family val="1"/>
      </rPr>
      <t>16.3.9.10.14</t>
    </r>
  </si>
  <si>
    <r>
      <rPr>
        <b/>
        <sz val="11"/>
        <rFont val="Times New Roman"/>
        <family val="1"/>
      </rPr>
      <t>16.3.9.11</t>
    </r>
  </si>
  <si>
    <t>QD - ENTRADA - 1JQUPS</t>
  </si>
  <si>
    <r>
      <rPr>
        <sz val="11"/>
        <rFont val="Times New Roman"/>
        <family val="1"/>
      </rPr>
      <t>16.3.9.11.2</t>
    </r>
  </si>
  <si>
    <t>DISJUNTOR TERMOMAGNÉTICO TRIPOLAR 50 A</t>
  </si>
  <si>
    <r>
      <rPr>
        <b/>
        <sz val="11"/>
        <rFont val="Times New Roman"/>
        <family val="1"/>
      </rPr>
      <t>16.3.9.12</t>
    </r>
  </si>
  <si>
    <t>QD - SAÍDA - 1JQUPS</t>
  </si>
  <si>
    <r>
      <rPr>
        <sz val="11"/>
        <rFont val="Times New Roman"/>
        <family val="1"/>
      </rPr>
      <t>16.3.9.12.2</t>
    </r>
  </si>
  <si>
    <t xml:space="preserve">DISJUNTOR TERMOMAGNÉTICO TRIPOLAR 16 A </t>
  </si>
  <si>
    <r>
      <rPr>
        <sz val="11"/>
        <rFont val="Times New Roman"/>
        <family val="1"/>
      </rPr>
      <t>16.3.9.12.3</t>
    </r>
  </si>
  <si>
    <t xml:space="preserve">DISJUNTOR TERMOMAGNÉTICO TRIPOLAR 80 A </t>
  </si>
  <si>
    <r>
      <rPr>
        <b/>
        <sz val="11"/>
        <rFont val="Times New Roman"/>
        <family val="1"/>
      </rPr>
      <t>16.3.9.13</t>
    </r>
  </si>
  <si>
    <t>QD - ENTRADA - 2JQUPS</t>
  </si>
  <si>
    <r>
      <rPr>
        <sz val="11"/>
        <rFont val="Times New Roman"/>
        <family val="1"/>
      </rPr>
      <t>16.3.9.13.2</t>
    </r>
  </si>
  <si>
    <r>
      <rPr>
        <b/>
        <sz val="11"/>
        <rFont val="Times New Roman"/>
        <family val="1"/>
      </rPr>
      <t>16.3.9.14</t>
    </r>
  </si>
  <si>
    <t>QD - SAÍDA - 2JQUPS</t>
  </si>
  <si>
    <r>
      <rPr>
        <sz val="11"/>
        <rFont val="Times New Roman"/>
        <family val="1"/>
      </rPr>
      <t>16.3.9.14.1</t>
    </r>
  </si>
  <si>
    <t>QUADRO DE DISTRIBUIÇÃO DE ENERGIA EM CHAPA DE AÇO GALVANIZADO, DE EMBUTIR, COM BARRAMENTO TRIFÁSICO, PARA 12 DISJUNTORES DIN 100A - FORNECIMENTO E INSTALAÇÃO</t>
  </si>
  <si>
    <r>
      <rPr>
        <sz val="11"/>
        <rFont val="Times New Roman"/>
        <family val="1"/>
      </rPr>
      <t>16.3.9.14.2</t>
    </r>
  </si>
  <si>
    <r>
      <rPr>
        <b/>
        <sz val="11"/>
        <rFont val="Times New Roman"/>
        <family val="1"/>
      </rPr>
      <t>16.3.10.4</t>
    </r>
  </si>
  <si>
    <r>
      <rPr>
        <sz val="11"/>
        <rFont val="Times New Roman"/>
        <family val="1"/>
      </rPr>
      <t>16.3.10.4.1</t>
    </r>
  </si>
  <si>
    <r>
      <rPr>
        <sz val="11"/>
        <rFont val="Times New Roman"/>
        <family val="1"/>
      </rPr>
      <t>16.3.10.4.2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</si>
  <si>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</si>
  <si>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</si>
  <si>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</si>
  <si>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</si>
  <si>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</si>
  <si>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</si>
  <si>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</si>
  <si>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16.3.10.4.10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</si>
  <si>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16.3.11.1.1</t>
    </r>
  </si>
  <si>
    <r>
      <rPr>
        <sz val="11"/>
        <rFont val="Times New Roman"/>
        <family val="1"/>
      </rPr>
      <t>16.3.11.1.2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</si>
  <si>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</si>
  <si>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16.3.11.1.4</t>
    </r>
    <r>
      <rPr>
        <sz val="11"/>
        <color theme="1"/>
        <rFont val="Calibri"/>
        <family val="2"/>
        <scheme val="minor"/>
      </rPr>
      <t/>
    </r>
  </si>
  <si>
    <t>16.3.11.3.1</t>
  </si>
  <si>
    <t>16.3.11.3.2</t>
  </si>
  <si>
    <t>16.3.11.3.3</t>
  </si>
  <si>
    <t>16.3.11.3.4</t>
  </si>
  <si>
    <t>16.3.11.3.5</t>
  </si>
  <si>
    <t>16.3.11.3.6</t>
  </si>
  <si>
    <r>
      <rPr>
        <sz val="11"/>
        <rFont val="Times New Roman"/>
        <family val="1"/>
      </rPr>
      <t>16.4.1.2.2</t>
    </r>
  </si>
  <si>
    <t>DIFUSOR REGULAVEL PLASTICO 100MM - FORNECIMENTO E INSTALAÇÃO</t>
  </si>
  <si>
    <t xml:space="preserve">(COMPOSIÇÃO REPRESENTATIVA) DO SERVIÇO DE INSTALAÇÃO DE TUBOS DE PVC, SÉRIE R, ÁGUA PLUVIAL, DN 100 MM (INSTALADO EM RAMAL DE ENCAMINHAMENTO, OU CONDUTORES VERTICAIS), INCLUSIVE CONEXÕES, CORTES E FIXAÇÕES, PARA PRÉDIOS. </t>
  </si>
  <si>
    <r>
      <rPr>
        <sz val="11"/>
        <rFont val="Times New Roman"/>
        <family val="1"/>
      </rPr>
      <t>16.4.1.4.4</t>
    </r>
  </si>
  <si>
    <t xml:space="preserve">(COMPOSIÇÃO REPRESENTATIVA) DO SERVIÇO DE INSTALAÇÃO DE TUBOS DE PVC, SÉRIE R, ÁGUA PLUVIAL, DN 75 MM (INSTALADO EM RAMAL DE ENCAMINHAMENTO, OU CONDUTORES VERTICAIS), INCLUSIVE CONEXÕES, CORTE E FIXAÇÕES, PARA PRÉDIOS. </t>
  </si>
  <si>
    <t>TEXTURA ACRÍLICA, APLICAÇÃO MANUAL EM PAREDE, UMA DEMÃO. LARANJA CÁDMIO</t>
  </si>
  <si>
    <t>PINTURA LISA COM TINTA ACRÍLICA NA COR CINZA CLARO</t>
  </si>
  <si>
    <t xml:space="preserve">PINTURA LISA COM TINTA ACRÍLICA NA COR BRANCO ACETINADO
</t>
  </si>
  <si>
    <t>TEXTURA ACRÍLICA, APLICAÇÃO MANUAL EM PAREDE, UMA DEMÃO. COM QUARTZO</t>
  </si>
  <si>
    <t>CONSTRUÇÃO DA CORREGEDORIA E EJUD DO NOVO COMPLEXO JUDICIÁRIO DO PALÁCIO DA JUSTIÇA DO PIAUÍ</t>
  </si>
  <si>
    <t>DIVISÓRIA ARTICULADA ACÚSTICA (M2)</t>
  </si>
  <si>
    <t>PAINEL ACÚSTICO CONSTITUÍDO DE GRADEAMENTO EM COMPENSADO NAVAL 18MM, PREENCHIDO COM LÃ DE PET ACÚSTICA 15MM DENS = 15KG/M3 E ACABAMENTO EM TECIDO ORTOFÔNICO E ALISAR EM MADEIRA MACIÇA 40MMX15MM BOLEADA NAS BORDAS TRATADA COM SELADORA - MÓGNO VERTICAL</t>
  </si>
  <si>
    <t>FORNECIMENTO E INSTALAÇÃO DE PORTA EM MADEIRA DE ABRIR ACÚSTICA, 80X210CM, UMA FOLHA, ISOLAÇÃO 34DB, DOBRADIÇAS INOX, BATENTE 10CM E ALIZAR FIXO REGULÁVEL, ACABAMENTO MELAMÍNICO NA COR CARVALHO(E09) (UN)</t>
  </si>
  <si>
    <t xml:space="preserve">Porta acústica em madeira 0,80 x 2,10, espessura 60mm </t>
  </si>
  <si>
    <t>Fechadura para portas internas, Imab, linha nebula, ref 0921 ou similar</t>
  </si>
  <si>
    <t>Forro acústico, em placas semirígidas SONEX Illtec Skin, ou similar, dim. 500x500x25mm, absorção sonora NRC= 0,65, resistência fogo: classe A, instalado com perfís ou adesivo</t>
  </si>
  <si>
    <t>PORTA DE ALUMÍNIO ANODIZADO DE ABRIR DE 1.50X2.10M COM DUAS FOLHAS NA COR BRANCA, COM GUARNIÇÃO E VIDRO FUMÊ, COM BANDEIRA, FIXAÇÃO COM PARAFUSOS - FORNECIMENTO E INSTALAÇÃO. (E05) (UN)</t>
  </si>
  <si>
    <t>PELÍCULA INSULFILM G 5</t>
  </si>
  <si>
    <t>PORTA DE ALUMÍNIO ANODIZADO DE ABRIR DE 0,9X3,00M COM DUAS FOLHAS NA COR BRANCA, COM GUARNIÇÃO E VIDRO FUMÊ, COM BANDEIRA, FIXAÇÃO COM PARAFUSOS - FORNECIMENTO E INSTALAÇÃO. (E04) (UN)</t>
  </si>
  <si>
    <t>PORTA DE ALUMÍNIO ANODIZADO DE ABRIR DE 1,20X2,10M COM DUAS FOLHAS NA COR BRANCA, COM GUARNIÇÃO E VIDRO TRANSPARENTE, FIXAÇÃO COM PARAFUSOS - FORNECIMENTO E INSTALAÇÃO. (E06) (UN)</t>
  </si>
  <si>
    <t>PORTA DE ALUMÍNIO ANODIZADO DE ABRIR DE 1.80X3.00M COM DUAS FOLHAS NA COR BRANCA, COM GUARNIÇÃO E VIDRO FUMÊ, COM BANDEIRA, FIXAÇÃO COM PARAFUSOS - FORNECIMENTO E INSTALAÇÃO. (E07) (UN)</t>
  </si>
  <si>
    <t>JANELA EM ALUMÍNIO ANODIZADO COM VEDAÇÃO EM VIDRO TRANSPARENTE (REF.JE1, JE2, JE3, JE4, JE7, JE8, JE9, JE11, JE12, JE13, JE14, JE15) (M2)</t>
  </si>
  <si>
    <t>JANELA EM VIDRO DUPLO ACÚSTICO TRANSPARENTE (REF. JE10) (M2)</t>
  </si>
  <si>
    <t>RUFO/ALGEIROZ EM CONCRETO PRÉ-MOLDADO L=30CM (M)</t>
  </si>
  <si>
    <t>ARAME GALVANIZADO 18 BWG, 1,24MM (0,009 KG/M)</t>
  </si>
  <si>
    <t xml:space="preserve">ARMAÇÃO DE ESTRUTURAS DE CONCRETO ARMADO, EXCETO VIGAS, PILARES, LAJES E FUNDAÇÕES, UTILIZANDO AÇO CA-50 DE 6,3 MM - MONTAGEM. </t>
  </si>
  <si>
    <t>PISO GRANITO ASSENTADO SOBRE ARGAMASSA CIMENTO / CAL / AREIA TRACO 1:0,25:3 INCLUSIVE REJUNTE EM CIMENTO (M2)</t>
  </si>
  <si>
    <t>10726 - FORNECIMENTO E INSTALAÇÃO DE KIT GERADOR FOTOVOLTAICO 31,20KWP, INCLUINDO MÓDULOS, INVERSOR, CABOS, FIXAÇÃO E PROTEÇÃO (UND.)</t>
  </si>
  <si>
    <t>FORNECIMENTO E INSTALAÇÃO DE SAÍDA HORIZONTAL PARA ELETRODUTO 3/4" (UN)</t>
  </si>
  <si>
    <t>CAIXA D'AGUA FIBRA VIDRO 15.000 LITROS - FORTLEV-TORRES (OU SIMILAR)</t>
  </si>
  <si>
    <t>CAIXA DE PASSAGEM COM TAMPA PARAFUSADA 600X600X150MM (UN)</t>
  </si>
  <si>
    <t>CAIXA DE PASSAGEM METALICA DE SOBREPOR COM TAMPA PARAFUSADA, DIMENSOES 60 X 60 X 15 CM</t>
  </si>
  <si>
    <t>10305 - FORNECIMENTO E MONTAGEM DE RACK FECHADO TIPO ARMÁRIO 19" X 36U X 870 MM</t>
  </si>
  <si>
    <t>RACK FECHADO TIPO ARMÁRIO 19" X 36U X 870MM</t>
  </si>
  <si>
    <t>CAIXA DE PASSAGEM COM TAMPA PARAFUSADA 200X200X100MM (UN)</t>
  </si>
  <si>
    <t xml:space="preserve">Cabo HDMI 15m Blindado 2.0 Ethernet 15 metros 4K ULTRA HD 3D 2160p
</t>
  </si>
  <si>
    <t xml:space="preserve">Cabo para audio, AF, 2 x 22awg
</t>
  </si>
  <si>
    <t>SUPORTE VERTICAL 50 X 50 MM PARA FIXAÇÃO DE ELETROCALHA METÁLICA  (UN)</t>
  </si>
  <si>
    <t xml:space="preserve">SUPORTE VERTICAL  50 X 50 MM  PARA FIXAÇÃO DE ELETROCALHA METÁLICA </t>
  </si>
  <si>
    <t>CURVA HORIZONTAL PARA ELETROCALHA 50X50MM (UN)</t>
  </si>
  <si>
    <t>Curva horizontal 50 x 50 mm para eletrocalha metálica, com ângulo 90°</t>
  </si>
  <si>
    <t>FORNECIMENTO E INSTALAÇÃO DE ELETROCALHA METÁLICA 50 X 50 X 3000 MM (UN)</t>
  </si>
  <si>
    <t>ELETROCALHA METÁLICA PERFURADA 50 X 50 X 3000 MM (REF. VL 3.01 75/50 GE VALEMAM OU SIMILAR)</t>
  </si>
  <si>
    <t>DIFUSOR REGULAVEL PLASTICO 100MM - FORNECIMENTO E INSTALAÇÃO (UN)</t>
  </si>
  <si>
    <t>DIFUSOR REGULAVEL PLASTICO 100MM</t>
  </si>
  <si>
    <t>ADMINISTRAÇÃO LOCAL (CONTEMPLADO NA CORREGEDORIA)</t>
  </si>
  <si>
    <r>
      <rPr>
        <sz val="11"/>
        <rFont val="Times New Roman"/>
        <family val="1"/>
      </rPr>
      <t>1.1.8</t>
    </r>
    <r>
      <rPr>
        <sz val="11"/>
        <color theme="1"/>
        <rFont val="Calibri"/>
        <family val="2"/>
        <scheme val="minor"/>
      </rPr>
      <t/>
    </r>
  </si>
  <si>
    <t>TAPUME COM TELHA METÁLICA</t>
  </si>
  <si>
    <t>DEMOLIÇÃO DE PAVIMENTO INTERTRAVADO, DE FORMA MANUAL, COM REAPROVEITAMENTO</t>
  </si>
  <si>
    <t xml:space="preserve">ENTRADA DE ENERGIA ELÉTRICA, AÉREA, TRIFÁSICA, COM CAIXA DE SOBREPOR, CABO DE 35 MM2 E DISJUNTOR DIN 50A </t>
  </si>
  <si>
    <t xml:space="preserve">TRANSCEIVER CISCO SFP+ 10GBASE-SR OU SIMILAR EQUIVALENTE </t>
  </si>
  <si>
    <r>
      <rPr>
        <sz val="11"/>
        <rFont val="Times New Roman"/>
        <family val="1"/>
      </rPr>
      <t>16.3.2.1.3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</si>
  <si>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</si>
  <si>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</si>
  <si>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</si>
  <si>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</si>
  <si>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16.3.2.1.8</t>
    </r>
    <r>
      <rPr>
        <sz val="11"/>
        <color theme="1"/>
        <rFont val="Calibri"/>
        <family val="2"/>
        <scheme val="minor"/>
      </rPr>
      <t/>
    </r>
  </si>
  <si>
    <t>PROJETOR PARA DATA-SHOW, FULL HD, 3D, RELAÇÃO DE CONTRASTE 35.000:1, RELAÇÃO DE PROJEÇÃO 16:9/4:3, CONEXÕES HDMI, VGA, RCA, USB, WI-FI, MARCA OPTOMA, EPSON, OU SIMILAR</t>
  </si>
  <si>
    <t xml:space="preserve">PROJETOR PARA DATA-SHOW, FULL HD, 3D, RELAÇÃO DE CONTRASTE 35.000:1, RELAÇÃO DE PROJEÇÃO 16:9/4:3, CONEXÕES HDMI, VGA, RCA, USB, WI-FI, MARCA OPTOMA, EPSON, OU SIMILAR </t>
  </si>
  <si>
    <r>
      <rPr>
        <sz val="11"/>
        <rFont val="Times New Roman"/>
        <family val="1"/>
      </rPr>
      <t>16.3.2.1.18</t>
    </r>
    <r>
      <rPr>
        <sz val="11"/>
        <color theme="1"/>
        <rFont val="Calibri"/>
        <family val="2"/>
        <scheme val="minor"/>
      </rPr>
      <t/>
    </r>
  </si>
  <si>
    <t>RUA PADRE HUMBERTO PIETROGRANDE, 3509, BAIRRO SÃO RAIMUNDO, MARGEM DO RIO POTY - TERESINA - PIAUÍ</t>
  </si>
  <si>
    <t>LUMINÁRIA INDUSTRIAL EM CHAPA DE AÇO, BLINDADA, A PROVA DE TEMPO, P/ LÂMPADA 2 X 20 W (TECNOLUX - REF TB165/24 OU SIMILAR)</t>
  </si>
  <si>
    <t>FORNECIMENTO E INSTALAÇÃO DE ELEVADOR ELÉTRICO SOCIAL PARA 08 PASSAGEIROS OU 600KG, COM 02 PARADAS, PAINEIS E TETO EM AÇO ESCOVADO, CORRIMÃO TUBULAR, PORTAS AÇO INOX</t>
  </si>
  <si>
    <r>
      <rPr>
        <sz val="11"/>
        <rFont val="Times New Roman"/>
        <family val="1"/>
      </rPr>
      <t>16.3.11.1.3.2</t>
    </r>
    <r>
      <rPr>
        <sz val="11"/>
        <color theme="1"/>
        <rFont val="Calibri"/>
        <family val="2"/>
        <scheme val="minor"/>
      </rPr>
      <t/>
    </r>
  </si>
  <si>
    <t>INSTALAÇÃO DE GRUPO GERADOR 450 KVA</t>
  </si>
  <si>
    <t xml:space="preserve">PAINEL DE MÉDIA TENSÃO 15 KV - SE-ANEXOS  - COM DISJUNTORES, ACESSÓRIOS, MONTAGEM E INSTALAÇÃO
</t>
  </si>
  <si>
    <r>
      <rPr>
        <sz val="11"/>
        <rFont val="Times New Roman"/>
        <family val="1"/>
      </rPr>
      <t>1.1.9</t>
    </r>
    <r>
      <rPr>
        <sz val="11"/>
        <color theme="1"/>
        <rFont val="Calibri"/>
        <family val="2"/>
        <scheme val="minor"/>
      </rPr>
      <t/>
    </r>
  </si>
  <si>
    <t>ARQUEÓLOGO PLENO (NÍVEL SUPERIOR)</t>
  </si>
  <si>
    <t>30,75</t>
  </si>
  <si>
    <t>38,51</t>
  </si>
  <si>
    <t>28,30</t>
  </si>
  <si>
    <t>3,90</t>
  </si>
  <si>
    <t>12,42</t>
  </si>
  <si>
    <t>12,51</t>
  </si>
  <si>
    <t>1,53</t>
  </si>
  <si>
    <t>7,86</t>
  </si>
  <si>
    <t>13,79</t>
  </si>
  <si>
    <t>42,60</t>
  </si>
  <si>
    <t>50,12</t>
  </si>
  <si>
    <t>18,32</t>
  </si>
  <si>
    <t>8,65</t>
  </si>
  <si>
    <t>21,01</t>
  </si>
  <si>
    <t>11,84</t>
  </si>
  <si>
    <t>7904 - CLIPS 3/8" PARA HASTE DE ATERRAMENTO GALVANIZADA  (UN)</t>
  </si>
  <si>
    <t>CONECTOR EM LATAO TIPO MINIGAR PARA CABOS 16 -50 MM²- SPDA</t>
  </si>
  <si>
    <t xml:space="preserve">FLANGE 200 X 50MM PARA ELETROCALHA METÁLICA </t>
  </si>
  <si>
    <t xml:space="preserve">INSTALAÇÃO DE UNIDADE EVAPORADORA PARA SISTEMA VRF/VRV </t>
  </si>
  <si>
    <t>CPOS</t>
  </si>
  <si>
    <t>43.08.020</t>
  </si>
  <si>
    <t>UNIDADE EVAPORADORA TIPO VRV - PAREDE, CAPAC. 1,0 HP - FORNECIMENTO</t>
  </si>
  <si>
    <t xml:space="preserve">UNIDADE EVAPORADORA TIPO VRV - PAREDE, CAPAC. 2,0 HP - FORNECIMENTO </t>
  </si>
  <si>
    <t>UNIDADE EVAPORADORA TIPO VRV - TETO APARENTE, CAPAC. 2,5 HP - FORNECIMENTO</t>
  </si>
  <si>
    <t xml:space="preserve">UNIDADE EVAPORADORA TIPO VRV - CASSETE, CAPAC. 2,5 HP - FORNECIMENTO </t>
  </si>
  <si>
    <t xml:space="preserve">UNIDADE EVAPORADORA TIPO VRV - CASSETE, CAPAC. 4,0 HP - FORNECIMENTO </t>
  </si>
  <si>
    <t xml:space="preserve">UNIDADE EVAPORADORA TIPO VRV - CASSETE, CAPAC. 5,0 HP - FORNECIMENTO </t>
  </si>
  <si>
    <r>
      <rPr>
        <sz val="11"/>
        <rFont val="Times New Roman"/>
        <family val="1"/>
      </rPr>
      <t>16.4.1.3.9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</si>
  <si>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</si>
  <si>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</si>
  <si>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16.4.1.3.12</t>
    </r>
    <r>
      <rPr>
        <sz val="11"/>
        <color theme="1"/>
        <rFont val="Calibri"/>
        <family val="2"/>
        <scheme val="minor"/>
      </rPr>
      <t/>
    </r>
  </si>
  <si>
    <t>UNID CONDENSADORA 36,0HP, ALIMENTAÇÃO ELÉTRICA 380V/3F/60HZ  – FORNECIMENTO</t>
  </si>
  <si>
    <t xml:space="preserve">UNID CONDENSADORA 48,0HP, ALIMENTAÇÃO ELÉTRICA 380V/3F/60HZ  – FORNECIMENTO </t>
  </si>
  <si>
    <t xml:space="preserve">UNID CONDENSADORA 52,0HP, ALIMENTAÇÃO ELÉTRICA 380V/3F/60HZ  – FORNECIMENTO </t>
  </si>
  <si>
    <t xml:space="preserve">UNID CONDENSADORA 56,0HP, ALIMENTAÇÃO ELÉTRICA 380V/3F/60HZ  – FORNECIMENTO </t>
  </si>
  <si>
    <t>43.08.004</t>
  </si>
  <si>
    <t xml:space="preserve">INSTALAÇÃO DE UNIDADE CONDENSADORA PARA SISTEMA VRF/VRV </t>
  </si>
  <si>
    <r>
      <rPr>
        <sz val="11"/>
        <rFont val="Times New Roman"/>
        <family val="1"/>
      </rPr>
      <t>16.4.1.3.14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</si>
  <si>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</si>
  <si>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16.4.1.3.13</t>
    </r>
    <r>
      <rPr>
        <sz val="11"/>
        <color theme="1"/>
        <rFont val="Calibri"/>
        <family val="2"/>
        <scheme val="minor"/>
      </rPr>
      <t/>
    </r>
  </si>
  <si>
    <t xml:space="preserve">UNID CONDENSADORA 36,0HP, ALIMENTAÇÃO ELÉTRICA 380V/3F/60HZ  – FORNECIMENTO </t>
  </si>
  <si>
    <t>UNID CONDENSADORA 48,0HP, ALIMENTAÇÃO ELÉTRICA 380V/3F/60HZ  – FORNECIMENTO</t>
  </si>
  <si>
    <t>UNID CONDENSADORA 52,0HP, ALIMENTAÇÃO ELÉTRICA 380V/3F/60HZ  – FORNECIMENTO</t>
  </si>
  <si>
    <t>UNID CONDENSADORA 56,0HP, ALIMENTAÇÃO ELÉTRICA 380V/3F/60HZ  – FORNECIMENTO</t>
  </si>
  <si>
    <t xml:space="preserve">UNID CONDENSADORA 30,0HP, ALIMENTAÇÃO ELÉTRICA 380V/3F/60HZ  – FORNECIMENTO </t>
  </si>
  <si>
    <t xml:space="preserve">UNID CONDENSADORA 38,0HP, ALIMENTAÇÃO ELÉTRICA 380V/3F/60HZ  – FORNECIMENTO </t>
  </si>
  <si>
    <t xml:space="preserve">UNID CONDENSADORA 62,0HP, ALIMENTAÇÃO ELÉTRICA 380V/3F/60HZ  – FORNECIMENTO </t>
  </si>
  <si>
    <t xml:space="preserve">UNIDADE EVAPORADORA TIPO VRV - CASSETE, CAPAC. 3,0 HP - FORNECIMENTO </t>
  </si>
  <si>
    <t>UNIDADE EVAPORADORA TIPO VRV - CASSETE, CAPAC. 2,5 HP - FORNECIMENTO</t>
  </si>
  <si>
    <t xml:space="preserve"> UNIDADE EVAPORADORA TIPO VRV - PAREDE, CAPAC. 1,0 HP - FORNECIMENTO </t>
  </si>
  <si>
    <t xml:space="preserve">UNID CONDENSADORA 62,0HP, ALIMENTAÇÃO ELÉTRICA 380V/3F/60HZ – FORNECIMENTO </t>
  </si>
  <si>
    <t>Cabo de cobre PP Cordplast 5 x 4.0 mm2, 450/750v</t>
  </si>
  <si>
    <t>Fornecimento e instalação de fachada em pele de vidro, em vidro laminado 3+3 refletivo</t>
  </si>
  <si>
    <t xml:space="preserve">FLANGE 150 X 50MM PARA ELETROCALHA METÁLICA </t>
  </si>
  <si>
    <t xml:space="preserve">CLIPS 3/8" PARA HASTE DE ATERRAMENTO GALVANIZADA </t>
  </si>
  <si>
    <r>
      <rPr>
        <sz val="11"/>
        <rFont val="Times New Roman"/>
        <family val="1"/>
      </rPr>
      <t>16.3.10.1.6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</si>
  <si>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</si>
  <si>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16.3.11.1.6</t>
    </r>
    <r>
      <rPr>
        <sz val="11"/>
        <color theme="1"/>
        <rFont val="Calibri"/>
        <family val="2"/>
        <scheme val="minor"/>
      </rPr>
      <t/>
    </r>
  </si>
  <si>
    <t>BANDEJA DESLIZANTE PARA RACK 19'' 1U</t>
  </si>
  <si>
    <r>
      <rPr>
        <sz val="11"/>
        <rFont val="Times New Roman"/>
        <family val="1"/>
      </rPr>
      <t>16.3.2.1.19</t>
    </r>
    <r>
      <rPr>
        <sz val="11"/>
        <color theme="1"/>
        <rFont val="Calibri"/>
        <family val="2"/>
        <scheme val="minor"/>
      </rPr>
      <t/>
    </r>
  </si>
  <si>
    <t>PATCH PANEL 24 PORTAS, CATEGORIA 6 - FORNECIMENTO E INSTALAÇÃO</t>
  </si>
  <si>
    <t>BASE METÁLICA PARA MASTRO 1 ½  PARA SPDA - FORNECIMENTO E INSTALAÇÃO.</t>
  </si>
  <si>
    <t>MASTRO 1 ½  PARA SPDA - FORNECIMENTO E INSTALAÇÃO</t>
  </si>
  <si>
    <t>ELABORAÇÃO DE PROJETO "AS BUILT" DE TODA A EDIFICAÇÃO</t>
  </si>
  <si>
    <t>C3909</t>
  </si>
  <si>
    <t>I7379</t>
  </si>
  <si>
    <t>I7377</t>
  </si>
  <si>
    <t>IGNEX - PALITO IGNITOR PARA SOLDA EXOTÉRMICA</t>
  </si>
  <si>
    <t>CABO DE COBRE ISOLADO EPR, FLEXIVEL, 25MM², 8,7/15KV/90º C</t>
  </si>
  <si>
    <t>CAIXA D'AGUA FIBRA VIDRO 20.000 LITROS - FORTLEV-TORRES (OU SIMILAR)</t>
  </si>
  <si>
    <t>37,49</t>
  </si>
  <si>
    <t>15,67</t>
  </si>
  <si>
    <t>22,89</t>
  </si>
  <si>
    <t>18,01</t>
  </si>
  <si>
    <t>14,99</t>
  </si>
  <si>
    <t>13,32</t>
  </si>
  <si>
    <t>11,73</t>
  </si>
  <si>
    <t>3,61</t>
  </si>
  <si>
    <t>39,59</t>
  </si>
  <si>
    <t>17,49</t>
  </si>
  <si>
    <t>47,52</t>
  </si>
  <si>
    <t>12,33</t>
  </si>
  <si>
    <t>12,39</t>
  </si>
  <si>
    <t>8,28</t>
  </si>
  <si>
    <t>10,89</t>
  </si>
  <si>
    <t>6,52</t>
  </si>
  <si>
    <t>5,34</t>
  </si>
  <si>
    <t>7,80</t>
  </si>
  <si>
    <t>14,33</t>
  </si>
  <si>
    <t>21,71</t>
  </si>
  <si>
    <t>11,57</t>
  </si>
  <si>
    <t>89,23</t>
  </si>
  <si>
    <t>5,86</t>
  </si>
  <si>
    <t>16,18</t>
  </si>
  <si>
    <t>11,82</t>
  </si>
  <si>
    <t>11,54</t>
  </si>
  <si>
    <t>5,89</t>
  </si>
  <si>
    <t>60,09</t>
  </si>
  <si>
    <t>7,15</t>
  </si>
  <si>
    <t>35,24</t>
  </si>
  <si>
    <t>183,14</t>
  </si>
  <si>
    <t>2,08</t>
  </si>
  <si>
    <t>19,62</t>
  </si>
  <si>
    <t>11,42</t>
  </si>
  <si>
    <t>12,19</t>
  </si>
  <si>
    <t>3,43</t>
  </si>
  <si>
    <t>18,07</t>
  </si>
  <si>
    <t>22,71</t>
  </si>
  <si>
    <t>41,79</t>
  </si>
  <si>
    <t>70,27</t>
  </si>
  <si>
    <t>20,84</t>
  </si>
  <si>
    <t>6,10</t>
  </si>
  <si>
    <t>2,51</t>
  </si>
  <si>
    <t>23,64</t>
  </si>
  <si>
    <t>4,92</t>
  </si>
  <si>
    <t>32,83</t>
  </si>
  <si>
    <t>42,64</t>
  </si>
  <si>
    <t>218,01</t>
  </si>
  <si>
    <t>10,62</t>
  </si>
  <si>
    <t>15,24</t>
  </si>
  <si>
    <t>14,95</t>
  </si>
  <si>
    <t>28,07</t>
  </si>
  <si>
    <t>28,20</t>
  </si>
  <si>
    <t>12,58</t>
  </si>
  <si>
    <t>14,27</t>
  </si>
  <si>
    <t>606,45</t>
  </si>
  <si>
    <t>92,57</t>
  </si>
  <si>
    <t>13,89</t>
  </si>
  <si>
    <t>7,55</t>
  </si>
  <si>
    <t>10,28</t>
  </si>
  <si>
    <t>32,46</t>
  </si>
  <si>
    <t>37,91</t>
  </si>
  <si>
    <t>44,46</t>
  </si>
  <si>
    <t>37,62</t>
  </si>
  <si>
    <t>30,04</t>
  </si>
  <si>
    <t>24,04</t>
  </si>
  <si>
    <t>34,93</t>
  </si>
  <si>
    <t>81,74</t>
  </si>
  <si>
    <t>544,87</t>
  </si>
  <si>
    <t>861,35</t>
  </si>
  <si>
    <t>17,54</t>
  </si>
  <si>
    <t>15,17</t>
  </si>
  <si>
    <t>23,42</t>
  </si>
  <si>
    <t>64,91</t>
  </si>
  <si>
    <t>109,51</t>
  </si>
  <si>
    <t>29,79</t>
  </si>
  <si>
    <t>120,03</t>
  </si>
  <si>
    <t>77,04</t>
  </si>
  <si>
    <t>56,65</t>
  </si>
  <si>
    <t>25,87</t>
  </si>
  <si>
    <t>10,31</t>
  </si>
  <si>
    <t>75,32</t>
  </si>
  <si>
    <t>71,75</t>
  </si>
  <si>
    <t>57,82</t>
  </si>
  <si>
    <t>19,57</t>
  </si>
  <si>
    <t>19,77</t>
  </si>
  <si>
    <t>116,01</t>
  </si>
  <si>
    <t>33,05</t>
  </si>
  <si>
    <t>69,56</t>
  </si>
  <si>
    <t>92,62</t>
  </si>
  <si>
    <t>34,97</t>
  </si>
  <si>
    <t>1,41</t>
  </si>
  <si>
    <t>13,40</t>
  </si>
  <si>
    <t>10,41</t>
  </si>
  <si>
    <t>5,88</t>
  </si>
  <si>
    <t>78,34</t>
  </si>
  <si>
    <t>2.524,11</t>
  </si>
  <si>
    <t>2.544,22</t>
  </si>
  <si>
    <t>14.132,97</t>
  </si>
  <si>
    <t>5.801,52</t>
  </si>
  <si>
    <t xml:space="preserve">ARMAÇÃO DE BLOCO, VIGA BALDRAME OU SAPATA UTILIZANDO AÇO CA-50 DE 5,0 MM - MONTAGEM. </t>
  </si>
  <si>
    <t>953,02</t>
  </si>
  <si>
    <t>789,93</t>
  </si>
  <si>
    <t>517,48</t>
  </si>
  <si>
    <t>863,10</t>
  </si>
  <si>
    <t>230,19</t>
  </si>
  <si>
    <t>380,13</t>
  </si>
  <si>
    <t>94,03</t>
  </si>
  <si>
    <t>24,32</t>
  </si>
  <si>
    <t>45,16</t>
  </si>
  <si>
    <t>14,05</t>
  </si>
  <si>
    <t>35,30</t>
  </si>
  <si>
    <t>44,03</t>
  </si>
  <si>
    <t>106,91</t>
  </si>
  <si>
    <t>86,61</t>
  </si>
  <si>
    <t>483,41</t>
  </si>
  <si>
    <t>102,02</t>
  </si>
  <si>
    <t>15,62</t>
  </si>
  <si>
    <t>12,70</t>
  </si>
  <si>
    <t>12,92</t>
  </si>
  <si>
    <t>423,98</t>
  </si>
  <si>
    <t>82,51</t>
  </si>
  <si>
    <t>68,01</t>
  </si>
  <si>
    <t>76,19</t>
  </si>
  <si>
    <t>17,42</t>
  </si>
  <si>
    <t>7,50</t>
  </si>
  <si>
    <t>37,06</t>
  </si>
  <si>
    <t>20,40</t>
  </si>
  <si>
    <t>36,92</t>
  </si>
  <si>
    <t>10,91</t>
  </si>
  <si>
    <t>26,53</t>
  </si>
  <si>
    <t>36,08</t>
  </si>
  <si>
    <t>50,88</t>
  </si>
  <si>
    <t>69,97</t>
  </si>
  <si>
    <t>120,02</t>
  </si>
  <si>
    <t>238,71</t>
  </si>
  <si>
    <t>19,10</t>
  </si>
  <si>
    <t>22,06</t>
  </si>
  <si>
    <t>25,28</t>
  </si>
  <si>
    <t>15,10</t>
  </si>
  <si>
    <t>99,11</t>
  </si>
  <si>
    <t>299,32</t>
  </si>
  <si>
    <t>581,90</t>
  </si>
  <si>
    <t>11,30</t>
  </si>
  <si>
    <t>69,65</t>
  </si>
  <si>
    <t>72,27</t>
  </si>
  <si>
    <t>79,90</t>
  </si>
  <si>
    <t>85,95</t>
  </si>
  <si>
    <t>372,80</t>
  </si>
  <si>
    <t>504,61</t>
  </si>
  <si>
    <t>542,04</t>
  </si>
  <si>
    <t>901,11</t>
  </si>
  <si>
    <t>1.283,57</t>
  </si>
  <si>
    <t>141,29</t>
  </si>
  <si>
    <t>397,16</t>
  </si>
  <si>
    <t>2.125,83</t>
  </si>
  <si>
    <t>4.460,31</t>
  </si>
  <si>
    <t>69,60</t>
  </si>
  <si>
    <t>1.938,51</t>
  </si>
  <si>
    <t>74,75</t>
  </si>
  <si>
    <t>58,09</t>
  </si>
  <si>
    <t>59,09</t>
  </si>
  <si>
    <t>114,58</t>
  </si>
  <si>
    <t>184,70</t>
  </si>
  <si>
    <t>121,30</t>
  </si>
  <si>
    <t>1.303,52</t>
  </si>
  <si>
    <t>607,07</t>
  </si>
  <si>
    <t>181,83</t>
  </si>
  <si>
    <t>390,36</t>
  </si>
  <si>
    <t>23,50</t>
  </si>
  <si>
    <t>14,81</t>
  </si>
  <si>
    <t>46,89</t>
  </si>
  <si>
    <t>21,69</t>
  </si>
  <si>
    <t>16,73</t>
  </si>
  <si>
    <t>49,17</t>
  </si>
  <si>
    <t>30,32</t>
  </si>
  <si>
    <t>57,54</t>
  </si>
  <si>
    <t>79,04</t>
  </si>
  <si>
    <t>101,03</t>
  </si>
  <si>
    <t>124,65</t>
  </si>
  <si>
    <t>62,66</t>
  </si>
  <si>
    <t>76,57</t>
  </si>
  <si>
    <t>30,13</t>
  </si>
  <si>
    <t>110,41</t>
  </si>
  <si>
    <t>28,10</t>
  </si>
  <si>
    <t>113,13</t>
  </si>
  <si>
    <t>9,44</t>
  </si>
  <si>
    <t>65,13</t>
  </si>
  <si>
    <t>34,10</t>
  </si>
  <si>
    <t>73,90</t>
  </si>
  <si>
    <t>67,59</t>
  </si>
  <si>
    <t>61,21</t>
  </si>
  <si>
    <t>29,59</t>
  </si>
  <si>
    <t>44,60</t>
  </si>
  <si>
    <t>7,99</t>
  </si>
  <si>
    <t>433,55</t>
  </si>
  <si>
    <t>778,45</t>
  </si>
  <si>
    <t>516,71</t>
  </si>
  <si>
    <t>72,36</t>
  </si>
  <si>
    <t>76,21</t>
  </si>
  <si>
    <t>67,81</t>
  </si>
  <si>
    <t>99,97</t>
  </si>
  <si>
    <t>243,57</t>
  </si>
  <si>
    <t>139,86</t>
  </si>
  <si>
    <t>85,48</t>
  </si>
  <si>
    <t>397,42</t>
  </si>
  <si>
    <t>1.437,63</t>
  </si>
  <si>
    <t>1.971,45</t>
  </si>
  <si>
    <t>60,83</t>
  </si>
  <si>
    <t>24,25</t>
  </si>
  <si>
    <t>101,97</t>
  </si>
  <si>
    <t>20,03</t>
  </si>
  <si>
    <t>18,40</t>
  </si>
  <si>
    <t>30,41</t>
  </si>
  <si>
    <t>52,60</t>
  </si>
  <si>
    <t>58,13</t>
  </si>
  <si>
    <t>4.806,00</t>
  </si>
  <si>
    <t>2.243,47</t>
  </si>
  <si>
    <t>44,05</t>
  </si>
  <si>
    <t>107.537,12</t>
  </si>
  <si>
    <t>34,47</t>
  </si>
  <si>
    <t>PINTURA ACRILICA EM PISO CIMENTADO, DUAS DEMAOS</t>
  </si>
  <si>
    <r>
      <rPr>
        <sz val="11"/>
        <rFont val="Times New Roman"/>
        <family val="1"/>
      </rPr>
      <t>16.3.2.1.20</t>
    </r>
    <r>
      <rPr>
        <sz val="11"/>
        <color theme="1"/>
        <rFont val="Calibri"/>
        <family val="2"/>
        <scheme val="minor"/>
      </rPr>
      <t/>
    </r>
  </si>
  <si>
    <t>PAREDE COM PLACAS DE GESSO ACARTONADO (DRYWALL), PARA USO INTERNO, COM DUAS FACES SIMPLES E ESTRUTURA METÁLICA COM GUIAS SIMPLES, COM VÃOS</t>
  </si>
  <si>
    <t>GRUPO GERADOR 450 KVA COM QUADRO DE TRANSFERÊNCIA AUTOMÁTICA, CARENADO 85DB, COMPLETO (UN)</t>
  </si>
  <si>
    <t>36.08.360</t>
  </si>
  <si>
    <t>P.11.000.047594</t>
  </si>
  <si>
    <t>UNIDADE EVAPORADORA TIPO VRV - PAREDE, CAPAC. 2,0 HP - FORNECIMENTO</t>
  </si>
  <si>
    <t xml:space="preserve">UNIDADE EVAPORADORA TIPO VRV - PAREDE, CAPAC. 1,0 HP - FORNECIMENTO </t>
  </si>
  <si>
    <t xml:space="preserve">UNID EVAPORADORA VRV TIPO PAREDE 2,0HP
</t>
  </si>
  <si>
    <t>43.08.021</t>
  </si>
  <si>
    <t>44.08.020</t>
  </si>
  <si>
    <t>Q.04.000.031021</t>
  </si>
  <si>
    <t>Q.04.000.031020</t>
  </si>
  <si>
    <t>43.08.041</t>
  </si>
  <si>
    <t>43.08.042</t>
  </si>
  <si>
    <t>43.08.043</t>
  </si>
  <si>
    <t>Q.04.000.031041</t>
  </si>
  <si>
    <t>Q.04.000.031042</t>
  </si>
  <si>
    <t>Q.04.000.031043</t>
  </si>
  <si>
    <t>43.08.031</t>
  </si>
  <si>
    <t>Q.04.000.031031</t>
  </si>
  <si>
    <t>Q.01.000.047538</t>
  </si>
  <si>
    <t>EXAUSTOR MULTIVAC MOD MURO 150A, VAZÃO 70M3/H, MOTOR POT. 12W 220V/1Ø/60HZ, COM SISTEMA INTERTRAVADO COM INTERRUPTOR DE LUZ. (UN)</t>
  </si>
  <si>
    <t>43.05.030</t>
  </si>
  <si>
    <t xml:space="preserve">UNIDADE EVAPORADORA TIPO VRV - PAREDE, CAPAC. 1,5 HP - FORNECIMENTO </t>
  </si>
  <si>
    <t>CABO SHIELDADO DE COMUNICAÇÃO DO SISTEMA DE VRV (M)</t>
  </si>
  <si>
    <t>PAINEL DE SOBREPOR AUTO SUPORTÁVEL TIPO ARMÁRIO - QGBT - COM DISJUNTORES E ACESSÓRIOS. (UN)</t>
  </si>
  <si>
    <t>PAINEL DE SOBREPOR AUTO SUPORTÁVEL TIPO ARMÁRIO - QGBT - COM DISJUNTORES E ACESSÓRIOS</t>
  </si>
  <si>
    <t>9512_1 - PAINEL DE MÉDIA TENSÃO 15 KV - SE-ANEXOS  - COM DISJUNTORES, ACESSÓRIOS, MONTAGEM E INSTALAÇÃO (SCHNEIDER OU SIMILAR)</t>
  </si>
  <si>
    <t>PAINEL DE MÉDIA TENSÃO 15 KV - SE-ANEXOS  - COM DISJUNTORES, ACESSÓRIOS, MONTAGEM E INSTALAÇÃO (SCHNEIDER OU SIMILAR)</t>
  </si>
  <si>
    <t xml:space="preserve">PAINEL DE SOBREPOR AUTO SUPORTÁVEL TIPO ARMÁRIO - QGBT - COM DISJUNTORES E ACESSÓRIOS
</t>
  </si>
  <si>
    <t>Condensador para sistema VRF de ar condicionado, capacidade de 11 TR a 13 TR</t>
  </si>
  <si>
    <t>43.08.003</t>
  </si>
  <si>
    <t>Q.04.000.031003</t>
  </si>
  <si>
    <t>Condensador para sistema VRF de ar condicionado, capacidade de 8 TR a 10 TR</t>
  </si>
  <si>
    <t>Q.04.000.031002</t>
  </si>
  <si>
    <t>43.08.003_1</t>
  </si>
  <si>
    <t>Condensador para sistema VRF de ar condicionado, capacidade de 14 TR a 16 TR</t>
  </si>
  <si>
    <t>Q.04.000.031004</t>
  </si>
  <si>
    <t>Condensador para sistema VRF de ar condicionado, capacidade até 6 TR</t>
  </si>
  <si>
    <t>Q.04.000.031001</t>
  </si>
  <si>
    <t>43.08.004_1</t>
  </si>
  <si>
    <t>43.08.004_2</t>
  </si>
  <si>
    <t>43.08.004_3</t>
  </si>
  <si>
    <t>43.08.004_4</t>
  </si>
  <si>
    <t>UNIDADE EVAPORADORA TIPO VRV - CASSETE, CAPAC. 5,0 HP - FORNECIMENTO</t>
  </si>
  <si>
    <t>UNIDADE EVAPORADORA TIPO VRV - CASSETE, CAPAC. 4,0 HP - FORNECIMENTO</t>
  </si>
  <si>
    <t>UNIDADE EVAPORADORA TIPO VRV - TETO, CAPAC. 2,5 HP - FORNECIMENTO</t>
  </si>
  <si>
    <t>61.10.513</t>
  </si>
  <si>
    <t>Q.04.000.031427</t>
  </si>
  <si>
    <t>6.2.1</t>
  </si>
  <si>
    <t>6.2.1.1</t>
  </si>
  <si>
    <t>6.2.1.2</t>
  </si>
  <si>
    <t>6.2.2</t>
  </si>
  <si>
    <t>6.2.2.1</t>
  </si>
  <si>
    <t>INSTALAÇÃO DE GRUPO GERADOR 450 KVA (UN)</t>
  </si>
  <si>
    <t>C4183</t>
  </si>
  <si>
    <t>PERCENTUAIS(%)</t>
  </si>
  <si>
    <r>
      <rPr>
        <b/>
        <sz val="12"/>
        <rFont val="Arial"/>
        <family val="2"/>
      </rPr>
      <t>1.</t>
    </r>
    <r>
      <rPr>
        <sz val="12"/>
        <rFont val="Arial"/>
        <family val="2"/>
      </rPr>
      <t xml:space="preserve"> ADMINISTRAÇÃO CENTRAL (AC)</t>
    </r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</si>
  <si>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SEGURO + GARANTIA (S,G)</t>
    </r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</si>
  <si>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 RISCOS (R)</t>
    </r>
  </si>
  <si>
    <r>
      <rPr>
        <b/>
        <sz val="12"/>
        <rFont val="Arial"/>
        <family val="2"/>
      </rPr>
      <t>4.</t>
    </r>
    <r>
      <rPr>
        <sz val="12"/>
        <rFont val="Arial"/>
        <family val="2"/>
      </rPr>
      <t xml:space="preserve"> DESPESAS FINANCEIRAS (DF)</t>
    </r>
  </si>
  <si>
    <r>
      <rPr>
        <b/>
        <sz val="12"/>
        <rFont val="Arial"/>
        <family val="2"/>
      </rPr>
      <t>5.</t>
    </r>
    <r>
      <rPr>
        <sz val="12"/>
        <rFont val="Arial"/>
        <family val="2"/>
      </rPr>
      <t xml:space="preserve"> LUCRO (L)</t>
    </r>
  </si>
  <si>
    <r>
      <rPr>
        <b/>
        <sz val="12"/>
        <rFont val="Arial"/>
        <family val="2"/>
      </rPr>
      <t>6.</t>
    </r>
    <r>
      <rPr>
        <sz val="12"/>
        <rFont val="Arial"/>
        <family val="2"/>
      </rPr>
      <t xml:space="preserve"> IMPOSTOS (I)</t>
    </r>
  </si>
  <si>
    <r>
      <rPr>
        <b/>
        <sz val="12"/>
        <rFont val="Arial"/>
        <family val="2"/>
      </rPr>
      <t xml:space="preserve">6.1. </t>
    </r>
    <r>
      <rPr>
        <sz val="12"/>
        <rFont val="Arial"/>
        <family val="2"/>
      </rPr>
      <t>ISSQN</t>
    </r>
  </si>
  <si>
    <r>
      <rPr>
        <b/>
        <sz val="12"/>
        <rFont val="Arial"/>
        <family val="2"/>
      </rPr>
      <t xml:space="preserve">6.2. </t>
    </r>
    <r>
      <rPr>
        <sz val="12"/>
        <rFont val="Arial"/>
        <family val="2"/>
      </rPr>
      <t>PIS</t>
    </r>
  </si>
  <si>
    <r>
      <rPr>
        <b/>
        <sz val="12"/>
        <rFont val="Arial"/>
        <family val="2"/>
      </rPr>
      <t xml:space="preserve">6.3. </t>
    </r>
    <r>
      <rPr>
        <sz val="12"/>
        <rFont val="Arial"/>
        <family val="2"/>
      </rPr>
      <t>COFINS</t>
    </r>
  </si>
  <si>
    <r>
      <rPr>
        <b/>
        <sz val="12"/>
        <rFont val="Arial"/>
        <family val="2"/>
      </rPr>
      <t xml:space="preserve">6.4. </t>
    </r>
    <r>
      <rPr>
        <sz val="12"/>
        <rFont val="Arial"/>
        <family val="2"/>
      </rPr>
      <t>CPRB</t>
    </r>
  </si>
  <si>
    <t>BDI REFERENCIAL(%)=</t>
  </si>
  <si>
    <t>BDI DIFERENCIADO</t>
  </si>
  <si>
    <t>BDI DIFERENCIADO(%)=</t>
  </si>
  <si>
    <t>COMPOSIÇÃO DO BDI - CONSTRUÇÃO DA CORREGEDORIA E EJUD DO NOVO COMPLEXO JUDICIÁRIO DO PALÁCIO DA JUSTIÇA DO PIAUÍ</t>
  </si>
  <si>
    <r>
      <rPr>
        <sz val="11"/>
        <rFont val="Times New Roman"/>
        <family val="1"/>
      </rPr>
      <t>4.1.4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</si>
  <si>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</si>
  <si>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</si>
  <si>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4.1.7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</si>
  <si>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4.1.8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</si>
  <si>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</si>
  <si>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</si>
  <si>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</si>
  <si>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</si>
  <si>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</si>
  <si>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</si>
  <si>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</si>
  <si>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</si>
  <si>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4.2.5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</si>
  <si>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4.2.6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</si>
  <si>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4.2.7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</si>
  <si>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4.2.8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</si>
  <si>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4.2.9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</si>
  <si>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4.2.10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</si>
  <si>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</si>
  <si>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</si>
  <si>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</si>
  <si>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6.1.4.5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</si>
  <si>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6.1.5.9</t>
    </r>
    <r>
      <rPr>
        <sz val="11"/>
        <color theme="1"/>
        <rFont val="Calibri"/>
        <family val="2"/>
        <scheme val="minor"/>
      </rPr>
      <t/>
    </r>
  </si>
  <si>
    <t>FORNECIMENTO E INSTALAÇÃO DE FACHADA EM PELE DE VIDRO, EM VIDRO LAMINADO 3+3 REFLETIVO</t>
  </si>
  <si>
    <r>
      <rPr>
        <sz val="11"/>
        <rFont val="Times New Roman"/>
        <family val="1"/>
      </rPr>
      <t>6.1.4.5</t>
    </r>
    <r>
      <rPr>
        <sz val="11"/>
        <color theme="1"/>
        <rFont val="Calibri"/>
        <family val="2"/>
        <scheme val="minor"/>
      </rPr>
      <t/>
    </r>
  </si>
  <si>
    <t xml:space="preserve">CABO DE COBRE FLEXÍVEL ISOLADO, 6 MM², ANTI-CHAMA 0,6/1,0 KV, PARA DISTRIBUIÇÃO - FORNECIMENTO E INSTALAÇÃO. </t>
  </si>
  <si>
    <r>
      <rPr>
        <sz val="11"/>
        <rFont val="Times New Roman"/>
        <family val="1"/>
      </rPr>
      <t>4.3.11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</si>
  <si>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16.4.1.1.2</t>
    </r>
    <r>
      <rPr>
        <sz val="11"/>
        <color theme="1"/>
        <rFont val="Calibri"/>
        <family val="2"/>
        <scheme val="minor"/>
      </rPr>
      <t/>
    </r>
  </si>
  <si>
    <t>CABO DE COBRE PP CORDPLAST 5 X 4.0 MM2, 450/750V</t>
  </si>
  <si>
    <t>AS COMPOSIÇÕES DE CUSTO SÃO SOMENTE AQUELAS QUE NÃO CONSTAM NA TABELA SINAPI, MAS COM OS CUSTOS UNITÁRIOS DO SINAPI, QUANDO HOUVER.</t>
  </si>
  <si>
    <t>ESTRUTURA METÁLICA P/ BRISES, EM PERFIS U DOBRADO DE CHAPA UDC 100X50X3 MM (4.50 KG/M) COMPOSTA DE MONTANTES VERTICAIS CONSTITUÍDOS POR 02 PERFIS UDC SOLDADOS ESPAÇADOS DE 1,40M, 02 PERFIS UDC SIMPLES DISTANCIADOS 1,70M, DENSIDADE DE UDC ATÉ 40KG/M2 (M2)</t>
  </si>
  <si>
    <t>BRISE METÁLICO FIXO E LINEAR EM CHAPA MICROPERFURADA ALUMÍNIO PRÉ-PINTADA. FORNECIMENTO E INSTALAÇÃO. (M²)</t>
  </si>
  <si>
    <t>PORTA CORTA-FOGO 100X210X4CM - FORNECIMENTO E INSTALAÇÃO. (C04) (UN)</t>
  </si>
  <si>
    <r>
      <rPr>
        <sz val="11"/>
        <rFont val="Times New Roman"/>
        <family val="1"/>
      </rPr>
      <t>16.4.1.1.3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</si>
  <si>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16.4.1.1.4</t>
    </r>
    <r>
      <rPr>
        <sz val="11"/>
        <color theme="1"/>
        <rFont val="Calibri"/>
        <family val="2"/>
        <scheme val="minor"/>
      </rPr>
      <t/>
    </r>
  </si>
  <si>
    <t>QUADRO DE DISTRIBUIÇÃO DE ENERGIA EM CHAPA DE AÇO GALVANIZADO, DE EMBUTIR, COM BARRAMENTO TRIFÁSICO, PARA 40 DISJUNTORES DIN 100A - FORNECIMENTO E INSTALAÇÃO</t>
  </si>
  <si>
    <t>MANUTENÇÃO DO CANTEIRO (MÊS)</t>
  </si>
  <si>
    <t>CUSTO ESTIMADO DE ENERGIA ELÉTRICA PARA ALIMENTAÇÃO DO CANTEIRO DE OBRAS</t>
  </si>
  <si>
    <t>CUSTO ESTIMADO DE CONSUMO DE ÁGUA PARA CANTEIRO/OBRA</t>
  </si>
  <si>
    <r>
      <rPr>
        <sz val="11"/>
        <rFont val="Times New Roman"/>
        <family val="1"/>
      </rPr>
      <t>1.1.10</t>
    </r>
    <r>
      <rPr>
        <sz val="11"/>
        <color theme="1"/>
        <rFont val="Calibri"/>
        <family val="2"/>
        <scheme val="minor"/>
      </rPr>
      <t/>
    </r>
  </si>
  <si>
    <t>14.6</t>
  </si>
  <si>
    <t>kg</t>
  </si>
  <si>
    <r>
      <rPr>
        <sz val="11"/>
        <rFont val="Times New Roman"/>
        <family val="1"/>
      </rPr>
      <t>14.6</t>
    </r>
    <r>
      <rPr>
        <sz val="11"/>
        <color theme="1"/>
        <rFont val="Calibri"/>
        <family val="2"/>
        <scheme val="minor"/>
      </rPr>
      <t/>
    </r>
  </si>
  <si>
    <t>PISO TÁTIL DIRECIONAL - ELEMENTOS EM INOX (12 PEÇAS/M)</t>
  </si>
  <si>
    <t>CAIXA SIFONADA, COM TAMPA CEGA, DE 250X230X75MM (UN)</t>
  </si>
  <si>
    <t>43.08.004_5</t>
  </si>
  <si>
    <t>PINTURA COM TINTA ALQUÍDICA DE FUNDO (TIPO ZARCÃO) PULVERIZADA SOBRE SUPERFÍCIES METÁLICAS EXECUTADO EM OBRA (POR DEMÃO)</t>
  </si>
  <si>
    <t xml:space="preserve">APLICAÇÃO E LIXAMENTO DE MASSA LÁTEX EM TETO, DUAS DEMÃOS. </t>
  </si>
  <si>
    <r>
      <rPr>
        <sz val="11"/>
        <rFont val="Times New Roman"/>
        <family val="1"/>
      </rPr>
      <t>17.7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</si>
  <si>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</si>
  <si>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</si>
  <si>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</si>
  <si>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</si>
  <si>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17.6</t>
    </r>
    <r>
      <rPr>
        <sz val="11"/>
        <color theme="1"/>
        <rFont val="Calibri"/>
        <family val="2"/>
        <scheme val="minor"/>
      </rPr>
      <t/>
    </r>
  </si>
  <si>
    <t>APLICAÇÃO DE FUNDO SELADOR ACRÍLICO EM TETO, UMA DEMÃO</t>
  </si>
  <si>
    <t>APLICAÇÃO MANUAL DE PINTURA COM TINTA LÁTEX ACRÍLICA EM TETO, DUAS DEMÃOS</t>
  </si>
  <si>
    <t>CUSTO ESTIMADO DE TELEFONIA MÓVEL E TRANSMISSÃO DE DADOS</t>
  </si>
  <si>
    <t>UNIDADE EVAPORADORA TIPO VRV - CASSETE, CAPAC. 3.0 OU 2,5 HP - FORNECIMENTO</t>
  </si>
  <si>
    <t xml:space="preserve">UNID EVAPORADORA VRV TIPO CASSETE 3,0 OU 2,5HP </t>
  </si>
  <si>
    <t>TOTAL CORREGEDORIA SEM B.D.I</t>
  </si>
  <si>
    <t>VALOR CORRESPONDENTE AO B.D.I</t>
  </si>
  <si>
    <t>TOTAL CORREGEDORIA COM B.D.I</t>
  </si>
  <si>
    <t>R$</t>
  </si>
  <si>
    <t>CONCORRÊNCIA Nº 16/2021</t>
  </si>
  <si>
    <t>PROCESSO SEI Nº 21.0.000047249-0</t>
  </si>
  <si>
    <t>DATA - 05/08/2021</t>
  </si>
  <si>
    <t>HORÁRIO - 10:30H ( Dez horas e trinta minutos ).</t>
  </si>
  <si>
    <t>LOCAL - Auditório do Tribunal de Justiça do Piauí</t>
  </si>
  <si>
    <t>VALOR DA CORREGEDORIA</t>
  </si>
  <si>
    <t>VALOR DO EJUD</t>
  </si>
  <si>
    <t>VALOR TOTA DA OBRA</t>
  </si>
  <si>
    <t>TOTAL DA EJUD SEM B.D.I</t>
  </si>
  <si>
    <t>TOTAL DA EJUD COM B.D.I</t>
  </si>
  <si>
    <t>ESCOLA JUDICIÁRIA - EJUD</t>
  </si>
  <si>
    <r>
      <rPr>
        <b/>
        <sz val="11"/>
        <color rgb="FF000000"/>
        <rFont val="Times New Roman"/>
        <family val="1"/>
      </rPr>
      <t>OBJETO</t>
    </r>
    <r>
      <rPr>
        <sz val="10"/>
        <color rgb="FF000000"/>
        <rFont val="Times New Roman"/>
        <family val="1"/>
      </rPr>
      <t xml:space="preserve"> - CONSTRUÇÃO DOS NOVOS PRÉDIOS DA CORREGEDORIA GERAL DA JUSTIÇA E DA ESCOLA JUDICIÁRIA</t>
    </r>
    <r>
      <rPr>
        <b/>
        <u/>
        <sz val="10"/>
        <color theme="4" tint="-0.249977111117893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DO NOVO COMPLEXO JUDICIÁRIO DO PALÁCIO DA JUSTIÇA DO PIAUÍ</t>
    </r>
  </si>
  <si>
    <t>CORREGEDORIA GERAL  DA JUSTIÇA</t>
  </si>
  <si>
    <r>
      <t>CONSTRUÇÃO DOS NOVOS PRÉDIOS DA CORREGEDORIA GERAL DA JUSTIÇA E DA ESCOLA JUDICIÁRIA</t>
    </r>
    <r>
      <rPr>
        <b/>
        <u/>
        <sz val="10"/>
        <color theme="4" tint="-0.249977111117893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DO NOVO COMPLEXO JUDICIÁRIO DO PALÁCIO DA JUSTIÇA DO PIAUÍ</t>
    </r>
  </si>
  <si>
    <t>OBS. OS VALORES ENCONTRADOS SÃO ATRAVEZ DA FÓRMULA</t>
  </si>
  <si>
    <t>Notas:</t>
  </si>
  <si>
    <t>1. Percentuais em conformidade com os valores admitidos para a composição do BDI, conforme Acórdão TCU - Plenário 2622/2013.</t>
  </si>
  <si>
    <t>2. ISS conforme legislação tributária do Município.</t>
  </si>
  <si>
    <t>3. A inserção da CPRB decorre das alterações promovidas pelas Leis 12.844/2013 e 13.043/2014, conforme orientação do Acórdão TCU 2.293/2013 - Plenário. A Lei 13.161/2015, em seu art. 7°, aumenta a contribuição previdenciária sobre receita bruta para 4,5%.</t>
  </si>
  <si>
    <r>
      <rPr>
        <sz val="12"/>
        <color theme="1"/>
        <rFont val="Arial"/>
        <family val="2"/>
      </rPr>
      <t>4.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Aplicação de BDI Diferenciado nos seguintes</t>
    </r>
    <r>
      <rPr>
        <b/>
        <sz val="12"/>
        <color theme="1"/>
        <rFont val="Arial"/>
        <family val="2"/>
      </rPr>
      <t xml:space="preserve"> itens referentes a equipamentos: 16.3.2.1.4 a 16.3.2.1.11 (Corregedoria/EJUD), 16.3.11.1.3.1 (Corregedoria), 16.4.1.3.1 a 16.4.1.3.10 (Corregedoria), 16.4.1.3.1 a 16.4.1.3.8 (EJUD). </t>
    </r>
    <r>
      <rPr>
        <sz val="12"/>
        <color theme="1"/>
        <rFont val="Arial"/>
        <family val="2"/>
      </rPr>
      <t/>
    </r>
  </si>
  <si>
    <t>TRIBUNAL DE JUSTIÇA DO PIAUÍ</t>
  </si>
  <si>
    <t>TAXAS DE ENCARGOS SOCIAIS</t>
  </si>
  <si>
    <t>ENCARGOS SOCIAIS SOBRE A MÃO DE OBRA - SINAPI/PI COM DESONERAÇÃO</t>
  </si>
  <si>
    <t>HORISTA %</t>
  </si>
  <si>
    <t>MENSALISTA %</t>
  </si>
  <si>
    <t>GRUPO A</t>
  </si>
  <si>
    <t>A</t>
  </si>
  <si>
    <t>Total dos Encargos Sociais</t>
  </si>
  <si>
    <t>GRUPO B</t>
  </si>
  <si>
    <t>B</t>
  </si>
  <si>
    <t>Total dos Encargos Sociais que recebem incidências de A</t>
  </si>
  <si>
    <t>GRUPO C</t>
  </si>
  <si>
    <t>C</t>
  </si>
  <si>
    <t>Total dos Encargos Sociais que não recebem incidências globais de A</t>
  </si>
  <si>
    <t>GRUPO D</t>
  </si>
  <si>
    <t>D</t>
  </si>
  <si>
    <t>Total das Taxas incidências e reincidências</t>
  </si>
  <si>
    <t xml:space="preserve">TOTAL (A+B+C+D)               </t>
  </si>
  <si>
    <r>
      <rPr>
        <sz val="10"/>
        <rFont val="Arial MT"/>
        <family val="2"/>
      </rPr>
      <t>A1</t>
    </r>
  </si>
  <si>
    <r>
      <rPr>
        <sz val="10"/>
        <rFont val="Arial MT"/>
        <family val="2"/>
      </rPr>
      <t>INSS</t>
    </r>
  </si>
  <si>
    <r>
      <rPr>
        <sz val="10"/>
        <rFont val="Arial MT"/>
        <family val="2"/>
      </rPr>
      <t>A2</t>
    </r>
  </si>
  <si>
    <r>
      <rPr>
        <sz val="10"/>
        <rFont val="Arial MT"/>
        <family val="2"/>
      </rPr>
      <t>SESI</t>
    </r>
  </si>
  <si>
    <r>
      <rPr>
        <sz val="10"/>
        <rFont val="Arial MT"/>
        <family val="2"/>
      </rPr>
      <t>A3</t>
    </r>
  </si>
  <si>
    <r>
      <rPr>
        <sz val="10"/>
        <rFont val="Arial MT"/>
        <family val="2"/>
      </rPr>
      <t>SENAI</t>
    </r>
  </si>
  <si>
    <r>
      <rPr>
        <sz val="10"/>
        <rFont val="Arial MT"/>
        <family val="2"/>
      </rPr>
      <t>A4</t>
    </r>
  </si>
  <si>
    <r>
      <rPr>
        <sz val="10"/>
        <rFont val="Arial MT"/>
        <family val="2"/>
      </rPr>
      <t>INCRA</t>
    </r>
  </si>
  <si>
    <r>
      <rPr>
        <sz val="10"/>
        <rFont val="Arial MT"/>
        <family val="2"/>
      </rPr>
      <t>A5</t>
    </r>
  </si>
  <si>
    <r>
      <rPr>
        <sz val="10"/>
        <rFont val="Arial MT"/>
        <family val="2"/>
      </rPr>
      <t>SEBRAE</t>
    </r>
  </si>
  <si>
    <r>
      <rPr>
        <sz val="10"/>
        <rFont val="Arial MT"/>
        <family val="2"/>
      </rPr>
      <t>A6</t>
    </r>
  </si>
  <si>
    <r>
      <rPr>
        <sz val="10"/>
        <rFont val="Arial MT"/>
        <family val="2"/>
      </rPr>
      <t>Salário-Educação</t>
    </r>
  </si>
  <si>
    <r>
      <rPr>
        <sz val="10"/>
        <rFont val="Arial MT"/>
        <family val="2"/>
      </rPr>
      <t>A7</t>
    </r>
  </si>
  <si>
    <r>
      <rPr>
        <sz val="10"/>
        <rFont val="Arial MT"/>
        <family val="2"/>
      </rPr>
      <t>Seguro Contra Acidentes de Trabalho</t>
    </r>
  </si>
  <si>
    <r>
      <rPr>
        <sz val="10"/>
        <rFont val="Arial MT"/>
        <family val="2"/>
      </rPr>
      <t>A8</t>
    </r>
  </si>
  <si>
    <r>
      <rPr>
        <sz val="10"/>
        <rFont val="Arial MT"/>
        <family val="2"/>
      </rPr>
      <t>FGTS</t>
    </r>
  </si>
  <si>
    <r>
      <rPr>
        <sz val="10"/>
        <rFont val="Arial MT"/>
        <family val="2"/>
      </rPr>
      <t>A9</t>
    </r>
  </si>
  <si>
    <r>
      <rPr>
        <sz val="10"/>
        <rFont val="Arial MT"/>
        <family val="2"/>
      </rPr>
      <t>SECONCI</t>
    </r>
  </si>
  <si>
    <r>
      <rPr>
        <sz val="10"/>
        <rFont val="Arial MT"/>
        <family val="2"/>
      </rPr>
      <t>B1</t>
    </r>
  </si>
  <si>
    <r>
      <rPr>
        <sz val="10"/>
        <rFont val="Arial MT"/>
        <family val="2"/>
      </rPr>
      <t>Repouso Semanal Remunerado</t>
    </r>
  </si>
  <si>
    <r>
      <rPr>
        <sz val="10"/>
        <rFont val="Arial MT"/>
        <family val="2"/>
      </rPr>
      <t>B2</t>
    </r>
  </si>
  <si>
    <r>
      <rPr>
        <sz val="10"/>
        <rFont val="Arial MT"/>
        <family val="2"/>
      </rPr>
      <t>Feriados</t>
    </r>
  </si>
  <si>
    <r>
      <rPr>
        <sz val="10"/>
        <rFont val="Arial MT"/>
        <family val="2"/>
      </rPr>
      <t>B3</t>
    </r>
  </si>
  <si>
    <r>
      <rPr>
        <sz val="10"/>
        <rFont val="Arial MT"/>
        <family val="2"/>
      </rPr>
      <t>Auxilio - enfermidade</t>
    </r>
  </si>
  <si>
    <r>
      <rPr>
        <sz val="10"/>
        <rFont val="Arial MT"/>
        <family val="2"/>
      </rPr>
      <t>B4</t>
    </r>
  </si>
  <si>
    <r>
      <rPr>
        <sz val="10"/>
        <rFont val="Arial MT"/>
        <family val="2"/>
      </rPr>
      <t>13º salário</t>
    </r>
  </si>
  <si>
    <r>
      <rPr>
        <sz val="10"/>
        <rFont val="Arial MT"/>
        <family val="2"/>
      </rPr>
      <t>B5</t>
    </r>
  </si>
  <si>
    <r>
      <rPr>
        <sz val="10"/>
        <rFont val="Arial MT"/>
        <family val="2"/>
      </rPr>
      <t>Licença Paternidade</t>
    </r>
  </si>
  <si>
    <r>
      <rPr>
        <sz val="10"/>
        <rFont val="Arial MT"/>
        <family val="2"/>
      </rPr>
      <t>B6</t>
    </r>
  </si>
  <si>
    <r>
      <rPr>
        <sz val="10"/>
        <rFont val="Arial MT"/>
        <family val="2"/>
      </rPr>
      <t>Faltas justificadas</t>
    </r>
  </si>
  <si>
    <r>
      <rPr>
        <sz val="10"/>
        <rFont val="Arial MT"/>
        <family val="2"/>
      </rPr>
      <t>B7</t>
    </r>
  </si>
  <si>
    <r>
      <rPr>
        <sz val="10"/>
        <rFont val="Arial MT"/>
        <family val="2"/>
      </rPr>
      <t>Dias de chuva</t>
    </r>
  </si>
  <si>
    <r>
      <rPr>
        <sz val="10"/>
        <rFont val="Arial MT"/>
        <family val="2"/>
      </rPr>
      <t>B8</t>
    </r>
  </si>
  <si>
    <r>
      <rPr>
        <sz val="10"/>
        <rFont val="Arial MT"/>
        <family val="2"/>
      </rPr>
      <t>Auxilio acidete de trabalho</t>
    </r>
  </si>
  <si>
    <r>
      <rPr>
        <sz val="10"/>
        <rFont val="Arial MT"/>
        <family val="2"/>
      </rPr>
      <t>B9</t>
    </r>
  </si>
  <si>
    <r>
      <rPr>
        <sz val="10"/>
        <rFont val="Arial MT"/>
        <family val="2"/>
      </rPr>
      <t>Férias Gozadas</t>
    </r>
  </si>
  <si>
    <r>
      <rPr>
        <sz val="10"/>
        <rFont val="Arial MT"/>
        <family val="2"/>
      </rPr>
      <t>B10</t>
    </r>
  </si>
  <si>
    <r>
      <rPr>
        <sz val="10"/>
        <rFont val="Arial MT"/>
        <family val="2"/>
      </rPr>
      <t>Salário Maternidade</t>
    </r>
  </si>
  <si>
    <r>
      <rPr>
        <sz val="10"/>
        <rFont val="Arial MT"/>
        <family val="2"/>
      </rPr>
      <t>C1</t>
    </r>
  </si>
  <si>
    <r>
      <rPr>
        <sz val="10"/>
        <rFont val="Arial MT"/>
        <family val="2"/>
      </rPr>
      <t>Aviso Prévio Indenizado</t>
    </r>
  </si>
  <si>
    <r>
      <rPr>
        <sz val="10"/>
        <rFont val="Arial MT"/>
        <family val="2"/>
      </rPr>
      <t>C2</t>
    </r>
  </si>
  <si>
    <r>
      <rPr>
        <sz val="10"/>
        <rFont val="Arial MT"/>
        <family val="2"/>
      </rPr>
      <t>Aviso Prévio Trabalhado</t>
    </r>
  </si>
  <si>
    <r>
      <rPr>
        <sz val="10"/>
        <rFont val="Arial MT"/>
        <family val="2"/>
      </rPr>
      <t>C3</t>
    </r>
  </si>
  <si>
    <r>
      <rPr>
        <sz val="10"/>
        <rFont val="Arial MT"/>
        <family val="2"/>
      </rPr>
      <t>Férias Idenizadas</t>
    </r>
  </si>
  <si>
    <r>
      <rPr>
        <sz val="10"/>
        <rFont val="Arial MT"/>
        <family val="2"/>
      </rPr>
      <t>C4</t>
    </r>
  </si>
  <si>
    <r>
      <rPr>
        <sz val="10"/>
        <rFont val="Arial MT"/>
        <family val="2"/>
      </rPr>
      <t>Depósito rescisão sem Justa Causa</t>
    </r>
  </si>
  <si>
    <r>
      <rPr>
        <sz val="10"/>
        <rFont val="Arial MT"/>
        <family val="2"/>
      </rPr>
      <t>C5</t>
    </r>
  </si>
  <si>
    <r>
      <rPr>
        <sz val="10"/>
        <rFont val="Arial MT"/>
        <family val="2"/>
      </rPr>
      <t>Idenização Adicional</t>
    </r>
  </si>
  <si>
    <r>
      <rPr>
        <sz val="10"/>
        <rFont val="Arial MT"/>
        <family val="2"/>
      </rPr>
      <t>D1</t>
    </r>
  </si>
  <si>
    <r>
      <rPr>
        <sz val="10"/>
        <rFont val="Arial MT"/>
        <family val="2"/>
      </rPr>
      <t>Reincidência de Grupo A sobre Grupo B</t>
    </r>
  </si>
  <si>
    <r>
      <rPr>
        <sz val="10"/>
        <rFont val="Arial MT"/>
        <family val="2"/>
      </rPr>
      <t>D2</t>
    </r>
  </si>
  <si>
    <t>Reincidência de Grupo A sobre Aviso Prévio Trabalhado e Reincidência do FGTS sobre Aviso Prévio Indenizado</t>
  </si>
  <si>
    <t>4.3.9</t>
  </si>
  <si>
    <t>16.1.1.2.10</t>
  </si>
  <si>
    <t>16.1.1.2.14</t>
  </si>
  <si>
    <t>16.1.1.2.16</t>
  </si>
  <si>
    <t>5.3</t>
  </si>
  <si>
    <t>5.4</t>
  </si>
  <si>
    <t>PAPELEIRA DE PAREDE EM METAL CROMADO SEM
TAMPA, INCLUSO FIXAÇÃO. AF_01/2020</t>
  </si>
  <si>
    <t>16.2.1.2.1</t>
  </si>
  <si>
    <t>16.3.2.1.11</t>
  </si>
  <si>
    <t>16.3.2.3.3</t>
  </si>
  <si>
    <t>CABO TELEFÔNICO CI-50 50 PARES INSTALADO EM
ENTRADA DE EDIFICAÇÃO - FORNECIMENTO E
INSTALAÇÃO. AF_11/2019</t>
  </si>
  <si>
    <t>16.3.9.1.6</t>
  </si>
  <si>
    <t>16.3.9.1.7</t>
  </si>
  <si>
    <t>TERMINAL A COMPRESSAO EM COBRE ESTANHADO PARA
CABO 2,5 MM2, 1 FURO E 1 COMPRESSAO, PARA PARAFUSO
DE FIXACAO M5</t>
  </si>
  <si>
    <t>16.3.9.1.8</t>
  </si>
  <si>
    <t>16.3.9.1.9</t>
  </si>
  <si>
    <t>TERMINAL A COMPRESSAO EM COBRE ESTANHADO PARA
CABO 25 MM2, 1 FURO E 1 COMPRESSAO, PARA PARAFUSO
DE FIXACAO M8</t>
  </si>
  <si>
    <t>16.3.9.1.10</t>
  </si>
  <si>
    <t>TERMINAL A COMPRESSAO EM COBRE ESTANHADO PARA
CABO 50 MM2, 1 FURO E 1 COMPRESSAO, PARA PARAFUSO
DE FIXACAO M8</t>
  </si>
  <si>
    <t>16.3.9.2.6</t>
  </si>
  <si>
    <t>16.3.9.2.7</t>
  </si>
  <si>
    <t>16.3.9.2.8</t>
  </si>
  <si>
    <t>16.3.9.2.9</t>
  </si>
  <si>
    <t>16.3.9.2.10</t>
  </si>
  <si>
    <t>16.3.9.3.6</t>
  </si>
  <si>
    <t>16.3.9.3.7</t>
  </si>
  <si>
    <t>16.3.9.3.8</t>
  </si>
  <si>
    <t>16.3.9.3.9</t>
  </si>
  <si>
    <t>TERMINAL A COMPRESSAO EM COBRE ESTANHADO PARA
CABO 16 MM2, 1 FURO E 1 COMPRESSAO, PARA PARAFUSO
DE FIXACAO M6</t>
  </si>
  <si>
    <t>16.3.9.3.10</t>
  </si>
  <si>
    <t>16.3.9.4.7</t>
  </si>
  <si>
    <t>16.3.9.4.8</t>
  </si>
  <si>
    <t>16.3.9.4.9</t>
  </si>
  <si>
    <t>16.3.9.4.10</t>
  </si>
  <si>
    <t>16.3.9.4.11</t>
  </si>
  <si>
    <t>16.3.9.5.1</t>
  </si>
  <si>
    <t>16.3.9.5.7</t>
  </si>
  <si>
    <t>16.3.9.5.8</t>
  </si>
  <si>
    <t>16.3.9.5.9</t>
  </si>
  <si>
    <t>16.3.9.5.10</t>
  </si>
  <si>
    <t>16.3.9.5.11</t>
  </si>
  <si>
    <t>16.3.9.5.12</t>
  </si>
  <si>
    <t>16.3.9.5.13</t>
  </si>
  <si>
    <t>16.3.9.6.1</t>
  </si>
  <si>
    <t>16.3.9.6.4</t>
  </si>
  <si>
    <t>16.3.9.6.6</t>
  </si>
  <si>
    <t>16.3.9.6.7</t>
  </si>
  <si>
    <t>16.3.9.6.8</t>
  </si>
  <si>
    <t>16.3.9.6.9</t>
  </si>
  <si>
    <t>16.3.9.6.10</t>
  </si>
  <si>
    <t>16.3.9.7.1</t>
  </si>
  <si>
    <t>16.3.9.7.7</t>
  </si>
  <si>
    <t>16.3.9.7.8</t>
  </si>
  <si>
    <t>16.3.9.7.9</t>
  </si>
  <si>
    <t>16.3.9.7.10</t>
  </si>
  <si>
    <t>16.3.9.8.1</t>
  </si>
  <si>
    <t>16.3.9.8.12</t>
  </si>
  <si>
    <t>16.3.9.9.2</t>
  </si>
  <si>
    <t>16.3.9.9.8</t>
  </si>
  <si>
    <t>16.3.9.9.9</t>
  </si>
  <si>
    <t>16.3.9.9.10</t>
  </si>
  <si>
    <t>16.3.9.10.2</t>
  </si>
  <si>
    <t>16.3.9.10.8</t>
  </si>
  <si>
    <t>16.3.9.10.9</t>
  </si>
  <si>
    <t>16.3.9.10.10</t>
  </si>
  <si>
    <t>16.3.9.11.1</t>
  </si>
  <si>
    <t>16.3.9.11.3</t>
  </si>
  <si>
    <t>16.3.9.11.4</t>
  </si>
  <si>
    <t>16.3.9.12.1</t>
  </si>
  <si>
    <t>16.3.9.12.4</t>
  </si>
  <si>
    <t>16.3.9.12.5</t>
  </si>
  <si>
    <t>16.3.9.13.1</t>
  </si>
  <si>
    <t>16.3.9.13.3</t>
  </si>
  <si>
    <t>16.3.9.13.4</t>
  </si>
  <si>
    <t>TERMINAL A COMPRESSAO EM COBRE ESTANHADO PARA
CABO 70 MM2, 1 FURO E 1 COMPRESSAO, PARA PARAFUSO
DE FIXACAO M10</t>
  </si>
  <si>
    <t>16.3.9.14.3</t>
  </si>
  <si>
    <t>16.3.9.14.4</t>
  </si>
  <si>
    <t>1.1.7</t>
  </si>
  <si>
    <t>ALMOXARIFE COM ENCARGOS COMPLEMENTARES</t>
  </si>
  <si>
    <t>4.3.10</t>
  </si>
  <si>
    <t>PISO TÁTIL DIRECIONAL - ELEMENTOS EM INOX (12
PEÇAS/M)</t>
  </si>
  <si>
    <t>16.3.1.4.1</t>
  </si>
  <si>
    <t>CAIXA ENTERRADA ELÉTRICA RETANGULAR, EM
CONCRETO PRÉ-MOLDADO, FUNDO COM BRITA,
DIMENSÕES INTERNAS: 0,8X0,8X0,5 M. AF_12/2020</t>
  </si>
  <si>
    <t>16.3.1.4.2</t>
  </si>
  <si>
    <t>CAIXA ENTERRADA ELÉTRICA RETANGULAR, EM
CONCRETO PRÉ-MOLDADO, FUNDO COM BRITA,
DIMENSÕES INTERNAS: 0,6X0,6X0,5 M. AF_12/2020</t>
  </si>
  <si>
    <t>16.3.1.4.3</t>
  </si>
  <si>
    <t>CAIXA ENTERRADA ELÉTRICA RETANGULAR, EM
CONCRETO PRÉ-MOLDADO, FUNDO COM BRITA,
DIMENSÕES INTERNAS: 0,3X0,3X0,3 M. AF_12/2020</t>
  </si>
  <si>
    <t>16.3.2.2.33</t>
  </si>
  <si>
    <t>16.3.2.2.34</t>
  </si>
  <si>
    <t>16.3.2.2.35</t>
  </si>
  <si>
    <t>16.3.2.2.36</t>
  </si>
  <si>
    <t>16.3.2.5.6</t>
  </si>
  <si>
    <t>16.3.2.5.7</t>
  </si>
  <si>
    <t>16.3.7.6.10</t>
  </si>
  <si>
    <t>16.3.8.1.3</t>
  </si>
  <si>
    <t>16.3.8.1.5</t>
  </si>
  <si>
    <t>16.3.8.1.6</t>
  </si>
  <si>
    <t>16.3.8.1.7</t>
  </si>
  <si>
    <t>16.3.8.2.5</t>
  </si>
  <si>
    <t>16.3.8.2.6</t>
  </si>
  <si>
    <t>16.3.8.2.7</t>
  </si>
  <si>
    <t>16.3.8.4.1</t>
  </si>
  <si>
    <t>16.3.8.4.7</t>
  </si>
  <si>
    <t>16.3.8.4.8</t>
  </si>
  <si>
    <t>16.3.8.4.9</t>
  </si>
  <si>
    <t>16.3.8.4.10</t>
  </si>
  <si>
    <t>16.3.8.5.1</t>
  </si>
  <si>
    <t>16.3.8.5.8</t>
  </si>
  <si>
    <t>16.3.8.5.9</t>
  </si>
  <si>
    <t>16.3.8.5.10</t>
  </si>
  <si>
    <t>16.3.8.5.11</t>
  </si>
  <si>
    <t>16.3.8.6.1</t>
  </si>
  <si>
    <t>16.3.8.6.5</t>
  </si>
  <si>
    <t>16.3.8.6.6</t>
  </si>
  <si>
    <t>16.3.8.6.7</t>
  </si>
  <si>
    <t>16.3.8.6.8</t>
  </si>
  <si>
    <t>16.3.8.6.9</t>
  </si>
  <si>
    <t>16.3.8.6.10</t>
  </si>
  <si>
    <t>16.3.8.7.6</t>
  </si>
  <si>
    <t>16.3.8.7.7</t>
  </si>
  <si>
    <t>16.3.8.7.8</t>
  </si>
  <si>
    <t>16.3.8.7.9</t>
  </si>
  <si>
    <t>16.3.8.7.10</t>
  </si>
  <si>
    <t>16.3.8.7.11</t>
  </si>
  <si>
    <t>16.3.8.8.1</t>
  </si>
  <si>
    <t>16.3.8.8.4</t>
  </si>
  <si>
    <t>16.3.8.8.5</t>
  </si>
  <si>
    <t>16.3.8.8.6</t>
  </si>
  <si>
    <t>16.3.8.8.7</t>
  </si>
  <si>
    <t>16.3.8.8.8</t>
  </si>
  <si>
    <t>16.3.8.8.9</t>
  </si>
  <si>
    <t>16.3.8.8.10</t>
  </si>
  <si>
    <t>16.3.8.8.11</t>
  </si>
  <si>
    <t>16.3.8.8.12</t>
  </si>
  <si>
    <t>16.3.8.8.13</t>
  </si>
  <si>
    <t>TERMINAL A COMPRESSAO EM COBRE ESTANHADO PARA
CABO 120 MM2, 1 FURO E 1 COMPRESSAO, PARA
PARAFUSO DE FIXACAO M12</t>
  </si>
  <si>
    <t>16.3.8.9.1</t>
  </si>
  <si>
    <t>16.3.8.9.5</t>
  </si>
  <si>
    <t>16.3.8.9.6</t>
  </si>
  <si>
    <t>16.3.8.9.7</t>
  </si>
  <si>
    <t>16.3.8.9.8</t>
  </si>
  <si>
    <t>16.3.8.9.9</t>
  </si>
  <si>
    <t>16.3.8.9.10</t>
  </si>
  <si>
    <t>16.3.8.9.11</t>
  </si>
  <si>
    <t>16.3.8.9.12</t>
  </si>
  <si>
    <t>16.3.8.9.13</t>
  </si>
  <si>
    <t>16.3.8.10.1</t>
  </si>
  <si>
    <t>16.3.8.10.7</t>
  </si>
  <si>
    <t>16.3.8.10.8</t>
  </si>
  <si>
    <t>16.3.8.10.9</t>
  </si>
  <si>
    <t>16.3.8.10.10</t>
  </si>
  <si>
    <t>16.3.8.11.1</t>
  </si>
  <si>
    <t>16.3.8.11.7</t>
  </si>
  <si>
    <t>16.3.8.11.8</t>
  </si>
  <si>
    <t>16.3.8.11.9</t>
  </si>
  <si>
    <t>16.3.8.11.10</t>
  </si>
  <si>
    <t>16.3.8.12.1</t>
  </si>
  <si>
    <t>16.3.8.12.12</t>
  </si>
  <si>
    <t>16.3.8.13.1</t>
  </si>
  <si>
    <t>16.3.8.13.3</t>
  </si>
  <si>
    <t>16.3.8.13.4</t>
  </si>
  <si>
    <t>16.3.8.14.1</t>
  </si>
  <si>
    <t>16.3.8.14.3</t>
  </si>
  <si>
    <t>16.3.8.14.4</t>
  </si>
  <si>
    <t>16.3.8.15.1</t>
  </si>
  <si>
    <t>16.3.8.15.3</t>
  </si>
  <si>
    <t>16.3.8.15.4</t>
  </si>
  <si>
    <t>16.3.8.16.1</t>
  </si>
  <si>
    <t>16.3.8.16.3</t>
  </si>
  <si>
    <t>16.3.8.16.4</t>
  </si>
  <si>
    <t>16.3.8.17.1</t>
  </si>
  <si>
    <t>16.3.8.17.5</t>
  </si>
  <si>
    <t>16.3.8.17.6</t>
  </si>
  <si>
    <t>16.3.8.17.7</t>
  </si>
  <si>
    <t>16.3.8.18.1</t>
  </si>
  <si>
    <t>16.3.8.18.4</t>
  </si>
  <si>
    <t>16.3.8.18.5</t>
  </si>
  <si>
    <t>16.3.8.18.6</t>
  </si>
  <si>
    <t>16.3.8.19.2</t>
  </si>
  <si>
    <t>16.3.8.19.8</t>
  </si>
  <si>
    <t>16.3.8.19.9</t>
  </si>
  <si>
    <t>16.3.8.19.10</t>
  </si>
  <si>
    <t>16.3.8.20.2</t>
  </si>
  <si>
    <t>16.3.8.20.8</t>
  </si>
  <si>
    <t>16.3.8.20.9</t>
  </si>
  <si>
    <t>16.3.8.20.10</t>
  </si>
  <si>
    <t>16.3.10.1.4</t>
  </si>
  <si>
    <t>BASE METÁLICA PARA MASTRO 1 ½ PARA SPDA -
FORNECIMENTO E INSTALAÇÃO. AF_12/2017</t>
  </si>
  <si>
    <t>16.3.10.1.5</t>
  </si>
  <si>
    <t>MASTRO 1 ½ PARA SPDA - FORNECIMENTO E
INSTALAÇÃO. AF_12/2017</t>
  </si>
  <si>
    <t>16.3.10.3.2</t>
  </si>
  <si>
    <t>16.4.1.4.3</t>
  </si>
  <si>
    <t>CONCRETAGEM DE RADIER, PISO OU LAJE SOBRE SOLO, FCK 30 MPA, PARA ESPESSURA DE 10 CM - LANÇAMENTO, ADENSAMENTO E ACABAMENTO. AF_09/2017</t>
  </si>
  <si>
    <t>PAREDE COM PLACAS DE GESSO ACARTONADO
(DRYWALL), PARA USO INTERNO, COM UMA FACE SIMPLES E OUTRA FACE DUPLA E ESTRUTURA METÁLICA COM GUIAS SIMPLES, COM VÃOS. AF_06/2017_P</t>
  </si>
  <si>
    <t>ABRIGO PARA HIDRANTE, 90X60X17CM, COM REGISTRO GLOBO ANGULAR 45 GRAUS 2 1/2", ADAPTADOR STORZ 2 1/2", MANGUEIRA DE INCÊNDIO 20M, REDUÇÃO 2 1/2" X 1 1/2" E ESGUICHO EM LATÃO 1 1/2" - FORNECIMENTO E INSTALAÇÃO. AF_10/2020</t>
  </si>
  <si>
    <t>ELETRODUTO FLEXÍVEL CORRUGADO, PEAD, DN 50 (1 ½ ) - FORNECIMENTO E INSTALAÇÃO. AF_04/2016</t>
  </si>
  <si>
    <t>ELETRODUTO FLEXÍVEL CORRUGADO, PEAD, DN 63 (2") - FORNECIMENTO E INSTALAÇÃO. AF_04/2016</t>
  </si>
  <si>
    <t>ELETRODUTO FLEXÍVEL CORRUGADO, PEAD, DN 90 (3 ) - FORNECIMENTO E INSTALAÇÃO. AF_04/2016</t>
  </si>
  <si>
    <t>ELETRODUTO FLEXÍVEL CORRUGADO, PEAD, DN 100 (4 ) - FORNECIMENTO E INSTALAÇÃO. AF_04/2016</t>
  </si>
  <si>
    <t>NOBREAK TRIFASICO, DE 20 KVA FATOR DE POTENCIA DE 0,8, AUTONOMIA MINIMA DE 30 MINUTOS A PLENA CARGA</t>
  </si>
  <si>
    <t>DISJUNTOR BAIXA TENSÃO TRIPOLAR A SECO 800A/600V - FORNECIMENTO E INSTALAÇÃO. AF_10/2020</t>
  </si>
  <si>
    <t>TERMINAL METALICO A PRESSAO PARA 1 CABO DE 240 MM2, COM 1 FURO DE FIXACAO</t>
  </si>
  <si>
    <t>TERMINAL A COMPRESSAO EM COBRE ESTANHADO PARA CABO 50 MM2, 1 FURO E 1 COMPRESSAO, PARA PARAFUSO DE FIXACAO M8</t>
  </si>
  <si>
    <t>TERMINAL A COMPRESSAO EM COBRE ESTANHADO PARA CABO 35 MM2, 1 FURO E 1 COMPRESSAO, PARA PARAFUSO DE FIXACAO M8</t>
  </si>
  <si>
    <t>TERMINAL METALICO A PRESSAO PARA 1 CABO DE 120 MM2, COM 1 FURO DE FIXACAO</t>
  </si>
  <si>
    <t>TERMINAL METALICO A PRESSAO PARA 1 CABO DE 16 MM2, COM 1 FURO DE FIXACAO</t>
  </si>
  <si>
    <t>QUADRO DE DISTRIBUIÇÃO DE ENERGIA EM CHAPA DE AÇO GALVANIZADO, DE EMBUTIR, COM BARRAMENTO TRIFÁSICO, PARA 40 DISJUNTORES DIN 100A - FORNECIMENTO E INSTALAÇÃO. AF_10/2020</t>
  </si>
  <si>
    <t>TERMINAL A COMPRESSAO EM COBRE ESTANHADO PARA CABO 2,5 MM2, 1 FURO E 1 COMPRESSAO, PARA PARAFUSO DE FIXACAO M5</t>
  </si>
  <si>
    <t>TERMINAL A COMPRESSAO EM COBRE ESTANHADO PARA CABO 6 MM2, 1 FURO E 1 COMPRESSAO, PARA PARAFUSO DE FIXACAO M6</t>
  </si>
  <si>
    <t>DISJUNTOR TERMOMAGNÉTICO TRIPOLAR , CORRENTE NOMINAL DE 125A - FORNECIMENTO E INSTALAÇÃO. AF_10/2020</t>
  </si>
  <si>
    <t>TERMINAL A COMPRESSAO EM COBRE ESTANHADO PARA CABO 4 MM2, 1 FURO E 1 COMPRESSAO, PARA PARAFUSO DE FIXACAO M5</t>
  </si>
  <si>
    <t>TERMINAL A COMPRESSAO EM COBRE ESTANHADO PARA CABO 70 MM2, 1 FURO E 1 COMPRESSAO, PARA PARAFUSO DE FIXACAO M10</t>
  </si>
  <si>
    <t>DISJUNTOR TERMOMAGNÉTICO TRIPOLAR , CORRENTE NOMINAL DE 200A - FORNECIMENTO E INSTALAÇÃO. AF_10/2020</t>
  </si>
  <si>
    <t>TERMINAL A COMPRESSAO EM COBRE ESTANHADO PARA CABO 95 MM2, 1 FURO E 1 COMPRESSAO, PARA PARAFUSO DE FIXACAO M12</t>
  </si>
  <si>
    <t>QUADRO DE DISTRIBUIÇÃO DE ENERGIA EM CHAPA DE AÇO GALVANIZADO, DE SOBREPOR, COM BARRAMENTO TRIFÁSICO, PARA 18 DISJUNTORES DIN 100A - FORNECIMENTO E INSTALAÇÃO. AF_10/2020</t>
  </si>
  <si>
    <t>TERMINAL A COMPRESSAO EM COBRE ESTANHADO PARA CABO 16 MM2, 1 FURO E 1 COMPRESSAO, PARA PARAFUSO DE FIXACAO M6</t>
  </si>
  <si>
    <t>TERMINAL A COMPRESSAO EM COBRE ESTANHADO PARA CABO 25 MM2, 1 FURO E 1 COMPRESSAO, PARA PARAFUSO DE FIXACAO M8</t>
  </si>
  <si>
    <t>TERMINAL A COMPRESSAO EM COBRE ESTANHADO PARA CABO 120 MM2, 1 FURO E 1 COMPRESSAO, PARA
PARAFUSO DE FIXACAO M12</t>
  </si>
  <si>
    <t>TERMINAL A COMPRESSAO EM COBRE ESTANHADO PARA CABO 10 MM2, 1 FURO E 1 COMPRESSAO, PARA PARAFUSO DE FIXACAO M6</t>
  </si>
  <si>
    <t>QUADRO DE DISTRIBUIÇÃO DE ENERGIA EM CHAPA DE AÇO GALVANIZADO, DE EMBUTIR, COM BARRAMENTO TRIFÁSICO, PARA 12 DISJUNTORES DIN 100A - FORNECIMENTO E INSTALAÇÃO. AF_10/2020</t>
  </si>
  <si>
    <t>QUADRO DE DISTRIBUIÇÃO DE ENERGIA EM CHAPA DE AÇO GALVANIZADO, DE EMBUTIR, COM BARRAMENTO TRIFÁSICO, PARA 24 DISJUNTORES DIN 100A - FORNECIMENTO E INSTALAÇÃO. AF_10/2020</t>
  </si>
  <si>
    <t>DISJUNTOR TRIPOLAR TIPO DIN, CORRENTE NOMINAL DE 20A - FORNECIMENTO E INSTALAÇÃO. AF_10/2020</t>
  </si>
  <si>
    <t>CORDOALHA DE COBRE NU 50 MM², ENTERRADA, SEM ISOLADOR - FORNECIMENTO E INSTALAÇÃO. AF 12/2017</t>
  </si>
  <si>
    <t>PAREDE COM PLACAS DE GESSO ACARTONADO
(DRYWALL), PARA USO INTERNO, COM DUAS FACES
SIMPLES E ESTRUTURA METÁLICA COM GUIAS SIMPLES, COM VÃOS AF_06/2017_P</t>
  </si>
  <si>
    <t>MICTÓRIO SIFONADO LOUÇA BRANCA PADRÃO MÉDIO FORNECIMENTO E INSTALAÇÃO. AF_01/2020</t>
  </si>
  <si>
    <t>CAIXA D'AGUA FIBRA DE VIDRO PARA 5000 LITROS, COM TAMPA</t>
  </si>
  <si>
    <t>DISJUNTOR TRIPOLAR TIPO DIN, CORRENTE NOMINAL DE 50A - FORNECIMENTO E INSTALAÇÃO. AF_10/2020</t>
  </si>
  <si>
    <t>QUADRO DE DISTRIBUIÇÃO DE ENERGIA EM CHAPA DE AÇO GALVANIZADO, DE EMBUTIR, COM BARRAMENTO TRIFÁSICO, PARA 30 DISJUNTORES DIN 225A - FORNECIMENTO E INSTALAÇÃO. AF_10/2020</t>
  </si>
  <si>
    <t>TERMINAL A COMPRESSAO EM COBRE ESTANHADO PARA CABO 25 MM2, 1 FURO E 1 COMPRESSAO, PARA PARAFUSO</t>
  </si>
  <si>
    <t>CAIXA DE INSPEÇÃO PARA ATERRAMENTO, CIRCULAR, EM POLIETILENO, DIÂMETRO INTERNO = 0,3 M. AF_12/2020</t>
  </si>
  <si>
    <t>CORDOALHA DE COBRE NU 50 MM², ENTERRADA, SEM ISOLADOR - FORNECIMENTO E INSTALAÇÃO. AF_12/2017</t>
  </si>
  <si>
    <t>ACRÉSCIMO</t>
  </si>
  <si>
    <t>VALOR</t>
  </si>
  <si>
    <t>SUPRESSÃO</t>
  </si>
  <si>
    <r>
      <rPr>
        <sz val="11"/>
        <rFont val="Times New Roman"/>
        <family val="1"/>
      </rPr>
      <t>8.1.5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</si>
  <si>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14.7</t>
    </r>
    <r>
      <rPr>
        <sz val="11"/>
        <color theme="1"/>
        <rFont val="Calibri"/>
        <family val="2"/>
        <scheme val="minor"/>
      </rPr>
      <t/>
    </r>
  </si>
  <si>
    <t>RODAPE CERAMICO DE 10CM</t>
  </si>
  <si>
    <t>20.4</t>
  </si>
  <si>
    <t>20.4.1</t>
  </si>
  <si>
    <t>SHAFT EM GESSO ACARTONADO PARA TUBULAÇÃO DE ÁGUA PLUVIAL</t>
  </si>
  <si>
    <t>DIVISÓRIA EM GRANITO PARA OS BOXES DOS BANHEIROS</t>
  </si>
  <si>
    <t>20.4.2</t>
  </si>
  <si>
    <t>20.4.3</t>
  </si>
  <si>
    <t>FECHO PARA PORTAS DE ALUMINIO DOS BOXES DOS BANHEIROS CROMADO</t>
  </si>
  <si>
    <t>PINTURA PARA PISO CIMENTADO DA ESCADA</t>
  </si>
  <si>
    <r>
      <rPr>
        <sz val="11"/>
        <rFont val="Times New Roman"/>
        <family val="1"/>
      </rPr>
      <t>3.3.3</t>
    </r>
    <r>
      <rPr>
        <sz val="11"/>
        <color theme="1"/>
        <rFont val="Calibri"/>
        <family val="2"/>
        <scheme val="minor"/>
      </rPr>
      <t/>
    </r>
  </si>
  <si>
    <t>ATERRO APILOADO  NA CAIXA DA OBRA</t>
  </si>
  <si>
    <t>77/ORSE</t>
  </si>
  <si>
    <t xml:space="preserve"> Areia fina - posto jazida/fornecedor (retirado na jazida, sem transporte)</t>
  </si>
  <si>
    <t>REFLEXO</t>
  </si>
  <si>
    <r>
      <rPr>
        <sz val="11"/>
        <rFont val="Times New Roman"/>
        <family val="1"/>
      </rPr>
      <t>17.12</t>
    </r>
    <r>
      <rPr>
        <sz val="11"/>
        <color theme="1"/>
        <rFont val="Calibri"/>
        <family val="2"/>
        <scheme val="minor"/>
      </rPr>
      <t/>
    </r>
  </si>
  <si>
    <t>PINTURA EM TINTA ESMALTE SINTETICA PARA FERRO</t>
  </si>
  <si>
    <t>TECNICO EM SEGURANÇA DO TRABALHO</t>
  </si>
  <si>
    <r>
      <rPr>
        <sz val="11"/>
        <rFont val="Times New Roman"/>
        <family val="1"/>
      </rPr>
      <t>8.1.9</t>
    </r>
    <r>
      <rPr>
        <sz val="11"/>
        <color theme="1"/>
        <rFont val="Calibri"/>
        <family val="2"/>
        <scheme val="minor"/>
      </rPr>
      <t/>
    </r>
  </si>
  <si>
    <t>REFLEXO FINANCEIRO</t>
  </si>
  <si>
    <t>EJUD</t>
  </si>
  <si>
    <t>14.7</t>
  </si>
  <si>
    <r>
      <rPr>
        <sz val="11"/>
        <rFont val="Times New Roman"/>
        <family val="1"/>
      </rPr>
      <t>13.15</t>
    </r>
    <r>
      <rPr>
        <sz val="11"/>
        <color theme="1"/>
        <rFont val="Calibri"/>
        <family val="2"/>
        <scheme val="minor"/>
      </rPr>
      <t/>
    </r>
  </si>
  <si>
    <t>REVESTIMENTO METÁLICO EM ALUMÍNIO COMPOSTO (ALUCOBOND), E=0,3MM, PINTURA KAYNAR 500 COMPOSTA POR SEIS CAMADAS, INCLUSIVE ESTRUTURA METÁLICA AUXILIAR EM PERFIL DE VIGA "U" DE 2" - FORNECIMENTO E MONTAGEM (PILARES)</t>
  </si>
  <si>
    <t>REASSENTAMENTO DE BLOCOS SEXTAVADO PARA PISO INTERTRAVADO, ESPESSURA DE 10 CM, EM VIA/ESTACIONAMENTO, COM REAPROVEITAMENTO DOS BLOCOS SEXTAVADO - INCLUSO RETIRADA E COLOCAÇÃO DO MATERIAL</t>
  </si>
  <si>
    <r>
      <rPr>
        <sz val="11"/>
        <rFont val="Times New Roman"/>
        <family val="1"/>
      </rPr>
      <t>2.1.11</t>
    </r>
    <r>
      <rPr>
        <sz val="11"/>
        <color theme="1"/>
        <rFont val="Calibri"/>
        <family val="2"/>
        <scheme val="minor"/>
      </rPr>
      <t/>
    </r>
  </si>
  <si>
    <t>14.8</t>
  </si>
  <si>
    <t>PORTA DE ALUMÍNIO E FECHAMENTO EM CHAPA FRISADA PARA OS BOXES DOS BANHEIROS  NA COR BRANCO COM PUXADOR DO TIPO ALAVANCA  DE ABRIR UMA FOLHA, DIMENSÃO: 0,80X1,60M (PM)</t>
  </si>
  <si>
    <r>
      <rPr>
        <sz val="11"/>
        <rFont val="Times New Roman"/>
        <family val="1"/>
      </rPr>
      <t>18.4</t>
    </r>
    <r>
      <rPr>
        <sz val="11"/>
        <color theme="1"/>
        <rFont val="Calibri"/>
        <family val="2"/>
        <scheme val="minor"/>
      </rPr>
      <t/>
    </r>
  </si>
  <si>
    <t>CALHA</t>
  </si>
  <si>
    <t>AREA TECNICA</t>
  </si>
  <si>
    <t>CAIXA DAGUA</t>
  </si>
  <si>
    <t>PISO CXDG</t>
  </si>
  <si>
    <r>
      <rPr>
        <sz val="11"/>
        <rFont val="Times New Roman"/>
        <family val="1"/>
      </rPr>
      <t>14.8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</si>
  <si>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1.1.11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</si>
  <si>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19.3</t>
    </r>
    <r>
      <rPr>
        <sz val="11"/>
        <color theme="1"/>
        <rFont val="Calibri"/>
        <family val="2"/>
        <scheme val="minor"/>
      </rPr>
      <t/>
    </r>
  </si>
  <si>
    <t xml:space="preserve"> Guarda-corpo h = 1,10m e Corrimão em Aço Inox, barras superiores alt=0,92m e 0,70m e barra inferior, diam= 1.1/2" r, barras verticais d=3/4" a cada 0,11m, curvas de aço inox. - Escada</t>
  </si>
  <si>
    <t>CISTERNA</t>
  </si>
  <si>
    <t>CASA DE MAQUINA</t>
  </si>
  <si>
    <t>IMPERMEABILIZAÇÃO DE SUPERFÍCIE COM ARGAMASSA POLIMÉRICA / MEMBRANA ACRÍLICA, 4 DEMÃOS, REFORÇADA COM VÉU DE POLIÉSTER (MAV).</t>
  </si>
  <si>
    <t>Guarda-corpo h = 1,10m e Corrimão em Aço Inox, barras superiores alt=0,92m e 0,70m e barra inferior, diam= 1.1/2" r, barras verticais d=3/4" a cada 0,11m, curvas de aço inox.</t>
  </si>
  <si>
    <t>Concreto simples fck= 15 MPA (b1/b2), fabricado na obra, sem lançamento e adensamento</t>
  </si>
  <si>
    <t xml:space="preserve"> GUARDA-CORPO H = 1,10M E CORRIMÃO EM AÇO INOX, BARRAS SUPERIORES ALT=0,92M E 0,70M E BARRA INFERIOR, DIAM= 1.1/2" R, BARRAS VERTICAIS D=3/4" A CADA 0,11M, CURVAS DE AÇO INOX. - ESCADA</t>
  </si>
  <si>
    <t>Forma plástica de polipropileno 61x61x18cm (cubetas/cabacinhas) para laje nervurada, utilização por 10 dias, exceto escoramento</t>
  </si>
  <si>
    <t>Locação de cubeta / cabacinha plástica de polipropileno para laje nervurada - 61x61x18cm</t>
  </si>
  <si>
    <t>Locação de perfil cartola de chapa dobrada 13 de aço galvanizado 1020 (abas: 2,5c/altura:2,5cm/largura:7,5cm)</t>
  </si>
  <si>
    <t>un/dia</t>
  </si>
  <si>
    <t>m/dia</t>
  </si>
  <si>
    <t>Desmoldante protetor para formas de madeira, de base oleosaemulsionada em agua</t>
  </si>
  <si>
    <r>
      <rPr>
        <sz val="11"/>
        <rFont val="Times New Roman"/>
        <family val="1"/>
      </rPr>
      <t>6.1.3.11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</si>
  <si>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</si>
  <si>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6.1.3.13</t>
    </r>
    <r>
      <rPr>
        <sz val="11"/>
        <color theme="1"/>
        <rFont val="Calibri"/>
        <family val="2"/>
        <scheme val="minor"/>
      </rPr>
      <t/>
    </r>
  </si>
  <si>
    <t>Escoramento metálico para laje nervurada tipo Palestub, inclusive montagem e desmontagem</t>
  </si>
  <si>
    <t>Aluguel de escoramento metálico tipo Palestub para laje nervurada, inclusive montagem e desmontagem</t>
  </si>
  <si>
    <t>Cimbramento / escoramento tubular desmontável, para ponte ou viaduto, edificação civil e industrial, inclusas montagem e desmontagem</t>
  </si>
  <si>
    <t>Tubo metálico equipado para cimbramento - locação (diâmetro da seção: 1 1/2 ")</t>
  </si>
  <si>
    <t>m/mês</t>
  </si>
  <si>
    <t>FORMA PLÁSTICA DE POLIPROPILENO 61X61X18CM (CUBETAS/CABACINHAS) PARA LAJE NERVURADA, UTILIZAÇÃO POR 10 DIAS, EXCETO ESCORAMENTO</t>
  </si>
  <si>
    <t>ESCORAMENTO METÁLICO PARA LAJE NERVURADA TIPO PALESTUB, INCLUSIVE MONTAGEM E DESMONTAGEM</t>
  </si>
  <si>
    <t>CIMBRAMENTO / ESCORAMENTO TUBULAR DESMONTÁVEL, PARA PONTE OU VIADUTO, EDIFICAÇÃO CIVIL E INDUSTRIAL, INCLUSAS MONTAGEM E DESMONTAGEM</t>
  </si>
  <si>
    <t>MONTADOR DE ESTRUTURA METÁLICA COM ENCARGOS COMPLEMENTARES</t>
  </si>
  <si>
    <r>
      <rPr>
        <sz val="11"/>
        <rFont val="Times New Roman"/>
        <family val="1"/>
      </rPr>
      <t>2.1.12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</si>
  <si>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2.1.13</t>
    </r>
    <r>
      <rPr>
        <sz val="11"/>
        <color theme="1"/>
        <rFont val="Calibri"/>
        <family val="2"/>
        <scheme val="minor"/>
      </rPr>
      <t/>
    </r>
  </si>
  <si>
    <t>Aluguel de andaime tubular metálico fachadeiro (aluguel mensal) m² x mês - Largura=2,00m; Altura=1,20m</t>
  </si>
  <si>
    <t>Andaime metálico fachadeiro - locação mensal , montagem e desmontagem</t>
  </si>
  <si>
    <t>M2XMES</t>
  </si>
  <si>
    <t>m2/mês</t>
  </si>
  <si>
    <t xml:space="preserve">INSTALAÇÃO DO CANTEIRO </t>
  </si>
  <si>
    <t>2.1</t>
  </si>
  <si>
    <t>2.2</t>
  </si>
  <si>
    <t xml:space="preserve">Andaime metálico fachadeiro - locação mensal, montagem e desmontagem </t>
  </si>
  <si>
    <t xml:space="preserve">COLOCAÇÃO DE TELA EM ANDAIME FACHADEIRO </t>
  </si>
  <si>
    <t>Andaime metálico fachadeiro - locação mensal, montagem e desmontagem</t>
  </si>
  <si>
    <t>ITENS A MEDIR</t>
  </si>
  <si>
    <t>PLANILHA ORÇAMENTÁRIA - 3º TERMO ADITIVO</t>
  </si>
  <si>
    <t>3º TERMO ADITIVO</t>
  </si>
  <si>
    <t>ITENS MEDIDOS</t>
  </si>
  <si>
    <t>CONTRATO 134/2021</t>
  </si>
  <si>
    <t>INDICE 08/21</t>
  </si>
  <si>
    <t>INDICE 08/22</t>
  </si>
  <si>
    <t>13.13</t>
  </si>
  <si>
    <t>CORREGEDORIA - REEQUILIBRIO</t>
  </si>
  <si>
    <t>REAJUSTE</t>
  </si>
  <si>
    <t>REEQUILIBRIO ECONOMICO - 2º TERMO ADITIVO</t>
  </si>
  <si>
    <t>EJUD - REEQUILIBRIO</t>
  </si>
  <si>
    <t>CORREG.</t>
  </si>
  <si>
    <t>TOTAL - REEQUILIBRIO</t>
  </si>
  <si>
    <t>COMPOSIÇÕES DE CUSTO DO 3º TERMO ADITIVO AO CONTRATO Nº 134/2021</t>
  </si>
  <si>
    <t>CRONOGRAMA FÍSICO-FINANCEIRO - 3º ADITIVO</t>
  </si>
  <si>
    <t>TOTAL - 3º ADITIVO</t>
  </si>
  <si>
    <t>Válvulas bloqueio tipo GBC com válvula scharder 1/4"</t>
  </si>
  <si>
    <t>Válvulas bloqueio tipo GBC com válvula scharder 3/8"</t>
  </si>
  <si>
    <t>Válvulas bloqueio tipo GBC com válvula scharder 1/2"</t>
  </si>
  <si>
    <t>Válvulas bloqueio tipo GBC com válvula scharder 5/8"</t>
  </si>
  <si>
    <r>
      <rPr>
        <sz val="11"/>
        <rFont val="Times New Roman"/>
        <family val="1"/>
      </rPr>
      <t>16.4.1.1.5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</si>
  <si>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</si>
  <si>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16.4.1.3.16</t>
    </r>
    <r>
      <rPr>
        <sz val="11"/>
        <color theme="1"/>
        <rFont val="Calibri"/>
        <family val="2"/>
        <scheme val="minor"/>
      </rPr>
      <t/>
    </r>
  </si>
  <si>
    <t>16.4.1.6</t>
  </si>
  <si>
    <t>DUTOS DE VENTILAÇÃO E EXAUSTÃO</t>
  </si>
  <si>
    <t>Parafuso Brocante</t>
  </si>
  <si>
    <t>Parafuso de canto com porca</t>
  </si>
  <si>
    <t>Fita de vedação</t>
  </si>
  <si>
    <t>Silicone</t>
  </si>
  <si>
    <t>und</t>
  </si>
  <si>
    <t>Flex D = 20 cm sem isolamento</t>
  </si>
  <si>
    <t>Flex D = 10 cm sem isolamento</t>
  </si>
  <si>
    <t>m</t>
  </si>
  <si>
    <t>QUADRO DE COMANDO PARA EXAUSTOR - 3 CV</t>
  </si>
  <si>
    <t>QUADRO DE COMANDO PARA EXAUSTOR - 4 CV</t>
  </si>
  <si>
    <t xml:space="preserve"> Quadro de comando para 2 bombas de recalques de 1/3 a 2 cv, trifásica, 220 volts, com chave seletora, acionamento manual/automático, relé de sobrecarga e contatora</t>
  </si>
  <si>
    <t>QUADRO DE COMANDO PARA EXAUSTOR</t>
  </si>
  <si>
    <t>Cabo de comando blindado AFT 2x18 awg pt</t>
  </si>
  <si>
    <r>
      <rPr>
        <sz val="11"/>
        <rFont val="Times New Roman"/>
        <family val="1"/>
      </rPr>
      <t>16.4.1.1.7</t>
    </r>
    <r>
      <rPr>
        <sz val="11"/>
        <color theme="1"/>
        <rFont val="Calibri"/>
        <family val="2"/>
        <scheme val="minor"/>
      </rPr>
      <t/>
    </r>
  </si>
  <si>
    <t>Gás nitrogênio</t>
  </si>
  <si>
    <t>GÁS NITROGENIO</t>
  </si>
  <si>
    <t>COT.</t>
  </si>
  <si>
    <t>COMP-18</t>
  </si>
  <si>
    <t>COMP.</t>
  </si>
  <si>
    <t>Barra Roscada Galvanizada  1/4"</t>
  </si>
  <si>
    <t>Porca Sextavada Galvanizada 1/4"</t>
  </si>
  <si>
    <t>Arruela Lisa Galvanizada 1/4"</t>
  </si>
  <si>
    <t>Perfilado  em Chapa Galvanizada  # 22 - 38 x 38mm</t>
  </si>
  <si>
    <t>Broca Aço Rápido 9/64"</t>
  </si>
  <si>
    <t>Broca Aço Rápido 1/4"</t>
  </si>
  <si>
    <t>Chumbador cone e bolsa 1/4"</t>
  </si>
  <si>
    <t>Fita Aluminizada  2"  - Rolo com 20m</t>
  </si>
  <si>
    <t>Trincha 2"</t>
  </si>
  <si>
    <t>cento</t>
  </si>
  <si>
    <t>COTACAO</t>
  </si>
  <si>
    <t>COMP-19</t>
  </si>
  <si>
    <t>ACESSÓRIOS DE INSTALAÇÃO DOS DUTOS DE VENTILAÇÃO, EXAUSTÃO E DUTOS ESPECIAIS</t>
  </si>
  <si>
    <t>Quadro de comando para 2 bombas de recalques de 5 cv, trifásica, 220 volts com chave seletora, acionamento manual / automático, relé de sobrecarga e contatora</t>
  </si>
  <si>
    <t>QUADRO DE COMANDO PARA 2 BOMBAS DE RECALQUE DE ATÉ 5 CV</t>
  </si>
  <si>
    <r>
      <rPr>
        <sz val="11"/>
        <rFont val="Times New Roman"/>
        <family val="1"/>
      </rPr>
      <t>4.3.12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</si>
  <si>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</si>
  <si>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</si>
  <si>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</si>
  <si>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</si>
  <si>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</si>
  <si>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4.3.18</t>
    </r>
    <r>
      <rPr>
        <sz val="11"/>
        <color theme="1"/>
        <rFont val="Calibri"/>
        <family val="2"/>
        <scheme val="minor"/>
      </rPr>
      <t/>
    </r>
  </si>
  <si>
    <t>COMP-20</t>
  </si>
  <si>
    <t>Fita pvc de acabamento</t>
  </si>
  <si>
    <t>Solda Foscoper</t>
  </si>
  <si>
    <t>rolo</t>
  </si>
  <si>
    <t>COMP19</t>
  </si>
  <si>
    <t>Cabo flexível 4,0mm2</t>
  </si>
  <si>
    <t>Abracadeira de Nylon 200 x 4,2mm</t>
  </si>
  <si>
    <t>Fita isolante - rolo com 5m</t>
  </si>
  <si>
    <t>Abraçadeira tipo d 3/4"</t>
  </si>
  <si>
    <t>Garganta Seal Tube 3/4"</t>
  </si>
  <si>
    <t>Conector em aluminio  TMF 3/4"</t>
  </si>
  <si>
    <t>Conector em aluminio  TMG 3/4"</t>
  </si>
  <si>
    <t>Condulet em aluminio  X 3/4"</t>
  </si>
  <si>
    <t>COMP-21</t>
  </si>
  <si>
    <t>ACESSÓRIOS DE INSTALAÇÃO DA REDE ELÉTRICA</t>
  </si>
  <si>
    <t>ACESSÓRIOS DE INSTALAÇÃO DOS EQUIPAMENTOS</t>
  </si>
  <si>
    <t>COMP-22</t>
  </si>
  <si>
    <t>16.3.5.4.2</t>
  </si>
  <si>
    <t>Coxim de borracha</t>
  </si>
  <si>
    <r>
      <rPr>
        <sz val="11"/>
        <rFont val="Times New Roman"/>
        <family val="1"/>
      </rPr>
      <t>4.3.22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</si>
  <si>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</si>
  <si>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</si>
  <si>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</si>
  <si>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</si>
  <si>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</si>
  <si>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</si>
  <si>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</si>
  <si>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</si>
  <si>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</si>
  <si>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</si>
  <si>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</si>
  <si>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</si>
  <si>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</si>
  <si>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</si>
  <si>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4.3.37</t>
    </r>
    <r>
      <rPr>
        <sz val="11"/>
        <color theme="1"/>
        <rFont val="Calibri"/>
        <family val="2"/>
        <scheme val="minor"/>
      </rPr>
      <t/>
    </r>
  </si>
  <si>
    <t>COMP-23</t>
  </si>
  <si>
    <t>ACESSÓRIOS DE INSTALAÇÃO DOS DUTOS DE VENTILAÇÃO, EXAUSTÃO E DUTOS ESPECIAIS - EJUD</t>
  </si>
  <si>
    <t>COMP-24</t>
  </si>
  <si>
    <t>ACESSÓRIOS DE INSTALAÇÃO DA REDE FRIGORÍGENA - EJUD</t>
  </si>
  <si>
    <t>COMP23</t>
  </si>
  <si>
    <t>ACESSÓRIOS DE INSTALAÇÃO DA REDE FRIGORÍGENA - CORREGEDORIA</t>
  </si>
  <si>
    <t>ACESSÓRIOS DE INSTALAÇÃO DOS DUTOS DE VENTILAÇÃO, EXAUSTÃO E DUTOS ESPECIAIS - CORREGEDORIA</t>
  </si>
  <si>
    <r>
      <rPr>
        <sz val="11"/>
        <rFont val="Times New Roman"/>
        <family val="1"/>
      </rPr>
      <t>4.3.38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</si>
  <si>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4.3.39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</si>
  <si>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</si>
  <si>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</si>
  <si>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</si>
  <si>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</si>
  <si>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</si>
  <si>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</si>
  <si>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</si>
  <si>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</si>
  <si>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</si>
  <si>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</si>
  <si>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</si>
  <si>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</si>
  <si>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4.3.40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</si>
  <si>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</si>
  <si>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</si>
  <si>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</si>
  <si>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</si>
  <si>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</si>
  <si>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</si>
  <si>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</si>
  <si>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</si>
  <si>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</si>
  <si>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</si>
  <si>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</si>
  <si>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16.3.11.9.29</t>
    </r>
    <r>
      <rPr>
        <sz val="11"/>
        <color theme="1"/>
        <rFont val="Calibri"/>
        <family val="2"/>
        <scheme val="minor"/>
      </rPr>
      <t/>
    </r>
  </si>
  <si>
    <t>2X PISO E PROTEÇÃO DA LAJE</t>
  </si>
  <si>
    <t>6.1.3.9</t>
  </si>
  <si>
    <t>Laje pré-fabricada treliçada para piso ou cobertura, intereixo 38cm, h=12cm, el. enchimento em EPS h=8cm, inclusive escoramento em madeira e capeamento 4cm.</t>
  </si>
  <si>
    <t>Laje pré-fabricada treliçada para piso ou cobertura, h=12cm, el. enchimento em bloco EPS, h=8cm</t>
  </si>
  <si>
    <t>m2</t>
  </si>
  <si>
    <t>Madeira mista serrada (barrote) 6 x 6cm - 0,0036 m3/m (angelim, louro)</t>
  </si>
  <si>
    <t>Madeira mista serrada (sarrafo) 2,2 x 5,5cm - 0,00121 m³/m</t>
  </si>
  <si>
    <t>Areia grossa - posto jazida/fornecedor (retirado na jazida,sem transporte)</t>
  </si>
  <si>
    <t>Cimento portland composto cp ii-32</t>
  </si>
  <si>
    <t>Pedra britada n. 2 (19 a 38 mm) posto pedreira/fornecedor, sem frete</t>
  </si>
  <si>
    <t>Pedra britada n. 1 (9,5 a 19 mm) posto pedreira/fornecedor,sem frete</t>
  </si>
  <si>
    <t xml:space="preserve"> Prego de aco polido com cabeca 18 x 30 (2 3/4 x 10)</t>
  </si>
  <si>
    <t>Tabua *2,5 x 23* cm em pinus, mista ou equivalente da regiao - bruta</t>
  </si>
  <si>
    <t xml:space="preserve"> Aço CA - 50 Ø 6,3 a 12,5mm, inclusive corte, dobragem, montagem e colocacao de ferragens nas formas, para superestruturas e fundações - R1</t>
  </si>
  <si>
    <t>m3</t>
  </si>
  <si>
    <t>h</t>
  </si>
  <si>
    <t>CALHA EM CHAPA DE AÇO GALVANIZADO NÚMERO 24, DESENVOLVIMENTO DE 100 CM, INCLUSO TRANSPORTE VERTICAL. AF_07/2019</t>
  </si>
  <si>
    <r>
      <rPr>
        <sz val="11"/>
        <rFont val="Times New Roman"/>
        <family val="1"/>
      </rPr>
      <t>4.3.41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</si>
  <si>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16.3.11.9.14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</si>
  <si>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</si>
  <si>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</si>
  <si>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</si>
  <si>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</si>
  <si>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</si>
  <si>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16.3.11.9.35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</si>
  <si>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</si>
  <si>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4.3.42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</si>
  <si>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4.3.43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</si>
  <si>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4.3.44</t>
    </r>
    <r>
      <rPr>
        <sz val="11"/>
        <color theme="1"/>
        <rFont val="Calibri"/>
        <family val="2"/>
        <scheme val="minor"/>
      </rPr>
      <t/>
    </r>
  </si>
  <si>
    <t>PORTA EM ALUMÍNIO, COR N/P/B, MOLDURA-VIDRO,COMPLETA, INCLUSIVE CAIXILHOS, DOBRADIÇAS OU ROLDANAS E FECHADURA, EXCLUSIVE VIDRO (PCI01)</t>
  </si>
  <si>
    <t>MOLDURA/BATENTE, PISO E SOLEIRA EM GRANITO PARA O ELEVADOR</t>
  </si>
  <si>
    <t>TORNEIRA CROMADA DE MESA PARA LAVATORIO TEMPORIZADA PRESSAO BICA BAIXA E ALTA</t>
  </si>
  <si>
    <t>COMP-25</t>
  </si>
  <si>
    <t>Correia Tipo V - Ventilada - BX - 40</t>
  </si>
  <si>
    <t>Tela de arame galvanizada quadrangular / losangular, fio 4,19 mm (8 bwg), malha 5 x 5 cm, h = 2 m</t>
  </si>
  <si>
    <t>Descarga de proteção em chapa galvanizada</t>
  </si>
  <si>
    <t>Grelha  de Retorno em Aluminio Anodizado modelo  AR AG 225 x 125mm</t>
  </si>
  <si>
    <t>Grelha  de Retorno em Aluminio Anodizado modelo  AR AG 325 x 325mm</t>
  </si>
  <si>
    <t>Grelha  de Retorno em Aluminio Anodizado modelo  AR AG 325 x 125mm</t>
  </si>
  <si>
    <t>Difusor em Plástico de alta resistência  modelo RVA 100</t>
  </si>
  <si>
    <t>Grelha Circular em plástico de alta resistência  S 100</t>
  </si>
  <si>
    <t>Difusor de Insuflamento em Aluminio Anodizado modelo  ADLQ AG Tam 3</t>
  </si>
  <si>
    <t>Registro de ar  de Lâminas Opostas em chapa galvanizada modelo  RLB 200 x 105mm</t>
  </si>
  <si>
    <t>Registro de ar  de Lâminas Opostas em chapa galvanizada  modelo RLB 200 x 205mm</t>
  </si>
  <si>
    <t>Registro de ar  de Lâminas Opostas em chapa galvanizada  modelo RLB 400 x 405mm</t>
  </si>
  <si>
    <t>4989/1</t>
  </si>
  <si>
    <t>4989/2</t>
  </si>
  <si>
    <t>4989/3</t>
  </si>
  <si>
    <t>4989/4</t>
  </si>
  <si>
    <t>4989/5</t>
  </si>
  <si>
    <t>4989/6</t>
  </si>
  <si>
    <t>4989/7</t>
  </si>
  <si>
    <t>4989/8</t>
  </si>
  <si>
    <t>4989/9</t>
  </si>
  <si>
    <t>mês</t>
  </si>
  <si>
    <t>MONTADOR ELETROMECÃNICO COM ENCARGOS COMPLEMENTARES</t>
  </si>
  <si>
    <t>Difusor de Insuflamento em Aluminio Anodizado modelo  ADLQ AG Tam 3 - FORNECIMENTO E INSTALAÇÃO</t>
  </si>
  <si>
    <t>Grelha  de Retorno em Aluminio Anodizado modelo  AR AG 225 x 125mm - FORNECIMENTO E INSTALAÇÃO</t>
  </si>
  <si>
    <t>Grelha  de Retorno em Aluminio Anodizado modelo  AR AG 325 x 125mm - FORNECIMENTO E INSTALAÇÃO</t>
  </si>
  <si>
    <t>Grelha  de Retorno em Aluminio Anodizado modelo  AR AG 325 x 325mm - FORNECIMENTO E INSTALAÇÃO</t>
  </si>
  <si>
    <t>Registro de ar  de Lâminas Opostas em chapa galvanizada modelo  RLB 200 x 105mm - FORNECIMENTO E INSTALAÇÃO</t>
  </si>
  <si>
    <t>Registro de ar  de Lâminas Opostas em chapa galvanizada  modelo RLB 200 x 205mm - FORNECIMENTO E INSTALAÇÃO</t>
  </si>
  <si>
    <t>Registro de ar  de Lâminas Opostas em chapa galvanizada  modelo RLB 400 x 405mm - FORNECIMENTO E INSTALAÇÃO</t>
  </si>
  <si>
    <t>Difusor em Plástico de alta resistência  modelo RVA 100 - FORNECIMENTO E INSTALAÇÃO</t>
  </si>
  <si>
    <t>Grelha Circular em plástico de alta resistência  S 100 - FORNECIMENTO E INSTALAÇÃO</t>
  </si>
  <si>
    <t>Difusor de Insuflamento em Aluminio Anodizado modelo  ADLQ AG Tam 3 - fornecimento e instalação</t>
  </si>
  <si>
    <t>Grelha  de Retorno em Aluminio Anodizado modelo  AR AG 225 x 125mm - fornecimento e instalação</t>
  </si>
  <si>
    <t>Grelha  de Retorno em Aluminio Anodizado modelo  AR AG 325 x 125mm - fornecimento e instalação</t>
  </si>
  <si>
    <t>Grelha  de Retorno em Aluminio Anodizado modelo  AR AG 325 x 325mm - fornecimento e instalação</t>
  </si>
  <si>
    <t>Registro de ar  de Lâminas Opostas em chapa galvanizada modelo  RLB 200 x 105mm - fornecimento e instalação</t>
  </si>
  <si>
    <t>Registro de ar  de Lâminas Opostas em chapa galvanizada  modelo RLB 200 x 205mm - fornecimento e instalação</t>
  </si>
  <si>
    <t>Registro de ar  de Lâminas Opostas em chapa galvanizada  modelo RLB 400 x 405mm - fornecimento e instalação</t>
  </si>
  <si>
    <t>Difusor em Plástico de alta resistência  modelo RVA 100 - fornecimento e instalação</t>
  </si>
  <si>
    <t>Grelha Circular em plástico de alta resistência  S 100 - fornecimento e instalação</t>
  </si>
  <si>
    <r>
      <rPr>
        <sz val="11"/>
        <rFont val="Times New Roman"/>
        <family val="1"/>
      </rPr>
      <t>16.4.1.3.17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</si>
  <si>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16.4.1.3.18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</si>
  <si>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16.4.1.3.19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</si>
  <si>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16.4.1.3.20</t>
    </r>
    <r>
      <rPr>
        <sz val="11"/>
        <color theme="1"/>
        <rFont val="Calibri"/>
        <family val="2"/>
        <scheme val="minor"/>
      </rPr>
      <t/>
    </r>
  </si>
  <si>
    <t>Unidade Evaporadora tipo VRV - Parede , Capacid. 0,8HP - Fornecimento</t>
  </si>
  <si>
    <t>Unidade Evaporadora tipo VRV - Parede , Capacid. 1,25HP - Fornecimento</t>
  </si>
  <si>
    <t>Unidade Evaporadora tipo VRV - Parede , Capacid. 1,6HP - Fornecimento</t>
  </si>
  <si>
    <t>Unidade Evaporadora tipo VRV - Built In , Capacid. 5,6HP - Fornecimento</t>
  </si>
  <si>
    <t>Unidade condensadora, 60HP, Alimentação Elétrica, 380V/60Hz - Fornecimento</t>
  </si>
  <si>
    <t>Modelo BSS 450 simples aspiração Sirocco 5.070 m3/h Pe 30 mmCa 380V/3F/60Hz  sem filtros com polias reguláveis para exaustão de odores</t>
  </si>
  <si>
    <t>Modelo BBT 355 dupla aspiração sirocco 4.960 m3/h 30 mmCa 380V/3F/60Hz/4 Com filtro G1+G4+M5 com polias reguláveis</t>
  </si>
  <si>
    <r>
      <rPr>
        <sz val="11"/>
        <rFont val="Times New Roman"/>
        <family val="1"/>
      </rPr>
      <t>16.4.1.3.21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</si>
  <si>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16.4.1.3.22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</si>
  <si>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16.4.1.3.23</t>
    </r>
    <r>
      <rPr>
        <sz val="11"/>
        <color theme="1"/>
        <rFont val="Calibri"/>
        <family val="2"/>
        <scheme val="minor"/>
      </rPr>
      <t/>
    </r>
  </si>
  <si>
    <t>Cabo de comando blindado AFT 2x18 awg pt - instalado</t>
  </si>
  <si>
    <t>ACESSÓRIOS DE INSTALAÇÃO DOS DUTOS DE VENTILAÇÃO, EXAUSTÃO, DIFUSORES E DUTOS ESPECIAIS - CORREGEDORIA</t>
  </si>
  <si>
    <t>COMP-26</t>
  </si>
  <si>
    <t>Unidade condensadora, 20HP, Alimentação Elétrica, 380V/60Hz - Fornecimento</t>
  </si>
  <si>
    <t>COMP-27</t>
  </si>
  <si>
    <t>COMP-28</t>
  </si>
  <si>
    <t>COMP-29</t>
  </si>
  <si>
    <t>COMP29</t>
  </si>
  <si>
    <t>Unidade Evaporadora tipo VRV - Parede , Capacid. 5,0HP - Fornecimento</t>
  </si>
  <si>
    <t>Unidade condensadora, 52HP, Alimentação Elétrica, 380V/60Hz - Fornecimento</t>
  </si>
  <si>
    <t>Unidade condensadora,40HP, Alimentação Elétrica, 380V/60Hz - Fornecimento</t>
  </si>
  <si>
    <t>VÁLVULAS DE MANUTENÇÃO PARA UNIDADES EVAPORADORAS DA EJUD - FORNECIMENTO E INSTALAÇÃO</t>
  </si>
  <si>
    <t>COMP-30</t>
  </si>
  <si>
    <t>Unidade condensadora, 40HP, Alimentação Elétrica, 380V/60Hz - Fornecimento</t>
  </si>
  <si>
    <t>area total 265,72</t>
  </si>
  <si>
    <t>depende da fachada ventilada</t>
  </si>
  <si>
    <t>Gabinete Modelo BSS 450 simples aspiração Sirocco 5.070 m3/h Pe 30 mmCa 380V/3F/60Hz  sem filtros com polias reguláveis para exaustão de odores</t>
  </si>
  <si>
    <t>Gabinete Modelo BSS 450 simples aspiração Sirocco 5.070 m3/h Pe 30 mmCa 380V/3F/60Hz  sem filtros com polias reguláveis para exaustão de odores - FORNECIMENTO E INSTALAÇÃO</t>
  </si>
  <si>
    <t>COMP-31</t>
  </si>
  <si>
    <t>Gabinete Modelo BBT 355 dupla aspiração sirocco 4.960 m3/h 30 mmCa 380V/3F/60Hz/4 Com filtro G1+G4+M5 com polias reguláveis</t>
  </si>
  <si>
    <t>Gabinete Modelo BBT 355 dupla aspiração sirocco 4.960 m3/h 30 mmCa 380V/3F/60Hz/4 Com filtro G1+G4+M5 com polias reguláveis - FORNECIMENTO E INSTALAÇÃO</t>
  </si>
  <si>
    <t>COMP-32</t>
  </si>
  <si>
    <t>COMP-33</t>
  </si>
  <si>
    <t>Exaustor Modelo BSS 355 simples aspiração Sirocco 3.250 m3/h Pe 30 mmCa 380V/3F/60Hz4 sem filtros com polias reguláveis para exaustão de odores</t>
  </si>
  <si>
    <t>Exaustor Modelo BSS 355 simples aspiração Sirocco 3.250 m3/h Pe 30 mmCa 380V/3F/60Hz4 sem filtros com polias reguláveis para exaustão de odores - FORNECIMENTO E INSTALAÇÃO</t>
  </si>
  <si>
    <t>Modelo BBT 400 dupla aspiração sirocco 7.500 m3/h 35 mmCa 380V/3F/60Hz/4 Com filtro G1+G4+M5 com polias reguláveis</t>
  </si>
  <si>
    <t>Modelo BBT 400 dupla aspiração sirocco 7.500 m3/h 35 mmCa 380V/3F/60Hz/4 Com filtro G1+G4+M5 com polias reguláveis - FORNECIMENTO E INSTALAÇÃO</t>
  </si>
  <si>
    <t>COMP-34</t>
  </si>
  <si>
    <t xml:space="preserve">Unidade Evaporadora tipo VRV - Built In , Capacid. 5,6HP </t>
  </si>
  <si>
    <t>COMP-35</t>
  </si>
  <si>
    <t>COMP-36</t>
  </si>
  <si>
    <t>Unidade Evaporadora tipo VRV - Built In , Capacid. 5,0HP - Fornecimento</t>
  </si>
  <si>
    <t xml:space="preserve">Unidade Evaporadora tipo VRV - Built In , Capacid. 5,0HP </t>
  </si>
  <si>
    <t xml:space="preserve">Unidade Evaporadora tipo VRV - Parede , Capacid. 0,8HP </t>
  </si>
  <si>
    <t>COMP-37</t>
  </si>
  <si>
    <t>COMP-38</t>
  </si>
  <si>
    <t>Unidade Evaporadora tipo VRV - Parede , Capacid. 1,25 HP</t>
  </si>
  <si>
    <t>COMP-39</t>
  </si>
  <si>
    <t>Unidade Evaporadora tipo VRV - Parede , Capacid. 1,6 HP</t>
  </si>
  <si>
    <r>
      <rPr>
        <sz val="11"/>
        <rFont val="Times New Roman"/>
        <family val="1"/>
      </rPr>
      <t>8.1.10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</si>
  <si>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16.4.1.3.24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</si>
  <si>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8.1.6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</si>
  <si>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13.11</t>
    </r>
    <r>
      <rPr>
        <sz val="11"/>
        <color theme="1"/>
        <rFont val="Calibri"/>
        <family val="2"/>
        <scheme val="minor"/>
      </rPr>
      <t/>
    </r>
  </si>
  <si>
    <t>Duto em chapa de aço galvanizado nº. 26, para ar condicionado. Fornecimento, montagem e instalação</t>
  </si>
  <si>
    <t>Chapa de aco galvanizada bitola gsg 26, e = 0,50 mm (4,00 kg/m2)</t>
  </si>
  <si>
    <t>Chumbador de aço galvanizado 5/8" x 2 1/2"</t>
  </si>
  <si>
    <t>16.4.1.6.1</t>
  </si>
  <si>
    <r>
      <rPr>
        <sz val="11"/>
        <rFont val="Times New Roman"/>
        <family val="1"/>
      </rPr>
      <t>16.3.11.1.3.3</t>
    </r>
    <r>
      <rPr>
        <sz val="11"/>
        <color theme="1"/>
        <rFont val="Calibri"/>
        <family val="2"/>
        <scheme val="minor"/>
      </rPr>
      <t/>
    </r>
  </si>
  <si>
    <t>COMP-40</t>
  </si>
  <si>
    <t>MÓDULO DEEPSEA DSE855 PARA CONTROLADOR DO GRUPO GERADOR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</si>
  <si>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</si>
  <si>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</si>
  <si>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</si>
  <si>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</si>
  <si>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</si>
  <si>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</si>
  <si>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</si>
  <si>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</si>
  <si>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Flex D = 20 cm sem isolamento. Fornecimento, montagem e instalação</t>
  </si>
  <si>
    <t>Flex D = 10 cm sem isolamento. Fornecimento, montagem e instalação</t>
  </si>
  <si>
    <t>Canto TDC em chapa galvanizada #20</t>
  </si>
  <si>
    <t>16.4.1.6.2</t>
  </si>
  <si>
    <t>16.4.1.6.3</t>
  </si>
  <si>
    <t>16.4.1.6.4</t>
  </si>
  <si>
    <t>16.4.1.6.5</t>
  </si>
  <si>
    <t>16.4.1.6.6</t>
  </si>
  <si>
    <t>16.4.1.6.7</t>
  </si>
  <si>
    <t>16.4.1.6.8</t>
  </si>
  <si>
    <t>16.4.1.6.9</t>
  </si>
  <si>
    <t>16.4.1.6.10</t>
  </si>
  <si>
    <t>16.4.1.6.11</t>
  </si>
  <si>
    <t>16.4.1.6.12</t>
  </si>
  <si>
    <t>16.4.1.6.13</t>
  </si>
  <si>
    <t>16.4.1.6.14</t>
  </si>
  <si>
    <t>16.4.1.6.15</t>
  </si>
  <si>
    <t>16.4.1.6.16</t>
  </si>
  <si>
    <t>REDE FRIGORÍGENA C/ TUBO DE COBRE 1 3/8", ISOLADO COM BORRACHA ELASTOMÉRICA, SUSTENTAÇÃO, SOLDA E LIMPEZA (M)</t>
  </si>
  <si>
    <t>C4787</t>
  </si>
  <si>
    <t>ISOLAMENTO ESPONJOSO ELASTOMÉRICO PARA TUBO DE COBRE 1 3/8"</t>
  </si>
  <si>
    <t>REDE FRIGORÍGENA C/ TUBO DE COBRE 1 3/8", ISOLADO COM BORRACHA ELASTOMÉRICA, SUSTENTAÇÃO, SOLDA E LIMPEZA</t>
  </si>
  <si>
    <r>
      <rPr>
        <sz val="11"/>
        <rFont val="Times New Roman"/>
        <family val="1"/>
      </rPr>
      <t>16.4.1.5.9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</si>
  <si>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16.4.1.5.10</t>
    </r>
    <r>
      <rPr>
        <sz val="11"/>
        <color theme="1"/>
        <rFont val="Calibri"/>
        <family val="2"/>
        <scheme val="minor"/>
      </rPr>
      <t/>
    </r>
  </si>
  <si>
    <t>REDE FRIGORÍGENA C/ TUBO DE COBRE 1 5/8", ISOLADO COM BORRACHA ELASTOMÉRICA, SUSTENTAÇÃO, SOLDA E LIMPEZA (M)</t>
  </si>
  <si>
    <t>C4789</t>
  </si>
  <si>
    <t>REDE FRIGORÍGENA C/ TUBO DE COBRE 1 5/8", ISOLADO COM BORRACHA ELASTOMÉRICA, SUSTENTAÇÃO, SOLDA E LIMPEZA</t>
  </si>
  <si>
    <r>
      <rPr>
        <sz val="11"/>
        <rFont val="Times New Roman"/>
        <family val="1"/>
      </rPr>
      <t>16.4.1.5.11</t>
    </r>
    <r>
      <rPr>
        <sz val="11"/>
        <color theme="1"/>
        <rFont val="Calibri"/>
        <family val="2"/>
        <scheme val="minor"/>
      </rPr>
      <t/>
    </r>
  </si>
  <si>
    <t>ISOLAMENTO ESPONJOSO ELASTOMÉRICO PARA TUBO DE COBRE 1 5/8"</t>
  </si>
  <si>
    <t>TUBO COBRE D=34,92MM CLASSE A</t>
  </si>
  <si>
    <t>I9087</t>
  </si>
  <si>
    <t>TUBO COBRE D=41,27MM CLASSE A</t>
  </si>
  <si>
    <t>I9089</t>
  </si>
  <si>
    <t>4278/1</t>
  </si>
  <si>
    <t>4278/2</t>
  </si>
  <si>
    <t>VÁLVULAS DE MANUTENÇÃO PARA UNIDADES EVAPORADORAS DA CORREGEDORIA - FORNECIMENTO E INSTALAÇÃO</t>
  </si>
  <si>
    <t>EXAUSTOR SICFLUX MAXX 100 - FORNECIMENTO E INSTALAÇÃO</t>
  </si>
  <si>
    <t>EXAUSTOR SICFLUX MAXX 100</t>
  </si>
  <si>
    <t>VIGA METÁLICA EM PERFIL LAMINADO OU SOLDADO EM AÇO ESTRUTURAL, COM CONEXÕES PARAFUSADAS, INCLUSOS MÃO DE OBRA, TRANSPORTE E IÇAMENTO UTILIZANDO GUINDASTE - FORNECIMENTO E INSTALAÇÃO. AF_01/2020_P</t>
  </si>
  <si>
    <t>16.1.3.3</t>
  </si>
  <si>
    <t>LIGAÇÃO DA ETE</t>
  </si>
  <si>
    <t>16.1.3.3.1</t>
  </si>
  <si>
    <t>16.1.3.3.2</t>
  </si>
  <si>
    <t>16.1.3.3.3</t>
  </si>
  <si>
    <t>16.1.3.3.4</t>
  </si>
  <si>
    <t>LIGAÇÃO DA CISTERNA</t>
  </si>
  <si>
    <t>16.1.3.4.1</t>
  </si>
  <si>
    <t>16.1.3.4.2</t>
  </si>
  <si>
    <t>16.1.3.4.3</t>
  </si>
  <si>
    <t>16.1.3.4.4</t>
  </si>
  <si>
    <t>16.1.3.4</t>
  </si>
  <si>
    <t>Bomba submersa para pocos tubulares profundos diametro de 4polegadas, eletrica, trifasica, potencia 5,42 hp, 29 estagios, bocal de descarga de uma polegada e meia, hm/q = 18 m / 8,10 m3/h a 201 m / 3,2 m3/h</t>
  </si>
  <si>
    <t>16.1.3.4.5</t>
  </si>
  <si>
    <t>BOMBA SUBMERSA 5 HP - FORNECIMENTO E INSTALAÇÃO</t>
  </si>
  <si>
    <t>16.1.3.4.6</t>
  </si>
  <si>
    <t>QUADRO DE COMANDO PARA BOMBA</t>
  </si>
  <si>
    <t>16.1.3.4.7</t>
  </si>
  <si>
    <r>
      <rPr>
        <sz val="11"/>
        <rFont val="Times New Roman"/>
        <family val="1"/>
      </rPr>
      <t>4.3.46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</si>
  <si>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16.3.11.9.37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</si>
  <si>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Times New Roman"/>
        <family val="1"/>
      </rPr>
      <t>8.1.11</t>
    </r>
    <r>
      <rPr>
        <sz val="11"/>
        <color theme="1"/>
        <rFont val="Calibri"/>
        <family val="2"/>
        <scheme val="minor"/>
      </rPr>
      <t/>
    </r>
  </si>
  <si>
    <t>4.3.45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</si>
</sst>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.##0.00_-;\-* #.##0.00_-;_-* &quot;-&quot;??_-;_-@_-"/>
    <numFmt numFmtId="165" formatCode="_-[$R$-416]\ * #,##0.00_-;\-[$R$-416]\ * #,##0.00_-;_-[$R$-416]\ * &quot;-&quot;??_-;_-@_-"/>
    <numFmt numFmtId="166" formatCode="0.00_ ;\-0.00\ "/>
    <numFmt numFmtId="167" formatCode="_ [$€]* #,##0.00_ ;_ [$€]* \-#,##0.00_ ;_ [$€]* \-??_ ;_ @_ "/>
    <numFmt numFmtId="168" formatCode="_(&quot;Cr$&quot;* #,##0.00_);_(&quot;Cr$&quot;* \(#,##0.00\);_(&quot;Cr$&quot;* \-??_);_(@_)"/>
    <numFmt numFmtId="169" formatCode="_(&quot;R$&quot;* #,##0.00_);_(&quot;R$&quot;* \(#,##0.00\);_(&quot;R$&quot;* \-??_);_(@_)"/>
    <numFmt numFmtId="170" formatCode="_(&quot;R$ &quot;* #,##0.00_);_(&quot;R$ &quot;* \(#,##0.00\);_(&quot;R$ &quot;* \-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_(* #,##0.00_);_(* \(#,##0.00\);_(* \-??_);_(@_)"/>
    <numFmt numFmtId="174" formatCode="#,##0.00\ ;&quot; (&quot;#,##0.00\);&quot; -&quot;#\ ;@\ "/>
    <numFmt numFmtId="175" formatCode="mm/yy"/>
    <numFmt numFmtId="176" formatCode="_-* #,##0.00_-;\-* #,##0.00_-;_-* \-??_-;_-@_-"/>
    <numFmt numFmtId="177" formatCode="0.00000"/>
    <numFmt numFmtId="178" formatCode="0.000"/>
    <numFmt numFmtId="179" formatCode="#,##0.000"/>
    <numFmt numFmtId="180" formatCode="0.0000"/>
    <numFmt numFmtId="181" formatCode="#,##0.0000"/>
    <numFmt numFmtId="182" formatCode="#,##0.0000000"/>
    <numFmt numFmtId="183" formatCode="#,##0.00000"/>
    <numFmt numFmtId="184" formatCode="_-* #,##0.0000_-;\-* #,##0.0000_-;_-* &quot;-&quot;??_-;_-@_-"/>
    <numFmt numFmtId="185" formatCode="0&quot;.&quot;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rgb="FF000000"/>
      <name val="Times New Roman"/>
      <family val="1"/>
      <charset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theme="4" tint="-0.249977111117893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18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1"/>
      <color indexed="12"/>
      <name val="Calibri"/>
      <family val="2"/>
      <charset val="1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6"/>
      <color rgb="FF000000"/>
      <name val="Times New Roman"/>
      <family val="1"/>
      <charset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rgb="FF000000"/>
      <name val="Cambria"/>
      <family val="1"/>
    </font>
    <font>
      <b/>
      <sz val="14"/>
      <color theme="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 MT"/>
    </font>
    <font>
      <sz val="10"/>
      <name val="Arial MT"/>
      <family val="2"/>
    </font>
    <font>
      <sz val="10"/>
      <color rgb="FF000000"/>
      <name val="Arial MT"/>
      <family val="2"/>
    </font>
    <font>
      <b/>
      <sz val="10"/>
      <color rgb="FF000000"/>
      <name val="Arial"/>
      <family val="2"/>
    </font>
    <font>
      <b/>
      <vertAlign val="superscript"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  <charset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</fonts>
  <fills count="9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solid">
        <fgColor rgb="FFDFDFDF"/>
      </patternFill>
    </fill>
    <fill>
      <patternFill patternType="none"/>
    </fill>
    <fill>
      <patternFill patternType="solid">
        <fgColor indexed="31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60"/>
      </patternFill>
    </fill>
    <fill>
      <patternFill patternType="solid">
        <fgColor indexed="21"/>
        <bgColor indexed="38"/>
      </patternFill>
    </fill>
    <fill>
      <patternFill patternType="solid">
        <fgColor indexed="25"/>
        <bgColor indexed="6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4A4A4"/>
      </patternFill>
    </fill>
    <fill>
      <patternFill patternType="solid">
        <fgColor rgb="FFBEBEBE"/>
      </patternFill>
    </fill>
    <fill>
      <patternFill patternType="solid">
        <fgColor rgb="FFD7D7D7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99">
    <xf numFmtId="0" fontId="0" fillId="0" borderId="0"/>
    <xf numFmtId="0" fontId="7" fillId="30" borderId="1"/>
    <xf numFmtId="164" fontId="7" fillId="30" borderId="1" applyFont="0" applyFill="0" applyBorder="0" applyAlignment="0" applyProtection="0"/>
    <xf numFmtId="0" fontId="7" fillId="30" borderId="1"/>
    <xf numFmtId="0" fontId="7" fillId="30" borderId="1"/>
    <xf numFmtId="0" fontId="7" fillId="30" borderId="1"/>
    <xf numFmtId="0" fontId="7" fillId="30" borderId="1"/>
    <xf numFmtId="0" fontId="7" fillId="30" borderId="1"/>
    <xf numFmtId="0" fontId="7" fillId="30" borderId="1"/>
    <xf numFmtId="0" fontId="7" fillId="30" borderId="1"/>
    <xf numFmtId="0" fontId="7" fillId="30" borderId="1"/>
    <xf numFmtId="164" fontId="7" fillId="30" borderId="1" applyFont="0" applyFill="0" applyBorder="0" applyAlignment="0" applyProtection="0"/>
    <xf numFmtId="0" fontId="7" fillId="30" borderId="1"/>
    <xf numFmtId="0" fontId="7" fillId="30" borderId="1"/>
    <xf numFmtId="0" fontId="7" fillId="30" borderId="1"/>
    <xf numFmtId="0" fontId="7" fillId="30" borderId="1"/>
    <xf numFmtId="0" fontId="16" fillId="30" borderId="1"/>
    <xf numFmtId="0" fontId="16" fillId="31" borderId="1" applyNumberFormat="0" applyBorder="0" applyAlignment="0" applyProtection="0"/>
    <xf numFmtId="0" fontId="16" fillId="32" borderId="1" applyNumberFormat="0" applyBorder="0" applyAlignment="0" applyProtection="0"/>
    <xf numFmtId="0" fontId="16" fillId="33" borderId="1" applyNumberFormat="0" applyBorder="0" applyAlignment="0" applyProtection="0"/>
    <xf numFmtId="0" fontId="16" fillId="34" borderId="1" applyNumberFormat="0" applyBorder="0" applyAlignment="0" applyProtection="0"/>
    <xf numFmtId="0" fontId="16" fillId="35" borderId="1" applyNumberFormat="0" applyBorder="0" applyAlignment="0" applyProtection="0"/>
    <xf numFmtId="0" fontId="16" fillId="35" borderId="1" applyNumberFormat="0" applyBorder="0" applyAlignment="0" applyProtection="0"/>
    <xf numFmtId="0" fontId="16" fillId="36" borderId="1" applyNumberFormat="0" applyBorder="0" applyAlignment="0" applyProtection="0"/>
    <xf numFmtId="0" fontId="16" fillId="37" borderId="1" applyNumberFormat="0" applyBorder="0" applyAlignment="0" applyProtection="0"/>
    <xf numFmtId="0" fontId="16" fillId="38" borderId="1" applyNumberFormat="0" applyBorder="0" applyAlignment="0" applyProtection="0"/>
    <xf numFmtId="0" fontId="16" fillId="34" borderId="1" applyNumberFormat="0" applyBorder="0" applyAlignment="0" applyProtection="0"/>
    <xf numFmtId="0" fontId="16" fillId="36" borderId="1" applyNumberFormat="0" applyBorder="0" applyAlignment="0" applyProtection="0"/>
    <xf numFmtId="0" fontId="16" fillId="39" borderId="1" applyNumberFormat="0" applyBorder="0" applyAlignment="0" applyProtection="0"/>
    <xf numFmtId="0" fontId="17" fillId="40" borderId="1" applyNumberFormat="0" applyBorder="0" applyAlignment="0" applyProtection="0"/>
    <xf numFmtId="0" fontId="17" fillId="37" borderId="1" applyNumberFormat="0" applyBorder="0" applyAlignment="0" applyProtection="0"/>
    <xf numFmtId="0" fontId="17" fillId="38" borderId="1" applyNumberFormat="0" applyBorder="0" applyAlignment="0" applyProtection="0"/>
    <xf numFmtId="0" fontId="17" fillId="41" borderId="1" applyNumberFormat="0" applyBorder="0" applyAlignment="0" applyProtection="0"/>
    <xf numFmtId="0" fontId="17" fillId="42" borderId="1" applyNumberFormat="0" applyBorder="0" applyAlignment="0" applyProtection="0"/>
    <xf numFmtId="0" fontId="17" fillId="43" borderId="1" applyNumberFormat="0" applyBorder="0" applyAlignment="0" applyProtection="0"/>
    <xf numFmtId="0" fontId="18" fillId="34" borderId="1" applyNumberFormat="0" applyBorder="0" applyAlignment="0" applyProtection="0"/>
    <xf numFmtId="0" fontId="19" fillId="33" borderId="1" applyNumberFormat="0" applyBorder="0" applyAlignment="0" applyProtection="0"/>
    <xf numFmtId="0" fontId="20" fillId="44" borderId="29" applyNumberFormat="0" applyAlignment="0" applyProtection="0"/>
    <xf numFmtId="0" fontId="21" fillId="45" borderId="30" applyNumberFormat="0" applyAlignment="0" applyProtection="0"/>
    <xf numFmtId="0" fontId="22" fillId="30" borderId="31" applyNumberFormat="0" applyFill="0" applyAlignment="0" applyProtection="0"/>
    <xf numFmtId="44" fontId="7" fillId="30" borderId="1" applyFont="0" applyFill="0" applyBorder="0" applyAlignment="0" applyProtection="0"/>
    <xf numFmtId="0" fontId="17" fillId="46" borderId="1" applyNumberFormat="0" applyBorder="0" applyAlignment="0" applyProtection="0"/>
    <xf numFmtId="0" fontId="17" fillId="47" borderId="1" applyNumberFormat="0" applyBorder="0" applyAlignment="0" applyProtection="0"/>
    <xf numFmtId="0" fontId="17" fillId="48" borderId="1" applyNumberFormat="0" applyBorder="0" applyAlignment="0" applyProtection="0"/>
    <xf numFmtId="0" fontId="17" fillId="41" borderId="1" applyNumberFormat="0" applyBorder="0" applyAlignment="0" applyProtection="0"/>
    <xf numFmtId="0" fontId="17" fillId="42" borderId="1" applyNumberFormat="0" applyBorder="0" applyAlignment="0" applyProtection="0"/>
    <xf numFmtId="0" fontId="17" fillId="49" borderId="1" applyNumberFormat="0" applyBorder="0" applyAlignment="0" applyProtection="0"/>
    <xf numFmtId="0" fontId="23" fillId="35" borderId="29" applyNumberFormat="0" applyAlignment="0" applyProtection="0"/>
    <xf numFmtId="167" fontId="14" fillId="30" borderId="1" applyFill="0" applyBorder="0" applyAlignment="0" applyProtection="0"/>
    <xf numFmtId="0" fontId="14" fillId="30" borderId="1"/>
    <xf numFmtId="0" fontId="19" fillId="35" borderId="1" applyNumberFormat="0" applyBorder="0" applyAlignment="0" applyProtection="0"/>
    <xf numFmtId="0" fontId="24" fillId="30" borderId="32" applyNumberFormat="0" applyFill="0" applyAlignment="0" applyProtection="0"/>
    <xf numFmtId="0" fontId="25" fillId="30" borderId="33" applyNumberFormat="0" applyFill="0" applyAlignment="0" applyProtection="0"/>
    <xf numFmtId="0" fontId="26" fillId="30" borderId="1"/>
    <xf numFmtId="0" fontId="18" fillId="32" borderId="1" applyNumberFormat="0" applyBorder="0" applyAlignment="0" applyProtection="0"/>
    <xf numFmtId="0" fontId="14" fillId="30" borderId="1" applyFill="0" applyBorder="0" applyAlignment="0" applyProtection="0"/>
    <xf numFmtId="168" fontId="14" fillId="30" borderId="1" applyFill="0" applyBorder="0" applyAlignment="0" applyProtection="0"/>
    <xf numFmtId="169" fontId="14" fillId="30" borderId="1" applyFill="0" applyBorder="0" applyAlignment="0" applyProtection="0"/>
    <xf numFmtId="170" fontId="14" fillId="30" borderId="1" applyFill="0" applyBorder="0" applyAlignment="0" applyProtection="0"/>
    <xf numFmtId="170" fontId="14" fillId="30" borderId="1" applyFill="0" applyBorder="0" applyAlignment="0" applyProtection="0"/>
    <xf numFmtId="170" fontId="14" fillId="30" borderId="1" applyFill="0" applyBorder="0" applyAlignment="0" applyProtection="0"/>
    <xf numFmtId="170" fontId="14" fillId="30" borderId="1" applyFill="0" applyBorder="0" applyAlignment="0" applyProtection="0"/>
    <xf numFmtId="170" fontId="14" fillId="30" borderId="1" applyFill="0" applyBorder="0" applyAlignment="0" applyProtection="0"/>
    <xf numFmtId="170" fontId="14" fillId="30" borderId="1" applyFill="0" applyBorder="0" applyAlignment="0" applyProtection="0"/>
    <xf numFmtId="170" fontId="14" fillId="30" borderId="1" applyFill="0" applyBorder="0" applyAlignment="0" applyProtection="0"/>
    <xf numFmtId="171" fontId="14" fillId="30" borderId="1" applyFont="0" applyFill="0" applyBorder="0" applyAlignment="0" applyProtection="0"/>
    <xf numFmtId="0" fontId="27" fillId="50" borderId="1" applyNumberFormat="0" applyBorder="0" applyAlignment="0" applyProtection="0"/>
    <xf numFmtId="0" fontId="28" fillId="50" borderId="1" applyNumberFormat="0" applyBorder="0" applyAlignment="0" applyProtection="0"/>
    <xf numFmtId="0" fontId="16" fillId="30" borderId="1"/>
    <xf numFmtId="0" fontId="7" fillId="30" borderId="1"/>
    <xf numFmtId="0" fontId="14" fillId="30" borderId="1"/>
    <xf numFmtId="0" fontId="14" fillId="30" borderId="1"/>
    <xf numFmtId="0" fontId="14" fillId="30" borderId="1"/>
    <xf numFmtId="0" fontId="16" fillId="30" borderId="1"/>
    <xf numFmtId="0" fontId="16" fillId="30" borderId="1"/>
    <xf numFmtId="0" fontId="14" fillId="30" borderId="1"/>
    <xf numFmtId="0" fontId="29" fillId="30" borderId="1"/>
    <xf numFmtId="0" fontId="14" fillId="30" borderId="1"/>
    <xf numFmtId="0" fontId="14" fillId="30" borderId="1"/>
    <xf numFmtId="0" fontId="14" fillId="30" borderId="1"/>
    <xf numFmtId="0" fontId="16" fillId="30" borderId="1"/>
    <xf numFmtId="0" fontId="30" fillId="30" borderId="1"/>
    <xf numFmtId="0" fontId="7" fillId="30" borderId="1"/>
    <xf numFmtId="0" fontId="14" fillId="51" borderId="34" applyNumberFormat="0" applyAlignment="0" applyProtection="0"/>
    <xf numFmtId="0" fontId="14" fillId="51" borderId="34" applyNumberFormat="0" applyAlignment="0" applyProtection="0"/>
    <xf numFmtId="9" fontId="16" fillId="30" borderId="1" applyFont="0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6" fillId="30" borderId="1" applyFill="0" applyBorder="0" applyAlignment="0" applyProtection="0"/>
    <xf numFmtId="9" fontId="16" fillId="30" borderId="1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4" fillId="30" borderId="1" applyFill="0" applyBorder="0" applyAlignment="0" applyProtection="0"/>
    <xf numFmtId="9" fontId="16" fillId="30" borderId="1" applyFont="0" applyFill="0" applyBorder="0" applyAlignment="0" applyProtection="0"/>
    <xf numFmtId="9" fontId="29" fillId="30" borderId="1" applyBorder="0" applyProtection="0"/>
    <xf numFmtId="9" fontId="16" fillId="30" borderId="1" applyFont="0" applyFill="0" applyBorder="0" applyAlignment="0" applyProtection="0"/>
    <xf numFmtId="0" fontId="31" fillId="44" borderId="35" applyNumberFormat="0" applyAlignment="0" applyProtection="0"/>
    <xf numFmtId="172" fontId="16" fillId="30" borderId="1" applyFont="0" applyFill="0" applyBorder="0" applyAlignment="0" applyProtection="0"/>
    <xf numFmtId="173" fontId="14" fillId="30" borderId="1" applyFill="0" applyBorder="0" applyAlignment="0" applyProtection="0"/>
    <xf numFmtId="174" fontId="14" fillId="30" borderId="1" applyFill="0" applyBorder="0" applyAlignment="0" applyProtection="0"/>
    <xf numFmtId="174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3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3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3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5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173" fontId="14" fillId="30" borderId="1" applyFill="0" applyBorder="0" applyAlignment="0" applyProtection="0"/>
    <xf numFmtId="9" fontId="29" fillId="30" borderId="1" applyBorder="0" applyProtection="0"/>
    <xf numFmtId="170" fontId="14" fillId="30" borderId="1"/>
    <xf numFmtId="0" fontId="32" fillId="30" borderId="1" applyNumberFormat="0" applyFill="0" applyBorder="0" applyAlignment="0" applyProtection="0"/>
    <xf numFmtId="0" fontId="33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5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6" fillId="30" borderId="36" applyNumberFormat="0" applyFill="0" applyAlignment="0" applyProtection="0"/>
    <xf numFmtId="0" fontId="34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6" fillId="30" borderId="36" applyNumberFormat="0" applyFill="0" applyAlignment="0" applyProtection="0"/>
    <xf numFmtId="0" fontId="36" fillId="30" borderId="36" applyNumberFormat="0" applyFill="0" applyAlignment="0" applyProtection="0"/>
    <xf numFmtId="0" fontId="37" fillId="30" borderId="36" applyNumberFormat="0" applyFill="0" applyAlignment="0" applyProtection="0"/>
    <xf numFmtId="0" fontId="38" fillId="30" borderId="37" applyNumberFormat="0" applyFill="0" applyAlignment="0" applyProtection="0"/>
    <xf numFmtId="0" fontId="39" fillId="30" borderId="38" applyNumberFormat="0" applyFill="0" applyAlignment="0" applyProtection="0"/>
    <xf numFmtId="0" fontId="39" fillId="30" borderId="1" applyNumberFormat="0" applyFill="0" applyBorder="0" applyAlignment="0" applyProtection="0"/>
    <xf numFmtId="0" fontId="35" fillId="30" borderId="1" applyNumberFormat="0" applyFill="0" applyBorder="0" applyAlignment="0" applyProtection="0"/>
    <xf numFmtId="0" fontId="40" fillId="30" borderId="1" applyNumberFormat="0" applyFill="0" applyBorder="0" applyAlignment="0" applyProtection="0"/>
    <xf numFmtId="0" fontId="34" fillId="30" borderId="1" applyNumberFormat="0" applyFill="0" applyBorder="0" applyAlignment="0" applyProtection="0"/>
    <xf numFmtId="0" fontId="35" fillId="30" borderId="1" applyNumberFormat="0" applyFill="0" applyBorder="0" applyAlignment="0" applyProtection="0"/>
    <xf numFmtId="0" fontId="40" fillId="30" borderId="1" applyNumberFormat="0" applyFill="0" applyBorder="0" applyAlignment="0" applyProtection="0"/>
    <xf numFmtId="0" fontId="41" fillId="30" borderId="39" applyNumberFormat="0" applyFill="0" applyAlignment="0" applyProtection="0"/>
    <xf numFmtId="173" fontId="14" fillId="30" borderId="1" applyFill="0" applyBorder="0" applyAlignment="0" applyProtection="0"/>
    <xf numFmtId="176" fontId="14" fillId="30" borderId="1" applyFill="0" applyBorder="0" applyAlignment="0" applyProtection="0"/>
    <xf numFmtId="174" fontId="14" fillId="30" borderId="1" applyFill="0" applyBorder="0" applyAlignment="0" applyProtection="0"/>
    <xf numFmtId="43" fontId="7" fillId="30" borderId="1" applyFont="0" applyFill="0" applyBorder="0" applyAlignment="0" applyProtection="0"/>
    <xf numFmtId="0" fontId="7" fillId="30" borderId="1"/>
    <xf numFmtId="0" fontId="14" fillId="30" borderId="1"/>
    <xf numFmtId="43" fontId="7" fillId="30" borderId="1" applyFont="0" applyFill="0" applyBorder="0" applyAlignment="0" applyProtection="0"/>
    <xf numFmtId="0" fontId="7" fillId="30" borderId="1"/>
    <xf numFmtId="0" fontId="1" fillId="30" borderId="1"/>
    <xf numFmtId="0" fontId="1" fillId="30" borderId="1"/>
    <xf numFmtId="0" fontId="1" fillId="30" borderId="1"/>
    <xf numFmtId="43" fontId="1" fillId="30" borderId="1" applyFont="0" applyFill="0" applyBorder="0" applyAlignment="0" applyProtection="0"/>
    <xf numFmtId="43" fontId="1" fillId="30" borderId="1" applyFont="0" applyFill="0" applyBorder="0" applyAlignment="0" applyProtection="0"/>
    <xf numFmtId="44" fontId="1" fillId="30" borderId="1" applyFont="0" applyFill="0" applyBorder="0" applyAlignment="0" applyProtection="0"/>
    <xf numFmtId="0" fontId="1" fillId="30" borderId="1"/>
    <xf numFmtId="165" fontId="1" fillId="30" borderId="1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0" borderId="1"/>
    <xf numFmtId="0" fontId="1" fillId="65" borderId="1" applyNumberFormat="0" applyBorder="0" applyAlignment="0" applyProtection="0"/>
    <xf numFmtId="0" fontId="1" fillId="65" borderId="1" applyNumberFormat="0" applyBorder="0" applyAlignment="0" applyProtection="0"/>
    <xf numFmtId="0" fontId="1" fillId="69" borderId="1" applyNumberFormat="0" applyBorder="0" applyAlignment="0" applyProtection="0"/>
    <xf numFmtId="0" fontId="1" fillId="69" borderId="1" applyNumberFormat="0" applyBorder="0" applyAlignment="0" applyProtection="0"/>
    <xf numFmtId="0" fontId="1" fillId="73" borderId="1" applyNumberFormat="0" applyBorder="0" applyAlignment="0" applyProtection="0"/>
    <xf numFmtId="0" fontId="1" fillId="73" borderId="1" applyNumberFormat="0" applyBorder="0" applyAlignment="0" applyProtection="0"/>
    <xf numFmtId="0" fontId="1" fillId="77" borderId="1" applyNumberFormat="0" applyBorder="0" applyAlignment="0" applyProtection="0"/>
    <xf numFmtId="0" fontId="1" fillId="77" borderId="1" applyNumberFormat="0" applyBorder="0" applyAlignment="0" applyProtection="0"/>
    <xf numFmtId="0" fontId="1" fillId="81" borderId="1" applyNumberFormat="0" applyBorder="0" applyAlignment="0" applyProtection="0"/>
    <xf numFmtId="0" fontId="1" fillId="81" borderId="1" applyNumberFormat="0" applyBorder="0" applyAlignment="0" applyProtection="0"/>
    <xf numFmtId="0" fontId="1" fillId="85" borderId="1" applyNumberFormat="0" applyBorder="0" applyAlignment="0" applyProtection="0"/>
    <xf numFmtId="0" fontId="1" fillId="85" borderId="1" applyNumberFormat="0" applyBorder="0" applyAlignment="0" applyProtection="0"/>
    <xf numFmtId="0" fontId="1" fillId="66" borderId="1" applyNumberFormat="0" applyBorder="0" applyAlignment="0" applyProtection="0"/>
    <xf numFmtId="0" fontId="1" fillId="66" borderId="1" applyNumberFormat="0" applyBorder="0" applyAlignment="0" applyProtection="0"/>
    <xf numFmtId="0" fontId="1" fillId="70" borderId="1" applyNumberFormat="0" applyBorder="0" applyAlignment="0" applyProtection="0"/>
    <xf numFmtId="0" fontId="1" fillId="70" borderId="1" applyNumberFormat="0" applyBorder="0" applyAlignment="0" applyProtection="0"/>
    <xf numFmtId="0" fontId="1" fillId="74" borderId="1" applyNumberFormat="0" applyBorder="0" applyAlignment="0" applyProtection="0"/>
    <xf numFmtId="0" fontId="1" fillId="74" borderId="1" applyNumberFormat="0" applyBorder="0" applyAlignment="0" applyProtection="0"/>
    <xf numFmtId="0" fontId="1" fillId="78" borderId="1" applyNumberFormat="0" applyBorder="0" applyAlignment="0" applyProtection="0"/>
    <xf numFmtId="0" fontId="1" fillId="78" borderId="1" applyNumberFormat="0" applyBorder="0" applyAlignment="0" applyProtection="0"/>
    <xf numFmtId="0" fontId="1" fillId="82" borderId="1" applyNumberFormat="0" applyBorder="0" applyAlignment="0" applyProtection="0"/>
    <xf numFmtId="0" fontId="1" fillId="82" borderId="1" applyNumberFormat="0" applyBorder="0" applyAlignment="0" applyProtection="0"/>
    <xf numFmtId="0" fontId="1" fillId="86" borderId="1" applyNumberFormat="0" applyBorder="0" applyAlignment="0" applyProtection="0"/>
    <xf numFmtId="0" fontId="1" fillId="86" borderId="1" applyNumberFormat="0" applyBorder="0" applyAlignment="0" applyProtection="0"/>
    <xf numFmtId="0" fontId="59" fillId="67" borderId="1" applyNumberFormat="0" applyBorder="0" applyAlignment="0" applyProtection="0"/>
    <xf numFmtId="0" fontId="59" fillId="67" borderId="1" applyNumberFormat="0" applyBorder="0" applyAlignment="0" applyProtection="0"/>
    <xf numFmtId="0" fontId="59" fillId="71" borderId="1" applyNumberFormat="0" applyBorder="0" applyAlignment="0" applyProtection="0"/>
    <xf numFmtId="0" fontId="59" fillId="71" borderId="1" applyNumberFormat="0" applyBorder="0" applyAlignment="0" applyProtection="0"/>
    <xf numFmtId="0" fontId="59" fillId="75" borderId="1" applyNumberFormat="0" applyBorder="0" applyAlignment="0" applyProtection="0"/>
    <xf numFmtId="0" fontId="59" fillId="75" borderId="1" applyNumberFormat="0" applyBorder="0" applyAlignment="0" applyProtection="0"/>
    <xf numFmtId="0" fontId="59" fillId="79" borderId="1" applyNumberFormat="0" applyBorder="0" applyAlignment="0" applyProtection="0"/>
    <xf numFmtId="0" fontId="59" fillId="79" borderId="1" applyNumberFormat="0" applyBorder="0" applyAlignment="0" applyProtection="0"/>
    <xf numFmtId="0" fontId="59" fillId="83" borderId="1" applyNumberFormat="0" applyBorder="0" applyAlignment="0" applyProtection="0"/>
    <xf numFmtId="0" fontId="59" fillId="83" borderId="1" applyNumberFormat="0" applyBorder="0" applyAlignment="0" applyProtection="0"/>
    <xf numFmtId="0" fontId="59" fillId="87" borderId="1" applyNumberFormat="0" applyBorder="0" applyAlignment="0" applyProtection="0"/>
    <xf numFmtId="0" fontId="59" fillId="87" borderId="1" applyNumberFormat="0" applyBorder="0" applyAlignment="0" applyProtection="0"/>
    <xf numFmtId="0" fontId="59" fillId="64" borderId="1" applyNumberFormat="0" applyBorder="0" applyAlignment="0" applyProtection="0"/>
    <xf numFmtId="0" fontId="59" fillId="64" borderId="1" applyNumberFormat="0" applyBorder="0" applyAlignment="0" applyProtection="0"/>
    <xf numFmtId="0" fontId="59" fillId="68" borderId="1" applyNumberFormat="0" applyBorder="0" applyAlignment="0" applyProtection="0"/>
    <xf numFmtId="0" fontId="59" fillId="68" borderId="1" applyNumberFormat="0" applyBorder="0" applyAlignment="0" applyProtection="0"/>
    <xf numFmtId="0" fontId="59" fillId="72" borderId="1" applyNumberFormat="0" applyBorder="0" applyAlignment="0" applyProtection="0"/>
    <xf numFmtId="0" fontId="59" fillId="72" borderId="1" applyNumberFormat="0" applyBorder="0" applyAlignment="0" applyProtection="0"/>
    <xf numFmtId="0" fontId="59" fillId="76" borderId="1" applyNumberFormat="0" applyBorder="0" applyAlignment="0" applyProtection="0"/>
    <xf numFmtId="0" fontId="59" fillId="76" borderId="1" applyNumberFormat="0" applyBorder="0" applyAlignment="0" applyProtection="0"/>
    <xf numFmtId="0" fontId="59" fillId="80" borderId="1" applyNumberFormat="0" applyBorder="0" applyAlignment="0" applyProtection="0"/>
    <xf numFmtId="0" fontId="59" fillId="80" borderId="1" applyNumberFormat="0" applyBorder="0" applyAlignment="0" applyProtection="0"/>
    <xf numFmtId="0" fontId="59" fillId="84" borderId="1" applyNumberFormat="0" applyBorder="0" applyAlignment="0" applyProtection="0"/>
    <xf numFmtId="0" fontId="59" fillId="84" borderId="1" applyNumberFormat="0" applyBorder="0" applyAlignment="0" applyProtection="0"/>
    <xf numFmtId="0" fontId="50" fillId="58" borderId="1" applyNumberFormat="0" applyBorder="0" applyAlignment="0" applyProtection="0"/>
    <xf numFmtId="0" fontId="50" fillId="58" borderId="1" applyNumberFormat="0" applyBorder="0" applyAlignment="0" applyProtection="0"/>
    <xf numFmtId="0" fontId="54" fillId="61" borderId="59" applyNumberFormat="0" applyAlignment="0" applyProtection="0"/>
    <xf numFmtId="0" fontId="54" fillId="61" borderId="59" applyNumberFormat="0" applyAlignment="0" applyProtection="0"/>
    <xf numFmtId="0" fontId="56" fillId="62" borderId="62" applyNumberFormat="0" applyAlignment="0" applyProtection="0"/>
    <xf numFmtId="0" fontId="56" fillId="62" borderId="62" applyNumberFormat="0" applyAlignment="0" applyProtection="0"/>
    <xf numFmtId="0" fontId="58" fillId="30" borderId="1" applyNumberFormat="0" applyFill="0" applyBorder="0" applyAlignment="0" applyProtection="0"/>
    <xf numFmtId="0" fontId="58" fillId="30" borderId="1" applyNumberFormat="0" applyFill="0" applyBorder="0" applyAlignment="0" applyProtection="0"/>
    <xf numFmtId="0" fontId="49" fillId="57" borderId="1" applyNumberFormat="0" applyBorder="0" applyAlignment="0" applyProtection="0"/>
    <xf numFmtId="0" fontId="49" fillId="57" borderId="1" applyNumberFormat="0" applyBorder="0" applyAlignment="0" applyProtection="0"/>
    <xf numFmtId="0" fontId="46" fillId="30" borderId="56" applyNumberFormat="0" applyFill="0" applyAlignment="0" applyProtection="0"/>
    <xf numFmtId="0" fontId="46" fillId="30" borderId="56" applyNumberFormat="0" applyFill="0" applyAlignment="0" applyProtection="0"/>
    <xf numFmtId="0" fontId="47" fillId="30" borderId="57" applyNumberFormat="0" applyFill="0" applyAlignment="0" applyProtection="0"/>
    <xf numFmtId="0" fontId="47" fillId="30" borderId="57" applyNumberFormat="0" applyFill="0" applyAlignment="0" applyProtection="0"/>
    <xf numFmtId="0" fontId="48" fillId="30" borderId="58" applyNumberFormat="0" applyFill="0" applyAlignment="0" applyProtection="0"/>
    <xf numFmtId="0" fontId="48" fillId="30" borderId="58" applyNumberFormat="0" applyFill="0" applyAlignment="0" applyProtection="0"/>
    <xf numFmtId="0" fontId="48" fillId="30" borderId="1" applyNumberFormat="0" applyFill="0" applyBorder="0" applyAlignment="0" applyProtection="0"/>
    <xf numFmtId="0" fontId="48" fillId="30" borderId="1" applyNumberFormat="0" applyFill="0" applyBorder="0" applyAlignment="0" applyProtection="0"/>
    <xf numFmtId="0" fontId="52" fillId="60" borderId="59" applyNumberFormat="0" applyAlignment="0" applyProtection="0"/>
    <xf numFmtId="0" fontId="52" fillId="60" borderId="59" applyNumberFormat="0" applyAlignment="0" applyProtection="0"/>
    <xf numFmtId="0" fontId="55" fillId="30" borderId="61" applyNumberFormat="0" applyFill="0" applyAlignment="0" applyProtection="0"/>
    <xf numFmtId="0" fontId="55" fillId="30" borderId="61" applyNumberFormat="0" applyFill="0" applyAlignment="0" applyProtection="0"/>
    <xf numFmtId="0" fontId="51" fillId="59" borderId="1" applyNumberFormat="0" applyBorder="0" applyAlignment="0" applyProtection="0"/>
    <xf numFmtId="0" fontId="51" fillId="59" borderId="1" applyNumberFormat="0" applyBorder="0" applyAlignment="0" applyProtection="0"/>
    <xf numFmtId="0" fontId="1" fillId="63" borderId="63" applyNumberFormat="0" applyFont="0" applyAlignment="0" applyProtection="0"/>
    <xf numFmtId="0" fontId="1" fillId="63" borderId="63" applyNumberFormat="0" applyFont="0" applyAlignment="0" applyProtection="0"/>
    <xf numFmtId="0" fontId="53" fillId="61" borderId="60" applyNumberFormat="0" applyAlignment="0" applyProtection="0"/>
    <xf numFmtId="0" fontId="53" fillId="61" borderId="60" applyNumberFormat="0" applyAlignment="0" applyProtection="0"/>
    <xf numFmtId="0" fontId="45" fillId="30" borderId="1" applyNumberFormat="0" applyFill="0" applyBorder="0" applyAlignment="0" applyProtection="0"/>
    <xf numFmtId="0" fontId="45" fillId="30" borderId="1" applyNumberFormat="0" applyFill="0" applyBorder="0" applyAlignment="0" applyProtection="0"/>
    <xf numFmtId="0" fontId="57" fillId="30" borderId="1" applyNumberFormat="0" applyFill="0" applyBorder="0" applyAlignment="0" applyProtection="0"/>
    <xf numFmtId="0" fontId="57" fillId="30" borderId="1" applyNumberFormat="0" applyFill="0" applyBorder="0" applyAlignment="0" applyProtection="0"/>
    <xf numFmtId="0" fontId="1" fillId="30" borderId="1"/>
    <xf numFmtId="43" fontId="1" fillId="30" borderId="1" applyFont="0" applyFill="0" applyBorder="0" applyAlignment="0" applyProtection="0"/>
    <xf numFmtId="0" fontId="1" fillId="30" borderId="1"/>
    <xf numFmtId="0" fontId="14" fillId="30" borderId="1"/>
    <xf numFmtId="178" fontId="14" fillId="30" borderId="1" applyFill="0" applyBorder="0" applyAlignment="0" applyProtection="0"/>
  </cellStyleXfs>
  <cellXfs count="780">
    <xf numFmtId="0" fontId="0" fillId="0" borderId="0" xfId="0"/>
    <xf numFmtId="4" fontId="3" fillId="4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Alignment="1" applyProtection="1">
      <alignment wrapText="1"/>
      <protection locked="0"/>
    </xf>
    <xf numFmtId="4" fontId="5" fillId="13" borderId="4" xfId="0" applyNumberFormat="1" applyFont="1" applyFill="1" applyBorder="1" applyAlignment="1">
      <alignment horizontal="right" vertical="center" wrapText="1"/>
    </xf>
    <xf numFmtId="4" fontId="3" fillId="14" borderId="4" xfId="0" applyNumberFormat="1" applyFont="1" applyFill="1" applyBorder="1" applyAlignment="1">
      <alignment horizontal="right" vertical="center" wrapText="1"/>
    </xf>
    <xf numFmtId="4" fontId="5" fillId="18" borderId="2" xfId="0" applyNumberFormat="1" applyFont="1" applyFill="1" applyBorder="1" applyAlignment="1">
      <alignment horizontal="right" vertical="center" wrapText="1"/>
    </xf>
    <xf numFmtId="4" fontId="3" fillId="20" borderId="2" xfId="0" applyNumberFormat="1" applyFont="1" applyFill="1" applyBorder="1" applyAlignment="1">
      <alignment horizontal="right" vertical="center" wrapText="1"/>
    </xf>
    <xf numFmtId="4" fontId="5" fillId="26" borderId="4" xfId="0" applyNumberFormat="1" applyFont="1" applyFill="1" applyBorder="1" applyAlignment="1">
      <alignment horizontal="right" vertical="center" wrapText="1"/>
    </xf>
    <xf numFmtId="4" fontId="5" fillId="9" borderId="2" xfId="0" applyNumberFormat="1" applyFont="1" applyFill="1" applyBorder="1" applyAlignment="1">
      <alignment horizontal="center" vertical="center" wrapText="1"/>
    </xf>
    <xf numFmtId="4" fontId="2" fillId="21" borderId="4" xfId="0" applyNumberFormat="1" applyFont="1" applyFill="1" applyBorder="1" applyAlignment="1" applyProtection="1">
      <alignment wrapText="1"/>
      <protection locked="0"/>
    </xf>
    <xf numFmtId="4" fontId="2" fillId="22" borderId="6" xfId="0" applyNumberFormat="1" applyFont="1" applyFill="1" applyBorder="1" applyAlignment="1" applyProtection="1">
      <alignment wrapText="1"/>
      <protection locked="0"/>
    </xf>
    <xf numFmtId="4" fontId="2" fillId="23" borderId="5" xfId="0" applyNumberFormat="1" applyFont="1" applyFill="1" applyBorder="1" applyAlignment="1" applyProtection="1">
      <alignment wrapText="1"/>
      <protection locked="0"/>
    </xf>
    <xf numFmtId="4" fontId="2" fillId="24" borderId="8" xfId="0" applyNumberFormat="1" applyFont="1" applyFill="1" applyBorder="1" applyAlignment="1" applyProtection="1">
      <alignment wrapText="1"/>
      <protection locked="0"/>
    </xf>
    <xf numFmtId="4" fontId="2" fillId="27" borderId="7" xfId="0" applyNumberFormat="1" applyFont="1" applyFill="1" applyBorder="1" applyAlignment="1" applyProtection="1">
      <alignment wrapText="1"/>
      <protection locked="0"/>
    </xf>
    <xf numFmtId="4" fontId="2" fillId="28" borderId="10" xfId="0" applyNumberFormat="1" applyFont="1" applyFill="1" applyBorder="1" applyAlignment="1" applyProtection="1">
      <alignment wrapText="1"/>
      <protection locked="0"/>
    </xf>
    <xf numFmtId="0" fontId="9" fillId="30" borderId="11" xfId="1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2" fillId="52" borderId="0" xfId="0" applyNumberFormat="1" applyFont="1" applyFill="1" applyAlignment="1">
      <alignment wrapText="1"/>
    </xf>
    <xf numFmtId="0" fontId="0" fillId="30" borderId="1" xfId="199" applyFont="1"/>
    <xf numFmtId="0" fontId="0" fillId="30" borderId="1" xfId="199" applyFont="1" applyAlignment="1">
      <alignment horizontal="center"/>
    </xf>
    <xf numFmtId="44" fontId="0" fillId="30" borderId="1" xfId="40" applyFont="1" applyFill="1" applyBorder="1"/>
    <xf numFmtId="4" fontId="2" fillId="0" borderId="0" xfId="0" applyNumberFormat="1" applyFont="1" applyAlignment="1">
      <alignment horizontal="left" wrapText="1"/>
    </xf>
    <xf numFmtId="4" fontId="2" fillId="52" borderId="0" xfId="0" applyNumberFormat="1" applyFont="1" applyFill="1" applyAlignment="1">
      <alignment horizontal="left" wrapText="1"/>
    </xf>
    <xf numFmtId="4" fontId="2" fillId="53" borderId="0" xfId="0" applyNumberFormat="1" applyFont="1" applyFill="1" applyAlignment="1">
      <alignment wrapText="1"/>
    </xf>
    <xf numFmtId="4" fontId="2" fillId="0" borderId="0" xfId="0" applyNumberFormat="1" applyFont="1" applyAlignment="1">
      <alignment vertical="center" wrapText="1"/>
    </xf>
    <xf numFmtId="4" fontId="2" fillId="52" borderId="0" xfId="0" applyNumberFormat="1" applyFont="1" applyFill="1" applyAlignment="1">
      <alignment horizontal="left" vertical="center" wrapText="1"/>
    </xf>
    <xf numFmtId="4" fontId="2" fillId="52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horizontal="left" vertical="center" wrapText="1"/>
    </xf>
    <xf numFmtId="4" fontId="6" fillId="54" borderId="0" xfId="0" applyNumberFormat="1" applyFont="1" applyFill="1" applyAlignment="1">
      <alignment wrapText="1"/>
    </xf>
    <xf numFmtId="10" fontId="2" fillId="0" borderId="0" xfId="0" applyNumberFormat="1" applyFont="1" applyAlignment="1">
      <alignment wrapText="1"/>
    </xf>
    <xf numFmtId="4" fontId="6" fillId="0" borderId="2" xfId="0" applyNumberFormat="1" applyFont="1" applyBorder="1" applyAlignment="1">
      <alignment horizontal="left" vertical="center" wrapText="1"/>
    </xf>
    <xf numFmtId="4" fontId="3" fillId="55" borderId="2" xfId="0" applyNumberFormat="1" applyFont="1" applyFill="1" applyBorder="1" applyAlignment="1">
      <alignment horizontal="right" vertical="center" wrapText="1"/>
    </xf>
    <xf numFmtId="4" fontId="2" fillId="55" borderId="0" xfId="0" applyNumberFormat="1" applyFont="1" applyFill="1" applyAlignment="1">
      <alignment wrapText="1"/>
    </xf>
    <xf numFmtId="4" fontId="2" fillId="55" borderId="0" xfId="0" applyNumberFormat="1" applyFont="1" applyFill="1" applyAlignment="1">
      <alignment vertical="center" wrapText="1"/>
    </xf>
    <xf numFmtId="4" fontId="2" fillId="53" borderId="0" xfId="0" applyNumberFormat="1" applyFont="1" applyFill="1" applyAlignment="1">
      <alignment vertical="center" wrapText="1"/>
    </xf>
    <xf numFmtId="10" fontId="2" fillId="0" borderId="1" xfId="0" applyNumberFormat="1" applyFont="1" applyBorder="1" applyAlignment="1">
      <alignment horizontal="left" wrapText="1"/>
    </xf>
    <xf numFmtId="4" fontId="2" fillId="55" borderId="0" xfId="0" applyNumberFormat="1" applyFont="1" applyFill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55" borderId="1" xfId="0" applyNumberFormat="1" applyFont="1" applyFill="1" applyBorder="1" applyAlignment="1">
      <alignment horizontal="right" vertical="center" wrapText="1"/>
    </xf>
    <xf numFmtId="4" fontId="2" fillId="55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2" fillId="55" borderId="53" xfId="0" applyNumberFormat="1" applyFont="1" applyFill="1" applyBorder="1" applyAlignment="1">
      <alignment wrapText="1"/>
    </xf>
    <xf numFmtId="4" fontId="2" fillId="55" borderId="1" xfId="0" applyNumberFormat="1" applyFont="1" applyFill="1" applyBorder="1" applyAlignment="1">
      <alignment wrapText="1"/>
    </xf>
    <xf numFmtId="4" fontId="3" fillId="55" borderId="53" xfId="0" applyNumberFormat="1" applyFont="1" applyFill="1" applyBorder="1" applyAlignment="1">
      <alignment horizontal="right" vertical="center" wrapText="1"/>
    </xf>
    <xf numFmtId="4" fontId="2" fillId="52" borderId="53" xfId="0" applyNumberFormat="1" applyFont="1" applyFill="1" applyBorder="1" applyAlignment="1">
      <alignment wrapText="1"/>
    </xf>
    <xf numFmtId="4" fontId="3" fillId="4" borderId="53" xfId="0" applyNumberFormat="1" applyFont="1" applyFill="1" applyBorder="1" applyAlignment="1">
      <alignment horizontal="right" vertical="center" wrapText="1"/>
    </xf>
    <xf numFmtId="4" fontId="3" fillId="4" borderId="13" xfId="0" applyNumberFormat="1" applyFont="1" applyFill="1" applyBorder="1" applyAlignment="1">
      <alignment horizontal="right" vertical="center" wrapText="1"/>
    </xf>
    <xf numFmtId="10" fontId="2" fillId="56" borderId="0" xfId="0" applyNumberFormat="1" applyFont="1" applyFill="1" applyAlignment="1">
      <alignment horizontal="left" wrapText="1"/>
    </xf>
    <xf numFmtId="4" fontId="2" fillId="56" borderId="0" xfId="0" applyNumberFormat="1" applyFont="1" applyFill="1" applyAlignment="1">
      <alignment wrapText="1"/>
    </xf>
    <xf numFmtId="4" fontId="2" fillId="56" borderId="0" xfId="0" applyNumberFormat="1" applyFont="1" applyFill="1" applyAlignment="1">
      <alignment horizontal="left" wrapText="1"/>
    </xf>
    <xf numFmtId="4" fontId="2" fillId="56" borderId="0" xfId="0" applyNumberFormat="1" applyFont="1" applyFill="1" applyAlignment="1">
      <alignment horizontal="left" vertical="center" wrapText="1"/>
    </xf>
    <xf numFmtId="4" fontId="2" fillId="56" borderId="0" xfId="0" applyNumberFormat="1" applyFont="1" applyFill="1" applyAlignment="1">
      <alignment vertical="center" wrapText="1"/>
    </xf>
    <xf numFmtId="4" fontId="2" fillId="56" borderId="1" xfId="0" applyNumberFormat="1" applyFont="1" applyFill="1" applyBorder="1" applyAlignment="1">
      <alignment horizontal="left" vertical="center" wrapText="1"/>
    </xf>
    <xf numFmtId="4" fontId="2" fillId="56" borderId="1" xfId="0" applyNumberFormat="1" applyFont="1" applyFill="1" applyBorder="1" applyAlignment="1">
      <alignment vertical="center" wrapText="1"/>
    </xf>
    <xf numFmtId="4" fontId="2" fillId="56" borderId="53" xfId="0" applyNumberFormat="1" applyFont="1" applyFill="1" applyBorder="1" applyAlignment="1">
      <alignment vertical="center" wrapText="1"/>
    </xf>
    <xf numFmtId="4" fontId="2" fillId="52" borderId="1" xfId="0" applyNumberFormat="1" applyFont="1" applyFill="1" applyBorder="1" applyAlignment="1">
      <alignment vertical="center" wrapText="1"/>
    </xf>
    <xf numFmtId="4" fontId="3" fillId="52" borderId="53" xfId="0" applyNumberFormat="1" applyFont="1" applyFill="1" applyBorder="1" applyAlignment="1">
      <alignment horizontal="right" vertical="center" wrapText="1"/>
    </xf>
    <xf numFmtId="4" fontId="2" fillId="55" borderId="53" xfId="0" applyNumberFormat="1" applyFont="1" applyFill="1" applyBorder="1" applyAlignment="1">
      <alignment vertical="center" wrapText="1"/>
    </xf>
    <xf numFmtId="4" fontId="2" fillId="55" borderId="0" xfId="0" applyNumberFormat="1" applyFont="1" applyFill="1" applyAlignment="1">
      <alignment horizontal="left" wrapText="1"/>
    </xf>
    <xf numFmtId="4" fontId="42" fillId="0" borderId="40" xfId="0" applyNumberFormat="1" applyFont="1" applyBorder="1" applyAlignment="1">
      <alignment wrapText="1"/>
    </xf>
    <xf numFmtId="4" fontId="3" fillId="0" borderId="40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top" wrapText="1"/>
    </xf>
    <xf numFmtId="4" fontId="2" fillId="0" borderId="0" xfId="0" applyNumberFormat="1" applyFont="1" applyAlignment="1" applyProtection="1">
      <alignment wrapText="1"/>
      <protection locked="0"/>
    </xf>
    <xf numFmtId="4" fontId="5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 applyProtection="1">
      <alignment vertical="center" wrapText="1"/>
      <protection locked="0"/>
    </xf>
    <xf numFmtId="182" fontId="5" fillId="0" borderId="2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179" fontId="5" fillId="0" borderId="2" xfId="0" applyNumberFormat="1" applyFont="1" applyBorder="1" applyAlignment="1">
      <alignment horizontal="right" vertical="center" wrapText="1"/>
    </xf>
    <xf numFmtId="181" fontId="5" fillId="0" borderId="2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 applyProtection="1">
      <alignment vertical="center" wrapText="1"/>
      <protection locked="0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justify" wrapText="1"/>
    </xf>
    <xf numFmtId="0" fontId="6" fillId="0" borderId="40" xfId="199" applyFont="1" applyFill="1" applyBorder="1" applyAlignment="1">
      <alignment horizontal="center" vertical="center"/>
    </xf>
    <xf numFmtId="0" fontId="0" fillId="0" borderId="9" xfId="0" applyBorder="1"/>
    <xf numFmtId="4" fontId="5" fillId="0" borderId="3" xfId="0" applyNumberFormat="1" applyFont="1" applyBorder="1" applyAlignment="1">
      <alignment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wrapText="1"/>
      <protection locked="0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wrapText="1"/>
    </xf>
    <xf numFmtId="0" fontId="6" fillId="0" borderId="40" xfId="71" applyFont="1" applyFill="1" applyBorder="1" applyAlignment="1">
      <alignment horizontal="left" vertical="center" wrapText="1"/>
    </xf>
    <xf numFmtId="0" fontId="6" fillId="0" borderId="40" xfId="71" applyFont="1" applyFill="1" applyBorder="1" applyAlignment="1">
      <alignment horizontal="center" vertical="center" wrapText="1"/>
    </xf>
    <xf numFmtId="0" fontId="6" fillId="0" borderId="40" xfId="71" applyFont="1" applyFill="1" applyBorder="1" applyAlignment="1">
      <alignment horizontal="center" vertical="center"/>
    </xf>
    <xf numFmtId="2" fontId="6" fillId="0" borderId="40" xfId="71" quotePrefix="1" applyNumberFormat="1" applyFont="1" applyFill="1" applyBorder="1" applyAlignment="1">
      <alignment horizontal="center" vertical="center"/>
    </xf>
    <xf numFmtId="4" fontId="6" fillId="0" borderId="40" xfId="71" applyNumberFormat="1" applyFont="1" applyFill="1" applyBorder="1" applyAlignment="1">
      <alignment horizontal="right"/>
    </xf>
    <xf numFmtId="173" fontId="6" fillId="0" borderId="40" xfId="195" applyFont="1" applyFill="1" applyBorder="1" applyAlignment="1">
      <alignment horizontal="right"/>
    </xf>
    <xf numFmtId="173" fontId="4" fillId="0" borderId="40" xfId="195" applyFont="1" applyFill="1" applyBorder="1" applyAlignment="1">
      <alignment horizontal="right" vertical="center"/>
    </xf>
    <xf numFmtId="0" fontId="4" fillId="0" borderId="1" xfId="71" applyFont="1" applyFill="1" applyAlignment="1">
      <alignment horizontal="right"/>
    </xf>
    <xf numFmtId="173" fontId="4" fillId="0" borderId="1" xfId="195" applyFont="1" applyFill="1" applyBorder="1" applyAlignment="1">
      <alignment horizontal="right" vertical="center"/>
    </xf>
    <xf numFmtId="1" fontId="4" fillId="0" borderId="40" xfId="199" applyNumberFormat="1" applyFont="1" applyFill="1" applyBorder="1" applyAlignment="1">
      <alignment horizontal="center" vertical="center" wrapText="1"/>
    </xf>
    <xf numFmtId="0" fontId="2" fillId="0" borderId="40" xfId="199" applyFont="1" applyFill="1" applyBorder="1" applyAlignment="1">
      <alignment horizontal="center" vertical="center"/>
    </xf>
    <xf numFmtId="178" fontId="6" fillId="0" borderId="40" xfId="70" applyNumberFormat="1" applyFont="1" applyFill="1" applyBorder="1" applyAlignment="1">
      <alignment horizontal="center" vertical="center" wrapText="1"/>
    </xf>
    <xf numFmtId="0" fontId="6" fillId="0" borderId="40" xfId="71" applyFont="1" applyFill="1" applyBorder="1" applyAlignment="1">
      <alignment horizontal="right" vertical="center"/>
    </xf>
    <xf numFmtId="173" fontId="6" fillId="0" borderId="40" xfId="195" applyFont="1" applyFill="1" applyBorder="1" applyAlignment="1">
      <alignment horizontal="right" vertical="center"/>
    </xf>
    <xf numFmtId="178" fontId="6" fillId="0" borderId="40" xfId="71" quotePrefix="1" applyNumberFormat="1" applyFont="1" applyFill="1" applyBorder="1" applyAlignment="1">
      <alignment horizontal="center" vertical="center"/>
    </xf>
    <xf numFmtId="0" fontId="4" fillId="0" borderId="40" xfId="199" applyFont="1" applyFill="1" applyBorder="1" applyAlignment="1">
      <alignment horizontal="center" vertical="center"/>
    </xf>
    <xf numFmtId="2" fontId="6" fillId="0" borderId="40" xfId="199" applyNumberFormat="1" applyFont="1" applyFill="1" applyBorder="1" applyAlignment="1">
      <alignment horizontal="center" vertical="center"/>
    </xf>
    <xf numFmtId="2" fontId="6" fillId="0" borderId="40" xfId="71" applyNumberFormat="1" applyFont="1" applyFill="1" applyBorder="1" applyAlignment="1">
      <alignment horizontal="right" vertical="center"/>
    </xf>
    <xf numFmtId="173" fontId="6" fillId="0" borderId="40" xfId="195" applyFont="1" applyFill="1" applyBorder="1" applyAlignment="1">
      <alignment horizontal="center" vertical="center" wrapText="1"/>
    </xf>
    <xf numFmtId="173" fontId="4" fillId="0" borderId="40" xfId="195" applyFont="1" applyFill="1" applyBorder="1" applyAlignment="1">
      <alignment horizontal="center" vertical="center" wrapText="1"/>
    </xf>
    <xf numFmtId="0" fontId="2" fillId="0" borderId="1" xfId="199" applyFont="1" applyFill="1"/>
    <xf numFmtId="0" fontId="2" fillId="0" borderId="1" xfId="199" applyFont="1" applyFill="1" applyAlignment="1">
      <alignment horizontal="center"/>
    </xf>
    <xf numFmtId="0" fontId="2" fillId="0" borderId="1" xfId="199" applyFont="1" applyFill="1" applyAlignment="1">
      <alignment horizontal="right"/>
    </xf>
    <xf numFmtId="178" fontId="6" fillId="0" borderId="40" xfId="199" applyNumberFormat="1" applyFont="1" applyFill="1" applyBorder="1" applyAlignment="1">
      <alignment horizontal="center" vertical="center"/>
    </xf>
    <xf numFmtId="2" fontId="6" fillId="0" borderId="40" xfId="201" applyNumberFormat="1" applyFont="1" applyFill="1" applyBorder="1" applyAlignment="1">
      <alignment horizontal="center" vertical="center"/>
    </xf>
    <xf numFmtId="180" fontId="6" fillId="0" borderId="40" xfId="199" applyNumberFormat="1" applyFont="1" applyFill="1" applyBorder="1" applyAlignment="1">
      <alignment horizontal="center" vertical="center"/>
    </xf>
    <xf numFmtId="0" fontId="6" fillId="0" borderId="40" xfId="199" applyFont="1" applyFill="1" applyBorder="1" applyAlignment="1">
      <alignment horizontal="right" vertical="center"/>
    </xf>
    <xf numFmtId="173" fontId="4" fillId="0" borderId="40" xfId="195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left" vertical="center" wrapText="1"/>
    </xf>
    <xf numFmtId="4" fontId="3" fillId="0" borderId="40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left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55" borderId="1" xfId="199" applyFont="1" applyFill="1"/>
    <xf numFmtId="0" fontId="0" fillId="55" borderId="1" xfId="199" applyFont="1" applyFill="1" applyAlignment="1">
      <alignment horizontal="center"/>
    </xf>
    <xf numFmtId="0" fontId="7" fillId="55" borderId="1" xfId="10" applyFill="1"/>
    <xf numFmtId="4" fontId="2" fillId="55" borderId="1" xfId="202" applyNumberFormat="1" applyFont="1" applyFill="1" applyAlignment="1">
      <alignment wrapText="1"/>
    </xf>
    <xf numFmtId="4" fontId="2" fillId="55" borderId="1" xfId="10" applyNumberFormat="1" applyFont="1" applyFill="1" applyAlignment="1">
      <alignment wrapText="1"/>
    </xf>
    <xf numFmtId="0" fontId="5" fillId="0" borderId="2" xfId="202" applyFont="1" applyFill="1" applyBorder="1" applyAlignment="1">
      <alignment horizontal="center" vertical="center" wrapText="1"/>
    </xf>
    <xf numFmtId="0" fontId="5" fillId="0" borderId="2" xfId="202" applyFont="1" applyFill="1" applyBorder="1" applyAlignment="1">
      <alignment horizontal="center" vertical="top" wrapText="1"/>
    </xf>
    <xf numFmtId="4" fontId="5" fillId="0" borderId="2" xfId="202" applyNumberFormat="1" applyFont="1" applyFill="1" applyBorder="1" applyAlignment="1">
      <alignment horizontal="justify" vertical="top" wrapText="1"/>
    </xf>
    <xf numFmtId="0" fontId="6" fillId="0" borderId="40" xfId="199" applyFont="1" applyFill="1" applyBorder="1" applyAlignment="1">
      <alignment horizontal="left"/>
    </xf>
    <xf numFmtId="43" fontId="6" fillId="0" borderId="40" xfId="201" applyFont="1" applyFill="1" applyBorder="1" applyAlignment="1">
      <alignment horizontal="right" vertical="center"/>
    </xf>
    <xf numFmtId="43" fontId="6" fillId="0" borderId="40" xfId="201" applyFont="1" applyFill="1" applyBorder="1" applyAlignment="1">
      <alignment horizontal="center" vertical="center"/>
    </xf>
    <xf numFmtId="179" fontId="6" fillId="0" borderId="40" xfId="199" applyNumberFormat="1" applyFont="1" applyFill="1" applyBorder="1" applyAlignment="1">
      <alignment vertical="center"/>
    </xf>
    <xf numFmtId="180" fontId="6" fillId="0" borderId="40" xfId="71" quotePrefix="1" applyNumberFormat="1" applyFont="1" applyFill="1" applyBorder="1" applyAlignment="1">
      <alignment horizontal="center" vertical="center"/>
    </xf>
    <xf numFmtId="0" fontId="6" fillId="0" borderId="40" xfId="71" quotePrefix="1" applyFont="1" applyFill="1" applyBorder="1" applyAlignment="1">
      <alignment horizontal="center" vertical="center"/>
    </xf>
    <xf numFmtId="2" fontId="6" fillId="0" borderId="40" xfId="70" applyNumberFormat="1" applyFont="1" applyFill="1" applyBorder="1" applyAlignment="1">
      <alignment horizontal="center" vertical="center" wrapText="1"/>
    </xf>
    <xf numFmtId="0" fontId="6" fillId="0" borderId="40" xfId="70" applyFont="1" applyFill="1" applyBorder="1" applyAlignment="1">
      <alignment horizontal="center" vertical="center" wrapText="1"/>
    </xf>
    <xf numFmtId="2" fontId="4" fillId="0" borderId="40" xfId="10" applyNumberFormat="1" applyFont="1" applyFill="1" applyBorder="1" applyAlignment="1">
      <alignment horizontal="center" vertical="center" wrapText="1"/>
    </xf>
    <xf numFmtId="1" fontId="4" fillId="0" borderId="40" xfId="10" applyNumberFormat="1" applyFont="1" applyFill="1" applyBorder="1" applyAlignment="1">
      <alignment horizontal="center" vertical="center" wrapText="1"/>
    </xf>
    <xf numFmtId="0" fontId="6" fillId="0" borderId="40" xfId="10" applyFont="1" applyFill="1" applyBorder="1" applyAlignment="1">
      <alignment horizontal="center" vertical="center"/>
    </xf>
    <xf numFmtId="178" fontId="6" fillId="0" borderId="40" xfId="10" applyNumberFormat="1" applyFont="1" applyFill="1" applyBorder="1" applyAlignment="1">
      <alignment horizontal="center" vertical="center"/>
    </xf>
    <xf numFmtId="0" fontId="2" fillId="0" borderId="40" xfId="10" applyFont="1" applyFill="1" applyBorder="1" applyAlignment="1">
      <alignment horizontal="center" vertical="center"/>
    </xf>
    <xf numFmtId="2" fontId="6" fillId="0" borderId="40" xfId="10" applyNumberFormat="1" applyFont="1" applyFill="1" applyBorder="1" applyAlignment="1">
      <alignment horizontal="center" vertical="center"/>
    </xf>
    <xf numFmtId="44" fontId="6" fillId="0" borderId="40" xfId="71" applyNumberFormat="1" applyFont="1" applyFill="1" applyBorder="1" applyAlignment="1">
      <alignment horizontal="left" vertical="center" wrapText="1"/>
    </xf>
    <xf numFmtId="2" fontId="6" fillId="0" borderId="40" xfId="71" applyNumberFormat="1" applyFont="1" applyFill="1" applyBorder="1" applyAlignment="1">
      <alignment horizontal="center" vertical="center"/>
    </xf>
    <xf numFmtId="0" fontId="6" fillId="0" borderId="40" xfId="70" applyFont="1" applyFill="1" applyBorder="1" applyAlignment="1">
      <alignment horizontal="left" vertical="center" wrapText="1"/>
    </xf>
    <xf numFmtId="177" fontId="4" fillId="0" borderId="40" xfId="70" applyNumberFormat="1" applyFont="1" applyFill="1" applyBorder="1" applyAlignment="1">
      <alignment horizontal="center" vertical="center" wrapText="1"/>
    </xf>
    <xf numFmtId="4" fontId="4" fillId="0" borderId="40" xfId="70" applyNumberFormat="1" applyFont="1" applyFill="1" applyBorder="1" applyAlignment="1">
      <alignment horizontal="center" vertical="center" wrapText="1"/>
    </xf>
    <xf numFmtId="0" fontId="6" fillId="0" borderId="40" xfId="199" applyFont="1" applyFill="1" applyBorder="1" applyAlignment="1">
      <alignment horizontal="left" vertical="center" wrapText="1"/>
    </xf>
    <xf numFmtId="0" fontId="4" fillId="0" borderId="21" xfId="70" applyFont="1" applyFill="1" applyBorder="1" applyAlignment="1">
      <alignment horizontal="center" vertical="center" wrapText="1"/>
    </xf>
    <xf numFmtId="177" fontId="4" fillId="0" borderId="21" xfId="70" applyNumberFormat="1" applyFont="1" applyFill="1" applyBorder="1" applyAlignment="1">
      <alignment horizontal="center" vertical="center" wrapText="1"/>
    </xf>
    <xf numFmtId="4" fontId="4" fillId="0" borderId="21" xfId="70" applyNumberFormat="1" applyFont="1" applyFill="1" applyBorder="1" applyAlignment="1">
      <alignment horizontal="right" vertical="center" wrapText="1"/>
    </xf>
    <xf numFmtId="4" fontId="4" fillId="0" borderId="21" xfId="7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 wrapText="1"/>
    </xf>
    <xf numFmtId="4" fontId="3" fillId="0" borderId="2" xfId="202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2" xfId="202" applyNumberFormat="1" applyFont="1" applyFill="1" applyBorder="1" applyAlignment="1">
      <alignment horizontal="right" vertical="top" wrapText="1"/>
    </xf>
    <xf numFmtId="4" fontId="3" fillId="0" borderId="40" xfId="1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10" applyNumberFormat="1" applyFont="1" applyFill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/>
    </xf>
    <xf numFmtId="4" fontId="3" fillId="0" borderId="2" xfId="10" applyNumberFormat="1" applyFont="1" applyFill="1" applyBorder="1" applyAlignment="1">
      <alignment horizontal="right" vertical="top" wrapText="1"/>
    </xf>
    <xf numFmtId="2" fontId="4" fillId="0" borderId="40" xfId="203" applyNumberFormat="1" applyFont="1" applyFill="1" applyBorder="1" applyAlignment="1">
      <alignment horizontal="center" vertical="center" wrapText="1"/>
    </xf>
    <xf numFmtId="1" fontId="4" fillId="0" borderId="40" xfId="203" applyNumberFormat="1" applyFont="1" applyFill="1" applyBorder="1" applyAlignment="1">
      <alignment horizontal="center" vertical="center" wrapText="1"/>
    </xf>
    <xf numFmtId="0" fontId="6" fillId="0" borderId="40" xfId="203" applyFont="1" applyFill="1" applyBorder="1" applyAlignment="1">
      <alignment horizontal="center" vertical="center"/>
    </xf>
    <xf numFmtId="4" fontId="3" fillId="0" borderId="40" xfId="20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right" vertical="center" wrapText="1"/>
    </xf>
    <xf numFmtId="4" fontId="5" fillId="0" borderId="2" xfId="203" applyNumberFormat="1" applyFont="1" applyFill="1" applyBorder="1" applyAlignment="1">
      <alignment horizontal="right" vertical="center" wrapText="1"/>
    </xf>
    <xf numFmtId="4" fontId="3" fillId="0" borderId="2" xfId="203" applyNumberFormat="1" applyFont="1" applyFill="1" applyBorder="1" applyAlignment="1">
      <alignment horizontal="right" vertical="top" wrapText="1"/>
    </xf>
    <xf numFmtId="183" fontId="2" fillId="56" borderId="1" xfId="0" applyNumberFormat="1" applyFont="1" applyFill="1" applyBorder="1" applyAlignment="1">
      <alignment wrapText="1"/>
    </xf>
    <xf numFmtId="4" fontId="2" fillId="56" borderId="1" xfId="0" applyNumberFormat="1" applyFont="1" applyFill="1" applyBorder="1" applyAlignment="1">
      <alignment wrapText="1"/>
    </xf>
    <xf numFmtId="4" fontId="2" fillId="55" borderId="1" xfId="202" applyNumberFormat="1" applyFont="1" applyFill="1" applyAlignment="1">
      <alignment vertical="center" wrapText="1"/>
    </xf>
    <xf numFmtId="4" fontId="2" fillId="55" borderId="1" xfId="202" applyNumberFormat="1" applyFont="1" applyFill="1" applyAlignment="1">
      <alignment horizontal="left" wrapText="1"/>
    </xf>
    <xf numFmtId="4" fontId="2" fillId="56" borderId="0" xfId="0" applyNumberFormat="1" applyFont="1" applyFill="1" applyAlignment="1">
      <alignment horizontal="center" vertical="center" wrapText="1"/>
    </xf>
    <xf numFmtId="43" fontId="2" fillId="0" borderId="0" xfId="211" applyFont="1" applyAlignment="1">
      <alignment wrapText="1"/>
    </xf>
    <xf numFmtId="10" fontId="2" fillId="56" borderId="0" xfId="0" applyNumberFormat="1" applyFont="1" applyFill="1" applyAlignment="1">
      <alignment vertical="center" wrapText="1"/>
    </xf>
    <xf numFmtId="181" fontId="2" fillId="0" borderId="0" xfId="0" applyNumberFormat="1" applyFont="1" applyAlignment="1">
      <alignment wrapText="1"/>
    </xf>
    <xf numFmtId="10" fontId="2" fillId="0" borderId="0" xfId="212" applyNumberFormat="1" applyFont="1" applyAlignment="1">
      <alignment wrapText="1"/>
    </xf>
    <xf numFmtId="4" fontId="3" fillId="0" borderId="4" xfId="0" applyNumberFormat="1" applyFont="1" applyBorder="1" applyAlignment="1" applyProtection="1">
      <alignment horizontal="left" vertical="center" wrapText="1"/>
      <protection locked="0"/>
    </xf>
    <xf numFmtId="4" fontId="2" fillId="5" borderId="1" xfId="0" applyNumberFormat="1" applyFont="1" applyFill="1" applyBorder="1" applyAlignment="1" applyProtection="1">
      <alignment wrapText="1"/>
      <protection locked="0"/>
    </xf>
    <xf numFmtId="4" fontId="42" fillId="0" borderId="21" xfId="0" applyNumberFormat="1" applyFont="1" applyBorder="1" applyAlignment="1">
      <alignment wrapText="1"/>
    </xf>
    <xf numFmtId="10" fontId="42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43" fontId="42" fillId="0" borderId="0" xfId="211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0" fontId="0" fillId="52" borderId="1" xfId="199" applyFont="1" applyFill="1"/>
    <xf numFmtId="4" fontId="2" fillId="0" borderId="40" xfId="0" applyNumberFormat="1" applyFont="1" applyBorder="1" applyAlignment="1">
      <alignment wrapText="1"/>
    </xf>
    <xf numFmtId="0" fontId="10" fillId="30" borderId="40" xfId="1" applyFont="1" applyBorder="1" applyAlignment="1" applyProtection="1">
      <alignment horizontal="center" vertical="center" wrapText="1"/>
      <protection locked="0"/>
    </xf>
    <xf numFmtId="0" fontId="13" fillId="30" borderId="40" xfId="1" applyFont="1" applyBorder="1" applyAlignment="1" applyProtection="1">
      <alignment horizontal="center" vertical="center" wrapText="1"/>
      <protection locked="0"/>
    </xf>
    <xf numFmtId="49" fontId="10" fillId="30" borderId="40" xfId="1" applyNumberFormat="1" applyFont="1" applyBorder="1" applyAlignment="1">
      <alignment horizontal="center" vertical="center"/>
    </xf>
    <xf numFmtId="4" fontId="6" fillId="0" borderId="40" xfId="71" applyNumberFormat="1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 applyProtection="1">
      <alignment horizontal="left" vertical="center" wrapText="1"/>
      <protection locked="0"/>
    </xf>
    <xf numFmtId="4" fontId="6" fillId="55" borderId="0" xfId="0" applyNumberFormat="1" applyFont="1" applyFill="1" applyAlignment="1">
      <alignment wrapText="1"/>
    </xf>
    <xf numFmtId="184" fontId="2" fillId="0" borderId="0" xfId="211" applyNumberFormat="1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justify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justify" vertical="center" wrapText="1"/>
    </xf>
    <xf numFmtId="0" fontId="6" fillId="0" borderId="40" xfId="199" applyFont="1" applyFill="1" applyBorder="1" applyAlignment="1">
      <alignment horizontal="left" wrapText="1"/>
    </xf>
    <xf numFmtId="173" fontId="6" fillId="0" borderId="40" xfId="195" applyFont="1" applyFill="1" applyBorder="1" applyAlignment="1">
      <alignment horizontal="center" vertical="center"/>
    </xf>
    <xf numFmtId="2" fontId="6" fillId="0" borderId="40" xfId="199" applyNumberFormat="1" applyFont="1" applyFill="1" applyBorder="1" applyAlignment="1">
      <alignment horizontal="right" vertical="center"/>
    </xf>
    <xf numFmtId="0" fontId="6" fillId="0" borderId="40" xfId="199" applyFont="1" applyFill="1" applyBorder="1" applyAlignment="1">
      <alignment horizontal="center" vertical="center" wrapText="1"/>
    </xf>
    <xf numFmtId="181" fontId="6" fillId="0" borderId="40" xfId="199" applyNumberFormat="1" applyFont="1" applyFill="1" applyBorder="1" applyAlignment="1">
      <alignment horizontal="right" vertical="center" wrapText="1"/>
    </xf>
    <xf numFmtId="180" fontId="6" fillId="0" borderId="40" xfId="70" applyNumberFormat="1" applyFont="1" applyFill="1" applyBorder="1" applyAlignment="1">
      <alignment horizontal="center" vertical="center" wrapText="1"/>
    </xf>
    <xf numFmtId="0" fontId="6" fillId="0" borderId="42" xfId="71" applyFont="1" applyFill="1" applyBorder="1" applyAlignment="1">
      <alignment horizontal="left" vertical="center" wrapText="1"/>
    </xf>
    <xf numFmtId="4" fontId="5" fillId="0" borderId="2" xfId="202" applyNumberFormat="1" applyFont="1" applyFill="1" applyBorder="1" applyAlignment="1">
      <alignment horizontal="right" vertical="center" wrapText="1"/>
    </xf>
    <xf numFmtId="4" fontId="5" fillId="0" borderId="2" xfId="202" applyNumberFormat="1" applyFont="1" applyFill="1" applyBorder="1" applyAlignment="1">
      <alignment horizontal="justify" vertical="center" wrapText="1"/>
    </xf>
    <xf numFmtId="4" fontId="5" fillId="0" borderId="2" xfId="202" applyNumberFormat="1" applyFont="1" applyFill="1" applyBorder="1" applyAlignment="1">
      <alignment horizontal="center" vertical="center" wrapText="1"/>
    </xf>
    <xf numFmtId="4" fontId="3" fillId="0" borderId="1" xfId="203" applyNumberFormat="1" applyFont="1" applyFill="1" applyAlignment="1">
      <alignment horizontal="center" vertical="top" wrapText="1"/>
    </xf>
    <xf numFmtId="4" fontId="3" fillId="0" borderId="9" xfId="203" applyNumberFormat="1" applyFont="1" applyFill="1" applyBorder="1" applyAlignment="1">
      <alignment horizontal="right" vertical="top" wrapText="1"/>
    </xf>
    <xf numFmtId="0" fontId="3" fillId="0" borderId="2" xfId="203" applyFont="1" applyFill="1" applyBorder="1" applyAlignment="1" applyProtection="1">
      <alignment horizontal="center" vertical="center" wrapText="1"/>
      <protection locked="0"/>
    </xf>
    <xf numFmtId="4" fontId="3" fillId="0" borderId="2" xfId="203" applyNumberFormat="1" applyFont="1" applyFill="1" applyBorder="1" applyAlignment="1">
      <alignment horizontal="center" vertical="center" wrapText="1"/>
    </xf>
    <xf numFmtId="4" fontId="3" fillId="0" borderId="2" xfId="203" applyNumberFormat="1" applyFont="1" applyFill="1" applyBorder="1" applyAlignment="1" applyProtection="1">
      <alignment horizontal="left" vertical="center" wrapText="1"/>
      <protection locked="0"/>
    </xf>
    <xf numFmtId="0" fontId="5" fillId="0" borderId="2" xfId="203" applyFont="1" applyFill="1" applyBorder="1" applyAlignment="1">
      <alignment horizontal="center" vertical="center" wrapText="1"/>
    </xf>
    <xf numFmtId="4" fontId="5" fillId="0" borderId="2" xfId="203" applyNumberFormat="1" applyFont="1" applyFill="1" applyBorder="1" applyAlignment="1">
      <alignment horizontal="justify" vertical="center" wrapText="1"/>
    </xf>
    <xf numFmtId="4" fontId="5" fillId="0" borderId="2" xfId="203" applyNumberFormat="1" applyFont="1" applyFill="1" applyBorder="1" applyAlignment="1">
      <alignment horizontal="center" vertical="center" wrapText="1"/>
    </xf>
    <xf numFmtId="4" fontId="2" fillId="0" borderId="1" xfId="202" applyNumberFormat="1" applyFont="1" applyFill="1" applyAlignment="1">
      <alignment wrapText="1"/>
    </xf>
    <xf numFmtId="4" fontId="3" fillId="0" borderId="40" xfId="202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202" applyNumberFormat="1" applyFont="1" applyFill="1" applyBorder="1" applyAlignment="1" applyProtection="1">
      <alignment vertical="center" wrapText="1"/>
      <protection locked="0"/>
    </xf>
    <xf numFmtId="4" fontId="3" fillId="0" borderId="2" xfId="202" applyNumberFormat="1" applyFont="1" applyFill="1" applyBorder="1" applyAlignment="1">
      <alignment horizontal="right" vertical="center" wrapText="1"/>
    </xf>
    <xf numFmtId="0" fontId="3" fillId="0" borderId="9" xfId="202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>
      <alignment horizontal="left" wrapText="1"/>
    </xf>
    <xf numFmtId="4" fontId="2" fillId="0" borderId="1" xfId="202" applyNumberFormat="1" applyFont="1" applyFill="1" applyAlignment="1" applyProtection="1">
      <alignment wrapText="1"/>
      <protection locked="0"/>
    </xf>
    <xf numFmtId="1" fontId="5" fillId="0" borderId="40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179" fontId="2" fillId="0" borderId="0" xfId="0" applyNumberFormat="1" applyFont="1" applyAlignment="1">
      <alignment wrapText="1"/>
    </xf>
    <xf numFmtId="4" fontId="2" fillId="88" borderId="0" xfId="0" applyNumberFormat="1" applyFont="1" applyFill="1" applyAlignment="1">
      <alignment horizontal="left" wrapText="1"/>
    </xf>
    <xf numFmtId="4" fontId="2" fillId="88" borderId="0" xfId="0" applyNumberFormat="1" applyFont="1" applyFill="1" applyAlignment="1">
      <alignment wrapText="1"/>
    </xf>
    <xf numFmtId="4" fontId="2" fillId="88" borderId="0" xfId="0" applyNumberFormat="1" applyFont="1" applyFill="1" applyAlignment="1">
      <alignment horizontal="left" vertical="center" wrapText="1"/>
    </xf>
    <xf numFmtId="4" fontId="2" fillId="88" borderId="0" xfId="0" applyNumberFormat="1" applyFont="1" applyFill="1" applyAlignment="1">
      <alignment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0" fillId="30" borderId="1" xfId="294" applyFont="1"/>
    <xf numFmtId="4" fontId="62" fillId="30" borderId="1" xfId="71" applyNumberFormat="1" applyFont="1" applyAlignment="1">
      <alignment horizontal="right" vertical="center" wrapText="1"/>
    </xf>
    <xf numFmtId="4" fontId="63" fillId="89" borderId="1" xfId="294" applyNumberFormat="1" applyFont="1" applyFill="1" applyAlignment="1">
      <alignment horizontal="right" vertical="center" wrapText="1"/>
    </xf>
    <xf numFmtId="4" fontId="62" fillId="30" borderId="1" xfId="71" applyNumberFormat="1" applyFont="1" applyAlignment="1">
      <alignment horizontal="center" vertical="center" wrapText="1"/>
    </xf>
    <xf numFmtId="10" fontId="62" fillId="30" borderId="1" xfId="71" applyNumberFormat="1" applyFont="1" applyAlignment="1">
      <alignment horizontal="center" vertical="center" wrapText="1"/>
    </xf>
    <xf numFmtId="0" fontId="61" fillId="30" borderId="1" xfId="294" applyFont="1"/>
    <xf numFmtId="185" fontId="64" fillId="56" borderId="1" xfId="71" applyNumberFormat="1" applyFont="1" applyFill="1" applyAlignment="1">
      <alignment vertical="center" wrapText="1"/>
    </xf>
    <xf numFmtId="0" fontId="65" fillId="30" borderId="27" xfId="294" applyFont="1" applyBorder="1" applyAlignment="1">
      <alignment horizontal="center" vertical="center" wrapText="1"/>
    </xf>
    <xf numFmtId="0" fontId="65" fillId="30" borderId="1" xfId="294" applyFont="1" applyAlignment="1">
      <alignment vertical="center" wrapText="1"/>
    </xf>
    <xf numFmtId="0" fontId="65" fillId="30" borderId="1" xfId="294" applyFont="1" applyAlignment="1">
      <alignment horizontal="center" vertical="center" wrapText="1"/>
    </xf>
    <xf numFmtId="4" fontId="65" fillId="30" borderId="28" xfId="294" applyNumberFormat="1" applyFont="1" applyBorder="1" applyAlignment="1">
      <alignment horizontal="right" vertical="center" wrapText="1"/>
    </xf>
    <xf numFmtId="4" fontId="65" fillId="89" borderId="1" xfId="294" applyNumberFormat="1" applyFont="1" applyFill="1" applyAlignment="1">
      <alignment horizontal="right" vertical="center" wrapText="1"/>
    </xf>
    <xf numFmtId="4" fontId="65" fillId="30" borderId="1" xfId="294" applyNumberFormat="1" applyFont="1" applyAlignment="1">
      <alignment horizontal="right" vertical="center" wrapText="1"/>
    </xf>
    <xf numFmtId="4" fontId="65" fillId="30" borderId="1" xfId="294" applyNumberFormat="1" applyFont="1" applyAlignment="1">
      <alignment horizontal="center" vertical="center" wrapText="1"/>
    </xf>
    <xf numFmtId="10" fontId="65" fillId="30" borderId="1" xfId="294" applyNumberFormat="1" applyFont="1" applyAlignment="1">
      <alignment horizontal="center" vertical="center" wrapText="1"/>
    </xf>
    <xf numFmtId="0" fontId="61" fillId="89" borderId="1" xfId="294" applyFont="1" applyFill="1" applyAlignment="1">
      <alignment horizontal="center" vertical="center"/>
    </xf>
    <xf numFmtId="0" fontId="61" fillId="30" borderId="1" xfId="294" applyFont="1" applyAlignment="1">
      <alignment horizontal="center" vertical="center"/>
    </xf>
    <xf numFmtId="180" fontId="69" fillId="30" borderId="1" xfId="294" applyNumberFormat="1" applyFont="1" applyAlignment="1">
      <alignment horizontal="right" vertical="top" wrapText="1"/>
    </xf>
    <xf numFmtId="180" fontId="70" fillId="30" borderId="1" xfId="294" applyNumberFormat="1" applyFont="1" applyAlignment="1">
      <alignment horizontal="right" vertical="top" wrapText="1"/>
    </xf>
    <xf numFmtId="0" fontId="0" fillId="30" borderId="28" xfId="294" applyFont="1" applyBorder="1"/>
    <xf numFmtId="0" fontId="71" fillId="30" borderId="1" xfId="294" applyFont="1" applyAlignment="1">
      <alignment horizontal="justify"/>
    </xf>
    <xf numFmtId="0" fontId="61" fillId="30" borderId="27" xfId="294" applyFont="1" applyBorder="1"/>
    <xf numFmtId="0" fontId="61" fillId="30" borderId="28" xfId="294" applyFont="1" applyBorder="1"/>
    <xf numFmtId="0" fontId="60" fillId="30" borderId="1" xfId="294" applyFont="1" applyAlignment="1">
      <alignment horizontal="justify"/>
    </xf>
    <xf numFmtId="0" fontId="61" fillId="89" borderId="1" xfId="294" applyFont="1" applyFill="1"/>
    <xf numFmtId="0" fontId="61" fillId="90" borderId="69" xfId="294" applyFont="1" applyFill="1" applyBorder="1"/>
    <xf numFmtId="2" fontId="60" fillId="90" borderId="72" xfId="294" applyNumberFormat="1" applyFont="1" applyFill="1" applyBorder="1" applyAlignment="1">
      <alignment horizontal="right"/>
    </xf>
    <xf numFmtId="2" fontId="60" fillId="90" borderId="72" xfId="294" applyNumberFormat="1" applyFont="1" applyFill="1" applyBorder="1" applyAlignment="1">
      <alignment horizontal="left"/>
    </xf>
    <xf numFmtId="0" fontId="61" fillId="90" borderId="72" xfId="294" applyFont="1" applyFill="1" applyBorder="1"/>
    <xf numFmtId="0" fontId="61" fillId="90" borderId="73" xfId="294" applyFont="1" applyFill="1" applyBorder="1"/>
    <xf numFmtId="2" fontId="60" fillId="30" borderId="1" xfId="294" applyNumberFormat="1" applyFont="1" applyAlignment="1">
      <alignment horizontal="right"/>
    </xf>
    <xf numFmtId="2" fontId="60" fillId="30" borderId="1" xfId="294" applyNumberFormat="1" applyFont="1" applyAlignment="1">
      <alignment horizontal="left"/>
    </xf>
    <xf numFmtId="0" fontId="0" fillId="30" borderId="27" xfId="294" applyFont="1" applyBorder="1"/>
    <xf numFmtId="0" fontId="0" fillId="89" borderId="1" xfId="294" applyFont="1" applyFill="1"/>
    <xf numFmtId="0" fontId="72" fillId="92" borderId="1" xfId="71" applyFont="1" applyFill="1" applyAlignment="1">
      <alignment horizontal="center"/>
    </xf>
    <xf numFmtId="0" fontId="72" fillId="92" borderId="1" xfId="71" applyFont="1" applyFill="1" applyAlignment="1">
      <alignment horizontal="left"/>
    </xf>
    <xf numFmtId="2" fontId="14" fillId="92" borderId="1" xfId="71" applyNumberFormat="1" applyFill="1"/>
    <xf numFmtId="0" fontId="72" fillId="89" borderId="1" xfId="71" applyFont="1" applyFill="1" applyAlignment="1">
      <alignment horizontal="center"/>
    </xf>
    <xf numFmtId="0" fontId="14" fillId="89" borderId="1" xfId="71" applyFill="1" applyAlignment="1">
      <alignment horizontal="left"/>
    </xf>
    <xf numFmtId="2" fontId="14" fillId="89" borderId="1" xfId="71" applyNumberFormat="1" applyFill="1"/>
    <xf numFmtId="0" fontId="72" fillId="89" borderId="1" xfId="71" applyFont="1" applyFill="1" applyAlignment="1">
      <alignment horizontal="right"/>
    </xf>
    <xf numFmtId="2" fontId="72" fillId="89" borderId="1" xfId="71" applyNumberFormat="1" applyFont="1" applyFill="1"/>
    <xf numFmtId="0" fontId="72" fillId="89" borderId="1" xfId="71" applyFont="1" applyFill="1" applyAlignment="1">
      <alignment horizontal="left"/>
    </xf>
    <xf numFmtId="0" fontId="72" fillId="89" borderId="1" xfId="71" applyFont="1" applyFill="1"/>
    <xf numFmtId="0" fontId="14" fillId="89" borderId="1" xfId="71" applyFill="1"/>
    <xf numFmtId="2" fontId="73" fillId="89" borderId="1" xfId="71" applyNumberFormat="1" applyFont="1" applyFill="1"/>
    <xf numFmtId="0" fontId="5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40" xfId="203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70" applyFont="1" applyFill="1" applyBorder="1" applyAlignment="1">
      <alignment horizontal="center" vertical="center" wrapText="1"/>
    </xf>
    <xf numFmtId="2" fontId="4" fillId="0" borderId="40" xfId="199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 applyProtection="1">
      <alignment horizontal="left" vertical="top" wrapText="1"/>
      <protection locked="0"/>
    </xf>
    <xf numFmtId="4" fontId="3" fillId="0" borderId="9" xfId="20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wrapText="1"/>
    </xf>
    <xf numFmtId="10" fontId="2" fillId="0" borderId="1" xfId="0" applyNumberFormat="1" applyFont="1" applyBorder="1" applyAlignment="1">
      <alignment horizontal="right" wrapText="1"/>
    </xf>
    <xf numFmtId="183" fontId="2" fillId="56" borderId="1" xfId="0" applyNumberFormat="1" applyFont="1" applyFill="1" applyBorder="1" applyAlignment="1">
      <alignment horizontal="right" wrapText="1"/>
    </xf>
    <xf numFmtId="4" fontId="2" fillId="56" borderId="0" xfId="0" applyNumberFormat="1" applyFont="1" applyFill="1" applyAlignment="1">
      <alignment horizontal="right" vertical="center" wrapText="1"/>
    </xf>
    <xf numFmtId="4" fontId="2" fillId="88" borderId="0" xfId="0" applyNumberFormat="1" applyFont="1" applyFill="1" applyAlignment="1">
      <alignment horizontal="right" vertical="center" wrapText="1"/>
    </xf>
    <xf numFmtId="4" fontId="2" fillId="55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0" fontId="2" fillId="56" borderId="0" xfId="0" applyNumberFormat="1" applyFont="1" applyFill="1" applyAlignment="1">
      <alignment horizontal="right" vertical="center" wrapText="1"/>
    </xf>
    <xf numFmtId="4" fontId="42" fillId="0" borderId="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" fontId="6" fillId="0" borderId="3" xfId="0" applyNumberFormat="1" applyFont="1" applyBorder="1" applyAlignment="1">
      <alignment horizontal="center" vertical="center" wrapText="1"/>
    </xf>
    <xf numFmtId="4" fontId="2" fillId="52" borderId="1" xfId="0" applyNumberFormat="1" applyFont="1" applyFill="1" applyBorder="1" applyAlignment="1">
      <alignment wrapText="1"/>
    </xf>
    <xf numFmtId="4" fontId="3" fillId="52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10" fontId="2" fillId="56" borderId="0" xfId="0" applyNumberFormat="1" applyFont="1" applyFill="1" applyAlignment="1">
      <alignment horizontal="right" wrapText="1"/>
    </xf>
    <xf numFmtId="4" fontId="2" fillId="52" borderId="0" xfId="0" applyNumberFormat="1" applyFont="1" applyFill="1" applyAlignment="1">
      <alignment horizontal="right" vertical="center" wrapText="1"/>
    </xf>
    <xf numFmtId="4" fontId="2" fillId="52" borderId="0" xfId="0" applyNumberFormat="1" applyFont="1" applyFill="1" applyAlignment="1">
      <alignment horizontal="right" wrapText="1"/>
    </xf>
    <xf numFmtId="4" fontId="2" fillId="53" borderId="0" xfId="0" applyNumberFormat="1" applyFont="1" applyFill="1" applyAlignment="1">
      <alignment horizontal="right" vertical="center" wrapText="1"/>
    </xf>
    <xf numFmtId="4" fontId="2" fillId="56" borderId="0" xfId="0" applyNumberFormat="1" applyFont="1" applyFill="1" applyAlignment="1">
      <alignment horizontal="right" wrapText="1"/>
    </xf>
    <xf numFmtId="4" fontId="2" fillId="88" borderId="0" xfId="0" applyNumberFormat="1" applyFont="1" applyFill="1" applyAlignment="1">
      <alignment horizontal="right" wrapText="1"/>
    </xf>
    <xf numFmtId="4" fontId="2" fillId="55" borderId="0" xfId="0" applyNumberFormat="1" applyFont="1" applyFill="1" applyAlignment="1">
      <alignment horizontal="right" wrapText="1"/>
    </xf>
    <xf numFmtId="4" fontId="2" fillId="55" borderId="1" xfId="0" applyNumberFormat="1" applyFont="1" applyFill="1" applyBorder="1" applyAlignment="1">
      <alignment horizontal="right" wrapText="1"/>
    </xf>
    <xf numFmtId="4" fontId="2" fillId="52" borderId="1" xfId="0" applyNumberFormat="1" applyFont="1" applyFill="1" applyBorder="1" applyAlignment="1">
      <alignment horizontal="right" wrapText="1"/>
    </xf>
    <xf numFmtId="4" fontId="2" fillId="55" borderId="1" xfId="0" applyNumberFormat="1" applyFont="1" applyFill="1" applyBorder="1" applyAlignment="1">
      <alignment horizontal="right" vertical="center" wrapText="1"/>
    </xf>
    <xf numFmtId="4" fontId="2" fillId="56" borderId="1" xfId="0" applyNumberFormat="1" applyFont="1" applyFill="1" applyBorder="1" applyAlignment="1">
      <alignment horizontal="right" vertical="center" wrapText="1"/>
    </xf>
    <xf numFmtId="4" fontId="74" fillId="56" borderId="0" xfId="0" applyNumberFormat="1" applyFont="1" applyFill="1" applyAlignment="1">
      <alignment horizontal="right" vertical="center" wrapText="1"/>
    </xf>
    <xf numFmtId="4" fontId="75" fillId="4" borderId="1" xfId="0" applyNumberFormat="1" applyFont="1" applyFill="1" applyBorder="1" applyAlignment="1">
      <alignment horizontal="right" vertical="center" wrapText="1"/>
    </xf>
    <xf numFmtId="4" fontId="74" fillId="56" borderId="0" xfId="0" applyNumberFormat="1" applyFont="1" applyFill="1" applyAlignment="1">
      <alignment vertical="center" wrapText="1"/>
    </xf>
    <xf numFmtId="4" fontId="74" fillId="0" borderId="0" xfId="0" applyNumberFormat="1" applyFont="1" applyAlignment="1">
      <alignment wrapText="1"/>
    </xf>
    <xf numFmtId="4" fontId="74" fillId="56" borderId="82" xfId="0" applyNumberFormat="1" applyFont="1" applyFill="1" applyBorder="1" applyAlignment="1">
      <alignment vertical="center" wrapText="1"/>
    </xf>
    <xf numFmtId="4" fontId="2" fillId="56" borderId="27" xfId="0" applyNumberFormat="1" applyFont="1" applyFill="1" applyBorder="1" applyAlignment="1">
      <alignment vertical="center" wrapText="1"/>
    </xf>
    <xf numFmtId="4" fontId="2" fillId="56" borderId="28" xfId="0" applyNumberFormat="1" applyFont="1" applyFill="1" applyBorder="1" applyAlignment="1">
      <alignment vertical="center" wrapText="1"/>
    </xf>
    <xf numFmtId="4" fontId="74" fillId="56" borderId="27" xfId="0" applyNumberFormat="1" applyFont="1" applyFill="1" applyBorder="1" applyAlignment="1">
      <alignment vertical="center" wrapText="1"/>
    </xf>
    <xf numFmtId="4" fontId="2" fillId="0" borderId="27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74" fillId="0" borderId="77" xfId="0" applyNumberFormat="1" applyFont="1" applyBorder="1" applyAlignment="1">
      <alignment wrapText="1"/>
    </xf>
    <xf numFmtId="4" fontId="2" fillId="0" borderId="79" xfId="0" applyNumberFormat="1" applyFont="1" applyBorder="1" applyAlignment="1">
      <alignment wrapText="1"/>
    </xf>
    <xf numFmtId="4" fontId="74" fillId="56" borderId="1" xfId="0" applyNumberFormat="1" applyFont="1" applyFill="1" applyBorder="1" applyAlignment="1">
      <alignment vertical="center" wrapText="1"/>
    </xf>
    <xf numFmtId="4" fontId="74" fillId="56" borderId="81" xfId="0" applyNumberFormat="1" applyFont="1" applyFill="1" applyBorder="1" applyAlignment="1">
      <alignment vertical="center" wrapText="1"/>
    </xf>
    <xf numFmtId="4" fontId="74" fillId="56" borderId="28" xfId="0" applyNumberFormat="1" applyFont="1" applyFill="1" applyBorder="1" applyAlignment="1">
      <alignment vertical="center" wrapText="1"/>
    </xf>
    <xf numFmtId="4" fontId="75" fillId="0" borderId="0" xfId="0" applyNumberFormat="1" applyFont="1" applyAlignment="1">
      <alignment horizontal="right" wrapText="1"/>
    </xf>
    <xf numFmtId="43" fontId="75" fillId="0" borderId="0" xfId="211" applyFont="1" applyAlignment="1">
      <alignment wrapText="1"/>
    </xf>
    <xf numFmtId="4" fontId="42" fillId="0" borderId="40" xfId="0" applyNumberFormat="1" applyFont="1" applyBorder="1" applyAlignment="1" applyProtection="1">
      <alignment horizontal="right" wrapText="1"/>
      <protection locked="0"/>
    </xf>
    <xf numFmtId="185" fontId="62" fillId="30" borderId="1" xfId="71" applyNumberFormat="1" applyFont="1" applyAlignment="1">
      <alignment horizontal="left" vertical="center" wrapText="1"/>
    </xf>
    <xf numFmtId="0" fontId="0" fillId="30" borderId="1" xfId="294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42" fillId="30" borderId="40" xfId="0" applyNumberFormat="1" applyFont="1" applyFill="1" applyBorder="1" applyAlignment="1" applyProtection="1">
      <alignment wrapText="1"/>
      <protection locked="0"/>
    </xf>
    <xf numFmtId="4" fontId="42" fillId="30" borderId="1" xfId="0" applyNumberFormat="1" applyFont="1" applyFill="1" applyBorder="1" applyAlignment="1" applyProtection="1">
      <alignment wrapText="1"/>
      <protection locked="0"/>
    </xf>
    <xf numFmtId="4" fontId="42" fillId="0" borderId="1" xfId="0" applyNumberFormat="1" applyFont="1" applyBorder="1" applyAlignment="1">
      <alignment wrapText="1"/>
    </xf>
    <xf numFmtId="4" fontId="5" fillId="0" borderId="83" xfId="0" applyNumberFormat="1" applyFont="1" applyBorder="1" applyAlignment="1">
      <alignment horizontal="right" vertical="center" wrapText="1"/>
    </xf>
    <xf numFmtId="4" fontId="2" fillId="5" borderId="40" xfId="0" applyNumberFormat="1" applyFont="1" applyFill="1" applyBorder="1" applyAlignment="1" applyProtection="1">
      <alignment wrapText="1"/>
      <protection locked="0"/>
    </xf>
    <xf numFmtId="4" fontId="42" fillId="0" borderId="1" xfId="0" applyNumberFormat="1" applyFont="1" applyBorder="1" applyAlignment="1" applyProtection="1">
      <alignment horizontal="right" wrapText="1"/>
      <protection locked="0"/>
    </xf>
    <xf numFmtId="4" fontId="42" fillId="30" borderId="40" xfId="0" applyNumberFormat="1" applyFont="1" applyFill="1" applyBorder="1" applyAlignment="1" applyProtection="1">
      <alignment horizontal="right" wrapText="1"/>
      <protection locked="0"/>
    </xf>
    <xf numFmtId="4" fontId="42" fillId="30" borderId="1" xfId="0" applyNumberFormat="1" applyFont="1" applyFill="1" applyBorder="1" applyAlignment="1" applyProtection="1">
      <alignment horizontal="right" wrapText="1"/>
      <protection locked="0"/>
    </xf>
    <xf numFmtId="4" fontId="42" fillId="30" borderId="1" xfId="0" applyNumberFormat="1" applyFont="1" applyFill="1" applyBorder="1" applyAlignment="1" applyProtection="1">
      <alignment horizontal="center" wrapText="1"/>
      <protection locked="0"/>
    </xf>
    <xf numFmtId="4" fontId="42" fillId="0" borderId="0" xfId="0" applyNumberFormat="1" applyFont="1" applyAlignment="1">
      <alignment horizontal="center" wrapText="1"/>
    </xf>
    <xf numFmtId="4" fontId="2" fillId="0" borderId="0" xfId="0" applyNumberFormat="1" applyFont="1"/>
    <xf numFmtId="4" fontId="2" fillId="27" borderId="1" xfId="0" applyNumberFormat="1" applyFont="1" applyFill="1" applyBorder="1" applyAlignment="1" applyProtection="1">
      <alignment wrapText="1"/>
      <protection locked="0"/>
    </xf>
    <xf numFmtId="4" fontId="2" fillId="28" borderId="1" xfId="0" applyNumberFormat="1" applyFont="1" applyFill="1" applyBorder="1" applyAlignment="1" applyProtection="1">
      <alignment wrapText="1"/>
      <protection locked="0"/>
    </xf>
    <xf numFmtId="4" fontId="5" fillId="29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" xfId="0" applyNumberFormat="1" applyFont="1" applyFill="1" applyBorder="1" applyAlignment="1">
      <alignment horizontal="right" vertical="center" wrapText="1"/>
    </xf>
    <xf numFmtId="4" fontId="3" fillId="19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" xfId="0" applyNumberFormat="1" applyFont="1" applyFill="1" applyBorder="1" applyAlignment="1" applyProtection="1">
      <alignment horizontal="right" vertical="center" wrapText="1"/>
      <protection locked="0"/>
    </xf>
    <xf numFmtId="0" fontId="76" fillId="30" borderId="1" xfId="294" applyFont="1"/>
    <xf numFmtId="4" fontId="2" fillId="89" borderId="1" xfId="0" applyNumberFormat="1" applyFont="1" applyFill="1" applyBorder="1" applyAlignment="1" applyProtection="1">
      <alignment wrapText="1"/>
      <protection locked="0"/>
    </xf>
    <xf numFmtId="4" fontId="5" fillId="89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89" borderId="1" xfId="0" applyNumberFormat="1" applyFont="1" applyFill="1" applyBorder="1" applyAlignment="1">
      <alignment horizontal="right" vertical="center" wrapText="1"/>
    </xf>
    <xf numFmtId="4" fontId="3" fillId="89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0" borderId="40" xfId="1" applyFont="1" applyBorder="1" applyAlignment="1" applyProtection="1">
      <alignment horizontal="center" vertical="top" wrapText="1"/>
      <protection locked="0"/>
    </xf>
    <xf numFmtId="0" fontId="9" fillId="30" borderId="40" xfId="1" applyFont="1" applyBorder="1" applyAlignment="1" applyProtection="1">
      <alignment horizontal="center" vertical="top" wrapText="1"/>
      <protection locked="0"/>
    </xf>
    <xf numFmtId="0" fontId="43" fillId="30" borderId="40" xfId="1" applyFont="1" applyBorder="1" applyAlignment="1" applyProtection="1">
      <alignment horizontal="center" vertical="top" wrapText="1"/>
      <protection locked="0"/>
    </xf>
    <xf numFmtId="0" fontId="61" fillId="89" borderId="27" xfId="294" applyFont="1" applyFill="1" applyBorder="1"/>
    <xf numFmtId="2" fontId="60" fillId="89" borderId="1" xfId="294" applyNumberFormat="1" applyFont="1" applyFill="1" applyAlignment="1">
      <alignment horizontal="right"/>
    </xf>
    <xf numFmtId="2" fontId="60" fillId="89" borderId="1" xfId="294" applyNumberFormat="1" applyFont="1" applyFill="1" applyAlignment="1">
      <alignment horizontal="left"/>
    </xf>
    <xf numFmtId="0" fontId="61" fillId="89" borderId="28" xfId="294" applyFont="1" applyFill="1" applyBorder="1"/>
    <xf numFmtId="0" fontId="60" fillId="30" borderId="27" xfId="294" applyFont="1" applyBorder="1"/>
    <xf numFmtId="0" fontId="78" fillId="30" borderId="1" xfId="294" applyFont="1"/>
    <xf numFmtId="0" fontId="61" fillId="30" borderId="27" xfId="294" applyFont="1" applyBorder="1" applyAlignment="1">
      <alignment horizontal="left" vertical="center" wrapText="1"/>
    </xf>
    <xf numFmtId="0" fontId="60" fillId="30" borderId="1" xfId="294" applyFont="1" applyAlignment="1">
      <alignment horizontal="left" vertical="center" wrapText="1"/>
    </xf>
    <xf numFmtId="0" fontId="61" fillId="30" borderId="1" xfId="294" applyFont="1" applyAlignment="1">
      <alignment horizontal="left" vertical="center" wrapText="1"/>
    </xf>
    <xf numFmtId="0" fontId="61" fillId="30" borderId="28" xfId="294" applyFont="1" applyBorder="1" applyAlignment="1">
      <alignment horizontal="left" vertical="center" wrapText="1"/>
    </xf>
    <xf numFmtId="0" fontId="79" fillId="30" borderId="27" xfId="294" applyFont="1" applyBorder="1"/>
    <xf numFmtId="0" fontId="79" fillId="30" borderId="1" xfId="294" applyFont="1"/>
    <xf numFmtId="0" fontId="10" fillId="30" borderId="1" xfId="70" applyFont="1" applyAlignment="1">
      <alignment horizontal="left" vertical="top"/>
    </xf>
    <xf numFmtId="0" fontId="81" fillId="30" borderId="2" xfId="70" applyFont="1" applyBorder="1" applyAlignment="1">
      <alignment horizontal="center" vertical="top" wrapText="1"/>
    </xf>
    <xf numFmtId="0" fontId="81" fillId="30" borderId="2" xfId="70" applyFont="1" applyBorder="1" applyAlignment="1">
      <alignment horizontal="left" vertical="top" wrapText="1"/>
    </xf>
    <xf numFmtId="2" fontId="83" fillId="30" borderId="2" xfId="70" applyNumberFormat="1" applyFont="1" applyBorder="1" applyAlignment="1">
      <alignment horizontal="center" vertical="top" shrinkToFit="1"/>
    </xf>
    <xf numFmtId="0" fontId="72" fillId="95" borderId="2" xfId="70" applyFont="1" applyFill="1" applyBorder="1" applyAlignment="1">
      <alignment horizontal="center" vertical="top" wrapText="1"/>
    </xf>
    <xf numFmtId="0" fontId="72" fillId="95" borderId="2" xfId="70" applyFont="1" applyFill="1" applyBorder="1" applyAlignment="1">
      <alignment horizontal="left" vertical="top" wrapText="1"/>
    </xf>
    <xf numFmtId="2" fontId="84" fillId="95" borderId="2" xfId="70" applyNumberFormat="1" applyFont="1" applyFill="1" applyBorder="1" applyAlignment="1">
      <alignment horizontal="center" vertical="top" shrinkToFit="1"/>
    </xf>
    <xf numFmtId="2" fontId="84" fillId="95" borderId="4" xfId="70" applyNumberFormat="1" applyFont="1" applyFill="1" applyBorder="1" applyAlignment="1">
      <alignment horizontal="center" vertical="top" shrinkToFit="1"/>
    </xf>
    <xf numFmtId="0" fontId="85" fillId="93" borderId="3" xfId="70" applyFont="1" applyFill="1" applyBorder="1" applyAlignment="1">
      <alignment horizontal="left" vertical="top"/>
    </xf>
    <xf numFmtId="0" fontId="72" fillId="93" borderId="23" xfId="70" applyFont="1" applyFill="1" applyBorder="1" applyAlignment="1">
      <alignment vertical="top" wrapText="1"/>
    </xf>
    <xf numFmtId="0" fontId="72" fillId="93" borderId="40" xfId="70" applyFont="1" applyFill="1" applyBorder="1" applyAlignment="1">
      <alignment horizontal="center" vertical="center" wrapText="1"/>
    </xf>
    <xf numFmtId="0" fontId="82" fillId="30" borderId="2" xfId="70" applyFont="1" applyBorder="1" applyAlignment="1">
      <alignment horizontal="left" vertical="top" wrapText="1"/>
    </xf>
    <xf numFmtId="4" fontId="42" fillId="30" borderId="23" xfId="0" applyNumberFormat="1" applyFont="1" applyFill="1" applyBorder="1" applyAlignment="1">
      <alignment horizontal="right" vertical="center" wrapText="1"/>
    </xf>
    <xf numFmtId="4" fontId="3" fillId="52" borderId="3" xfId="0" applyNumberFormat="1" applyFont="1" applyFill="1" applyBorder="1" applyAlignment="1">
      <alignment vertical="center"/>
    </xf>
    <xf numFmtId="4" fontId="3" fillId="52" borderId="23" xfId="0" applyNumberFormat="1" applyFont="1" applyFill="1" applyBorder="1" applyAlignment="1">
      <alignment vertical="center"/>
    </xf>
    <xf numFmtId="4" fontId="3" fillId="52" borderId="9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 wrapText="1"/>
    </xf>
    <xf numFmtId="4" fontId="74" fillId="88" borderId="0" xfId="0" applyNumberFormat="1" applyFont="1" applyFill="1" applyAlignment="1">
      <alignment horizontal="center" vertical="center" wrapText="1"/>
    </xf>
    <xf numFmtId="4" fontId="74" fillId="0" borderId="0" xfId="0" applyNumberFormat="1" applyFont="1" applyAlignment="1">
      <alignment horizontal="center" vertical="center" wrapText="1"/>
    </xf>
    <xf numFmtId="0" fontId="72" fillId="94" borderId="6" xfId="70" applyFont="1" applyFill="1" applyBorder="1" applyAlignment="1">
      <alignment horizontal="center" vertical="top" wrapText="1"/>
    </xf>
    <xf numFmtId="0" fontId="80" fillId="30" borderId="1" xfId="70" applyFont="1" applyAlignment="1">
      <alignment vertical="top" wrapText="1"/>
    </xf>
    <xf numFmtId="4" fontId="5" fillId="89" borderId="2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0" fontId="44" fillId="30" borderId="1" xfId="1" applyFont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55" borderId="2" xfId="0" applyNumberFormat="1" applyFont="1" applyFill="1" applyBorder="1" applyAlignment="1">
      <alignment horizontal="center" vertical="center" wrapText="1"/>
    </xf>
    <xf numFmtId="0" fontId="5" fillId="55" borderId="2" xfId="0" applyFont="1" applyFill="1" applyBorder="1" applyAlignment="1">
      <alignment horizontal="center" vertical="center" wrapText="1"/>
    </xf>
    <xf numFmtId="4" fontId="5" fillId="55" borderId="2" xfId="0" applyNumberFormat="1" applyFont="1" applyFill="1" applyBorder="1" applyAlignment="1">
      <alignment horizontal="left" vertical="center" wrapText="1"/>
    </xf>
    <xf numFmtId="4" fontId="5" fillId="55" borderId="2" xfId="0" applyNumberFormat="1" applyFont="1" applyFill="1" applyBorder="1" applyAlignment="1">
      <alignment horizontal="right" vertical="center" wrapText="1"/>
    </xf>
    <xf numFmtId="4" fontId="5" fillId="55" borderId="3" xfId="0" applyNumberFormat="1" applyFont="1" applyFill="1" applyBorder="1" applyAlignment="1">
      <alignment horizontal="right" vertical="center" wrapText="1"/>
    </xf>
    <xf numFmtId="4" fontId="5" fillId="55" borderId="40" xfId="0" applyNumberFormat="1" applyFont="1" applyFill="1" applyBorder="1" applyAlignment="1">
      <alignment horizontal="right" vertical="center" wrapText="1"/>
    </xf>
    <xf numFmtId="4" fontId="5" fillId="55" borderId="1" xfId="0" applyNumberFormat="1" applyFont="1" applyFill="1" applyBorder="1" applyAlignment="1">
      <alignment horizontal="right" vertical="center" wrapText="1"/>
    </xf>
    <xf numFmtId="4" fontId="6" fillId="55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6" fillId="55" borderId="2" xfId="0" applyNumberFormat="1" applyFont="1" applyFill="1" applyBorder="1" applyAlignment="1">
      <alignment horizontal="left" vertical="center" wrapText="1"/>
    </xf>
    <xf numFmtId="4" fontId="42" fillId="0" borderId="44" xfId="0" applyNumberFormat="1" applyFont="1" applyBorder="1" applyAlignment="1">
      <alignment wrapText="1"/>
    </xf>
    <xf numFmtId="4" fontId="42" fillId="0" borderId="13" xfId="0" applyNumberFormat="1" applyFont="1" applyBorder="1" applyAlignment="1">
      <alignment wrapText="1"/>
    </xf>
    <xf numFmtId="4" fontId="42" fillId="0" borderId="54" xfId="0" applyNumberFormat="1" applyFont="1" applyBorder="1" applyAlignment="1">
      <alignment wrapText="1"/>
    </xf>
    <xf numFmtId="4" fontId="42" fillId="0" borderId="42" xfId="0" applyNumberFormat="1" applyFont="1" applyBorder="1" applyAlignment="1">
      <alignment wrapText="1"/>
    </xf>
    <xf numFmtId="4" fontId="42" fillId="0" borderId="1" xfId="0" applyNumberFormat="1" applyFont="1" applyBorder="1" applyAlignment="1">
      <alignment horizontal="center" wrapText="1"/>
    </xf>
    <xf numFmtId="4" fontId="5" fillId="0" borderId="45" xfId="0" applyNumberFormat="1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center" wrapText="1"/>
    </xf>
    <xf numFmtId="4" fontId="3" fillId="0" borderId="40" xfId="0" applyNumberFormat="1" applyFont="1" applyBorder="1" applyAlignment="1" applyProtection="1">
      <alignment horizontal="left" vertical="center" wrapText="1"/>
      <protection locked="0"/>
    </xf>
    <xf numFmtId="4" fontId="42" fillId="0" borderId="40" xfId="0" applyNumberFormat="1" applyFont="1" applyBorder="1" applyAlignment="1">
      <alignment horizontal="center" wrapText="1"/>
    </xf>
    <xf numFmtId="4" fontId="42" fillId="0" borderId="14" xfId="0" applyNumberFormat="1" applyFont="1" applyBorder="1" applyAlignment="1">
      <alignment wrapText="1"/>
    </xf>
    <xf numFmtId="4" fontId="77" fillId="0" borderId="1" xfId="0" applyNumberFormat="1" applyFont="1" applyBorder="1" applyAlignment="1">
      <alignment horizontal="center" wrapText="1"/>
    </xf>
    <xf numFmtId="0" fontId="8" fillId="30" borderId="1" xfId="1" applyFont="1" applyAlignment="1" applyProtection="1">
      <alignment horizontal="center" vertical="center" wrapText="1"/>
      <protection locked="0"/>
    </xf>
    <xf numFmtId="0" fontId="12" fillId="30" borderId="1" xfId="1" applyFont="1" applyAlignment="1">
      <alignment horizontal="center" vertical="center"/>
    </xf>
    <xf numFmtId="49" fontId="10" fillId="30" borderId="1" xfId="1" applyNumberFormat="1" applyFont="1" applyAlignment="1">
      <alignment horizontal="center" vertical="center"/>
    </xf>
    <xf numFmtId="0" fontId="10" fillId="30" borderId="1" xfId="1" applyFont="1" applyAlignment="1" applyProtection="1">
      <alignment horizontal="center" vertical="center" wrapText="1"/>
      <protection locked="0"/>
    </xf>
    <xf numFmtId="4" fontId="3" fillId="0" borderId="41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74" fillId="0" borderId="27" xfId="0" applyNumberFormat="1" applyFont="1" applyBorder="1" applyAlignment="1">
      <alignment vertical="center" wrapText="1"/>
    </xf>
    <xf numFmtId="4" fontId="2" fillId="0" borderId="28" xfId="0" applyNumberFormat="1" applyFont="1" applyBorder="1" applyAlignment="1">
      <alignment vertical="center" wrapText="1"/>
    </xf>
    <xf numFmtId="4" fontId="5" fillId="55" borderId="1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wrapText="1"/>
    </xf>
    <xf numFmtId="0" fontId="9" fillId="30" borderId="21" xfId="1" applyFont="1" applyBorder="1" applyAlignment="1" applyProtection="1">
      <alignment horizontal="center" vertical="top" wrapText="1"/>
      <protection locked="0"/>
    </xf>
    <xf numFmtId="0" fontId="12" fillId="30" borderId="21" xfId="1" applyFont="1" applyBorder="1" applyAlignment="1" applyProtection="1">
      <alignment horizontal="center" vertical="center" wrapText="1"/>
      <protection locked="0"/>
    </xf>
    <xf numFmtId="0" fontId="12" fillId="30" borderId="21" xfId="1" applyFont="1" applyBorder="1" applyAlignment="1">
      <alignment horizontal="center" vertical="center"/>
    </xf>
    <xf numFmtId="10" fontId="42" fillId="0" borderId="40" xfId="212" applyNumberFormat="1" applyFont="1" applyFill="1" applyBorder="1" applyAlignment="1">
      <alignment horizontal="center" wrapText="1"/>
    </xf>
    <xf numFmtId="10" fontId="75" fillId="0" borderId="40" xfId="212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left" vertical="center" wrapText="1"/>
    </xf>
    <xf numFmtId="2" fontId="0" fillId="0" borderId="0" xfId="0" applyNumberFormat="1"/>
    <xf numFmtId="4" fontId="3" fillId="55" borderId="2" xfId="0" applyNumberFormat="1" applyFont="1" applyFill="1" applyBorder="1" applyAlignment="1" applyProtection="1">
      <alignment horizontal="left" vertical="center" wrapText="1"/>
      <protection locked="0"/>
    </xf>
    <xf numFmtId="4" fontId="3" fillId="55" borderId="3" xfId="0" applyNumberFormat="1" applyFont="1" applyFill="1" applyBorder="1" applyAlignment="1">
      <alignment horizontal="right" vertical="center" wrapText="1"/>
    </xf>
    <xf numFmtId="4" fontId="3" fillId="55" borderId="40" xfId="0" applyNumberFormat="1" applyFont="1" applyFill="1" applyBorder="1" applyAlignment="1">
      <alignment horizontal="right" vertical="center" wrapText="1"/>
    </xf>
    <xf numFmtId="4" fontId="3" fillId="3" borderId="4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4" xfId="0" applyNumberFormat="1" applyFont="1" applyBorder="1" applyAlignment="1">
      <alignment horizontal="right" vertical="center" wrapText="1"/>
    </xf>
    <xf numFmtId="4" fontId="5" fillId="55" borderId="44" xfId="0" applyNumberFormat="1" applyFont="1" applyFill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3" fillId="3" borderId="40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55" borderId="6" xfId="0" applyNumberFormat="1" applyFont="1" applyFill="1" applyBorder="1" applyAlignment="1">
      <alignment horizontal="left" vertical="center" wrapText="1"/>
    </xf>
    <xf numFmtId="0" fontId="5" fillId="55" borderId="6" xfId="0" applyFont="1" applyFill="1" applyBorder="1" applyAlignment="1">
      <alignment horizontal="center" vertical="center" wrapText="1"/>
    </xf>
    <xf numFmtId="4" fontId="5" fillId="55" borderId="6" xfId="0" applyNumberFormat="1" applyFont="1" applyFill="1" applyBorder="1" applyAlignment="1">
      <alignment horizontal="center" vertical="center" wrapText="1"/>
    </xf>
    <xf numFmtId="4" fontId="5" fillId="55" borderId="6" xfId="0" applyNumberFormat="1" applyFont="1" applyFill="1" applyBorder="1" applyAlignment="1">
      <alignment horizontal="right" vertical="center" wrapText="1"/>
    </xf>
    <xf numFmtId="4" fontId="5" fillId="55" borderId="7" xfId="0" applyNumberFormat="1" applyFont="1" applyFill="1" applyBorder="1" applyAlignment="1">
      <alignment horizontal="right" vertical="center" wrapText="1"/>
    </xf>
    <xf numFmtId="4" fontId="5" fillId="55" borderId="21" xfId="0" applyNumberFormat="1" applyFont="1" applyFill="1" applyBorder="1" applyAlignment="1">
      <alignment horizontal="right" vertical="center" wrapText="1"/>
    </xf>
    <xf numFmtId="4" fontId="5" fillId="55" borderId="16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10" fillId="30" borderId="1" xfId="1" applyNumberFormat="1" applyFont="1" applyAlignment="1">
      <alignment horizontal="center" vertical="center"/>
    </xf>
    <xf numFmtId="4" fontId="88" fillId="0" borderId="40" xfId="0" applyNumberFormat="1" applyFont="1" applyBorder="1" applyAlignment="1">
      <alignment horizontal="center" wrapText="1"/>
    </xf>
    <xf numFmtId="4" fontId="88" fillId="0" borderId="40" xfId="0" applyNumberFormat="1" applyFont="1" applyBorder="1" applyAlignment="1">
      <alignment wrapText="1"/>
    </xf>
    <xf numFmtId="180" fontId="10" fillId="30" borderId="1" xfId="1" applyNumberFormat="1" applyFont="1" applyAlignment="1">
      <alignment horizontal="right" vertical="center"/>
    </xf>
    <xf numFmtId="10" fontId="42" fillId="0" borderId="1" xfId="212" applyNumberFormat="1" applyFont="1" applyFill="1" applyBorder="1" applyAlignment="1">
      <alignment wrapText="1"/>
    </xf>
    <xf numFmtId="4" fontId="6" fillId="55" borderId="9" xfId="0" applyNumberFormat="1" applyFont="1" applyFill="1" applyBorder="1" applyAlignment="1">
      <alignment horizontal="right" vertical="center" wrapText="1"/>
    </xf>
    <xf numFmtId="4" fontId="42" fillId="0" borderId="13" xfId="0" applyNumberFormat="1" applyFont="1" applyBorder="1" applyAlignment="1">
      <alignment horizontal="center" wrapText="1"/>
    </xf>
    <xf numFmtId="4" fontId="89" fillId="0" borderId="40" xfId="0" applyNumberFormat="1" applyFont="1" applyBorder="1" applyAlignment="1">
      <alignment horizontal="center" wrapText="1"/>
    </xf>
    <xf numFmtId="4" fontId="42" fillId="0" borderId="40" xfId="0" applyNumberFormat="1" applyFont="1" applyBorder="1" applyAlignment="1">
      <alignment horizontal="center" vertical="center" wrapText="1"/>
    </xf>
    <xf numFmtId="4" fontId="42" fillId="30" borderId="44" xfId="0" applyNumberFormat="1" applyFont="1" applyFill="1" applyBorder="1" applyAlignment="1" applyProtection="1">
      <alignment wrapText="1"/>
      <protection locked="0"/>
    </xf>
    <xf numFmtId="4" fontId="42" fillId="52" borderId="40" xfId="0" applyNumberFormat="1" applyFont="1" applyFill="1" applyBorder="1" applyAlignment="1">
      <alignment horizontal="center" wrapText="1"/>
    </xf>
    <xf numFmtId="4" fontId="42" fillId="88" borderId="40" xfId="0" applyNumberFormat="1" applyFont="1" applyFill="1" applyBorder="1" applyAlignment="1">
      <alignment horizontal="center" wrapText="1"/>
    </xf>
    <xf numFmtId="4" fontId="5" fillId="53" borderId="1" xfId="0" applyNumberFormat="1" applyFont="1" applyFill="1" applyBorder="1" applyAlignment="1">
      <alignment horizontal="right" vertical="center" wrapText="1"/>
    </xf>
    <xf numFmtId="4" fontId="2" fillId="53" borderId="0" xfId="0" applyNumberFormat="1" applyFont="1" applyFill="1" applyAlignment="1">
      <alignment horizontal="left" vertical="center" wrapText="1"/>
    </xf>
    <xf numFmtId="4" fontId="5" fillId="55" borderId="4" xfId="0" applyNumberFormat="1" applyFont="1" applyFill="1" applyBorder="1" applyAlignment="1">
      <alignment horizontal="left" vertical="center" wrapText="1"/>
    </xf>
    <xf numFmtId="4" fontId="5" fillId="55" borderId="45" xfId="0" applyNumberFormat="1" applyFont="1" applyFill="1" applyBorder="1" applyAlignment="1">
      <alignment horizontal="right" vertical="center" wrapText="1"/>
    </xf>
    <xf numFmtId="4" fontId="5" fillId="55" borderId="55" xfId="0" applyNumberFormat="1" applyFont="1" applyFill="1" applyBorder="1" applyAlignment="1">
      <alignment horizontal="right" vertical="center" wrapText="1"/>
    </xf>
    <xf numFmtId="4" fontId="5" fillId="55" borderId="4" xfId="0" applyNumberFormat="1" applyFont="1" applyFill="1" applyBorder="1" applyAlignment="1">
      <alignment horizontal="right" vertical="center" wrapText="1"/>
    </xf>
    <xf numFmtId="4" fontId="5" fillId="55" borderId="5" xfId="0" applyNumberFormat="1" applyFont="1" applyFill="1" applyBorder="1" applyAlignment="1">
      <alignment horizontal="right" vertical="center" wrapText="1"/>
    </xf>
    <xf numFmtId="4" fontId="5" fillId="55" borderId="4" xfId="0" applyNumberFormat="1" applyFont="1" applyFill="1" applyBorder="1" applyAlignment="1">
      <alignment horizontal="center" vertical="center" wrapText="1"/>
    </xf>
    <xf numFmtId="4" fontId="74" fillId="55" borderId="0" xfId="0" applyNumberFormat="1" applyFont="1" applyFill="1" applyAlignment="1">
      <alignment horizontal="right" vertical="center" wrapText="1"/>
    </xf>
    <xf numFmtId="0" fontId="5" fillId="55" borderId="4" xfId="0" applyFont="1" applyFill="1" applyBorder="1" applyAlignment="1">
      <alignment horizontal="center" vertical="center" wrapText="1"/>
    </xf>
    <xf numFmtId="1" fontId="5" fillId="55" borderId="2" xfId="0" applyNumberFormat="1" applyFont="1" applyFill="1" applyBorder="1" applyAlignment="1">
      <alignment horizontal="center" vertical="center" wrapText="1"/>
    </xf>
    <xf numFmtId="4" fontId="5" fillId="55" borderId="3" xfId="0" applyNumberFormat="1" applyFont="1" applyFill="1" applyBorder="1" applyAlignment="1">
      <alignment horizontal="center" vertical="center" wrapText="1"/>
    </xf>
    <xf numFmtId="4" fontId="5" fillId="52" borderId="1" xfId="0" applyNumberFormat="1" applyFont="1" applyFill="1" applyBorder="1" applyAlignment="1">
      <alignment horizontal="right" vertical="center" wrapText="1"/>
    </xf>
    <xf numFmtId="0" fontId="6" fillId="55" borderId="2" xfId="0" applyFont="1" applyFill="1" applyBorder="1" applyAlignment="1">
      <alignment horizontal="center" vertical="center" wrapText="1"/>
    </xf>
    <xf numFmtId="4" fontId="5" fillId="55" borderId="40" xfId="0" applyNumberFormat="1" applyFont="1" applyFill="1" applyBorder="1" applyAlignment="1">
      <alignment horizontal="center" vertical="center" wrapText="1"/>
    </xf>
    <xf numFmtId="0" fontId="0" fillId="55" borderId="40" xfId="0" applyFill="1" applyBorder="1" applyAlignment="1">
      <alignment horizontal="left" wrapText="1"/>
    </xf>
    <xf numFmtId="0" fontId="91" fillId="55" borderId="40" xfId="0" applyFont="1" applyFill="1" applyBorder="1" applyAlignment="1">
      <alignment horizontal="left" wrapText="1"/>
    </xf>
    <xf numFmtId="172" fontId="5" fillId="55" borderId="2" xfId="211" applyNumberFormat="1" applyFont="1" applyFill="1" applyBorder="1" applyAlignment="1">
      <alignment horizontal="right" vertical="center" wrapText="1"/>
    </xf>
    <xf numFmtId="0" fontId="91" fillId="55" borderId="40" xfId="0" applyFont="1" applyFill="1" applyBorder="1" applyAlignment="1">
      <alignment horizontal="left" vertical="center" wrapText="1"/>
    </xf>
    <xf numFmtId="4" fontId="74" fillId="55" borderId="0" xfId="0" applyNumberFormat="1" applyFont="1" applyFill="1" applyAlignment="1">
      <alignment vertical="center" wrapText="1"/>
    </xf>
    <xf numFmtId="4" fontId="5" fillId="18" borderId="4" xfId="0" applyNumberFormat="1" applyFont="1" applyFill="1" applyBorder="1" applyAlignment="1">
      <alignment horizontal="right" vertical="center" wrapText="1"/>
    </xf>
    <xf numFmtId="4" fontId="2" fillId="22" borderId="84" xfId="0" applyNumberFormat="1" applyFont="1" applyFill="1" applyBorder="1" applyAlignment="1" applyProtection="1">
      <alignment wrapText="1"/>
      <protection locked="0"/>
    </xf>
    <xf numFmtId="4" fontId="5" fillId="30" borderId="4" xfId="0" applyNumberFormat="1" applyFont="1" applyFill="1" applyBorder="1" applyAlignment="1">
      <alignment horizontal="right" vertical="center" wrapText="1"/>
    </xf>
    <xf numFmtId="4" fontId="5" fillId="29" borderId="2" xfId="0" applyNumberFormat="1" applyFont="1" applyFill="1" applyBorder="1" applyAlignment="1">
      <alignment horizontal="right" vertical="center" wrapText="1"/>
    </xf>
    <xf numFmtId="4" fontId="2" fillId="30" borderId="6" xfId="0" applyNumberFormat="1" applyFont="1" applyFill="1" applyBorder="1" applyAlignment="1" applyProtection="1">
      <alignment wrapText="1"/>
      <protection locked="0"/>
    </xf>
    <xf numFmtId="4" fontId="2" fillId="30" borderId="4" xfId="0" applyNumberFormat="1" applyFont="1" applyFill="1" applyBorder="1" applyAlignment="1" applyProtection="1">
      <alignment wrapText="1"/>
      <protection locked="0"/>
    </xf>
    <xf numFmtId="4" fontId="2" fillId="30" borderId="5" xfId="0" applyNumberFormat="1" applyFont="1" applyFill="1" applyBorder="1" applyAlignment="1" applyProtection="1">
      <alignment wrapText="1"/>
      <protection locked="0"/>
    </xf>
    <xf numFmtId="4" fontId="2" fillId="30" borderId="7" xfId="0" applyNumberFormat="1" applyFont="1" applyFill="1" applyBorder="1" applyAlignment="1" applyProtection="1">
      <alignment wrapText="1"/>
      <protection locked="0"/>
    </xf>
    <xf numFmtId="4" fontId="5" fillId="30" borderId="6" xfId="0" applyNumberFormat="1" applyFont="1" applyFill="1" applyBorder="1" applyAlignment="1">
      <alignment horizontal="right" vertical="center" wrapText="1"/>
    </xf>
    <xf numFmtId="4" fontId="5" fillId="30" borderId="2" xfId="0" applyNumberFormat="1" applyFont="1" applyFill="1" applyBorder="1" applyAlignment="1">
      <alignment horizontal="right" vertical="center" wrapText="1"/>
    </xf>
    <xf numFmtId="4" fontId="2" fillId="0" borderId="84" xfId="0" applyNumberFormat="1" applyFont="1" applyBorder="1" applyAlignment="1" applyProtection="1">
      <alignment wrapText="1"/>
      <protection locked="0"/>
    </xf>
    <xf numFmtId="4" fontId="2" fillId="22" borderId="53" xfId="0" applyNumberFormat="1" applyFont="1" applyFill="1" applyBorder="1" applyAlignment="1" applyProtection="1">
      <alignment wrapText="1"/>
      <protection locked="0"/>
    </xf>
    <xf numFmtId="4" fontId="2" fillId="22" borderId="85" xfId="0" applyNumberFormat="1" applyFont="1" applyFill="1" applyBorder="1" applyAlignment="1" applyProtection="1">
      <alignment wrapText="1"/>
      <protection locked="0"/>
    </xf>
    <xf numFmtId="4" fontId="5" fillId="29" borderId="40" xfId="0" applyNumberFormat="1" applyFont="1" applyFill="1" applyBorder="1" applyAlignment="1">
      <alignment horizontal="right" vertical="center" wrapText="1"/>
    </xf>
    <xf numFmtId="4" fontId="5" fillId="29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 applyProtection="1">
      <alignment wrapText="1"/>
      <protection locked="0"/>
    </xf>
    <xf numFmtId="4" fontId="2" fillId="0" borderId="6" xfId="0" applyNumberFormat="1" applyFont="1" applyBorder="1" applyAlignment="1" applyProtection="1">
      <alignment wrapText="1"/>
      <protection locked="0"/>
    </xf>
    <xf numFmtId="4" fontId="5" fillId="0" borderId="84" xfId="0" applyNumberFormat="1" applyFont="1" applyBorder="1" applyAlignment="1">
      <alignment horizontal="right" vertical="center" wrapText="1"/>
    </xf>
    <xf numFmtId="183" fontId="3" fillId="89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96" borderId="2" xfId="0" applyNumberFormat="1" applyFont="1" applyFill="1" applyBorder="1" applyAlignment="1">
      <alignment horizontal="left" vertical="center" wrapText="1"/>
    </xf>
    <xf numFmtId="0" fontId="5" fillId="96" borderId="2" xfId="0" applyFont="1" applyFill="1" applyBorder="1" applyAlignment="1">
      <alignment horizontal="center" vertical="center" wrapText="1"/>
    </xf>
    <xf numFmtId="4" fontId="5" fillId="96" borderId="2" xfId="0" applyNumberFormat="1" applyFont="1" applyFill="1" applyBorder="1" applyAlignment="1">
      <alignment horizontal="center" vertical="center" wrapText="1"/>
    </xf>
    <xf numFmtId="4" fontId="5" fillId="96" borderId="2" xfId="0" applyNumberFormat="1" applyFont="1" applyFill="1" applyBorder="1" applyAlignment="1">
      <alignment horizontal="right" vertical="center" wrapText="1"/>
    </xf>
    <xf numFmtId="4" fontId="5" fillId="96" borderId="3" xfId="0" applyNumberFormat="1" applyFont="1" applyFill="1" applyBorder="1" applyAlignment="1">
      <alignment horizontal="right" vertical="center" wrapText="1"/>
    </xf>
    <xf numFmtId="4" fontId="5" fillId="96" borderId="40" xfId="0" applyNumberFormat="1" applyFont="1" applyFill="1" applyBorder="1" applyAlignment="1">
      <alignment horizontal="right" vertical="center" wrapText="1"/>
    </xf>
    <xf numFmtId="4" fontId="5" fillId="96" borderId="44" xfId="0" applyNumberFormat="1" applyFont="1" applyFill="1" applyBorder="1" applyAlignment="1">
      <alignment horizontal="right" vertical="center" wrapText="1"/>
    </xf>
    <xf numFmtId="4" fontId="5" fillId="96" borderId="4" xfId="0" applyNumberFormat="1" applyFont="1" applyFill="1" applyBorder="1" applyAlignment="1">
      <alignment horizontal="right" vertical="center" wrapText="1"/>
    </xf>
    <xf numFmtId="4" fontId="5" fillId="96" borderId="5" xfId="0" applyNumberFormat="1" applyFont="1" applyFill="1" applyBorder="1" applyAlignment="1">
      <alignment horizontal="right" vertical="center" wrapText="1"/>
    </xf>
    <xf numFmtId="4" fontId="5" fillId="96" borderId="45" xfId="0" applyNumberFormat="1" applyFont="1" applyFill="1" applyBorder="1" applyAlignment="1">
      <alignment horizontal="right" vertical="center" wrapText="1"/>
    </xf>
    <xf numFmtId="4" fontId="6" fillId="96" borderId="2" xfId="0" applyNumberFormat="1" applyFont="1" applyFill="1" applyBorder="1" applyAlignment="1">
      <alignment horizontal="center" vertical="center" wrapText="1"/>
    </xf>
    <xf numFmtId="0" fontId="6" fillId="96" borderId="2" xfId="0" applyFont="1" applyFill="1" applyBorder="1" applyAlignment="1">
      <alignment horizontal="center" vertical="center" wrapText="1"/>
    </xf>
    <xf numFmtId="4" fontId="6" fillId="96" borderId="2" xfId="0" applyNumberFormat="1" applyFont="1" applyFill="1" applyBorder="1" applyAlignment="1">
      <alignment horizontal="left" vertical="center" wrapText="1"/>
    </xf>
    <xf numFmtId="10" fontId="5" fillId="89" borderId="1" xfId="0" applyNumberFormat="1" applyFont="1" applyFill="1" applyBorder="1" applyAlignment="1">
      <alignment horizontal="right" vertical="center" wrapText="1"/>
    </xf>
    <xf numFmtId="10" fontId="5" fillId="88" borderId="1" xfId="0" applyNumberFormat="1" applyFont="1" applyFill="1" applyBorder="1" applyAlignment="1">
      <alignment horizontal="right" vertical="center" wrapText="1"/>
    </xf>
    <xf numFmtId="4" fontId="3" fillId="3" borderId="41" xfId="0" applyNumberFormat="1" applyFont="1" applyFill="1" applyBorder="1" applyAlignment="1">
      <alignment horizontal="center" vertical="center" wrapText="1"/>
    </xf>
    <xf numFmtId="4" fontId="3" fillId="3" borderId="43" xfId="0" applyNumberFormat="1" applyFont="1" applyFill="1" applyBorder="1" applyAlignment="1">
      <alignment horizontal="center" vertical="center" wrapText="1"/>
    </xf>
    <xf numFmtId="4" fontId="3" fillId="3" borderId="4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40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42" fillId="30" borderId="40" xfId="0" applyNumberFormat="1" applyFont="1" applyFill="1" applyBorder="1" applyAlignment="1" applyProtection="1">
      <alignment horizontal="center" wrapText="1"/>
      <protection locked="0"/>
    </xf>
    <xf numFmtId="0" fontId="10" fillId="30" borderId="40" xfId="205" applyFont="1" applyBorder="1" applyAlignment="1" applyProtection="1">
      <alignment horizontal="left" vertical="center" wrapText="1"/>
      <protection locked="0"/>
    </xf>
    <xf numFmtId="4" fontId="3" fillId="0" borderId="40" xfId="0" applyNumberFormat="1" applyFont="1" applyBorder="1" applyAlignment="1">
      <alignment horizontal="right" vertical="center" wrapText="1"/>
    </xf>
    <xf numFmtId="0" fontId="87" fillId="90" borderId="50" xfId="1" applyFont="1" applyFill="1" applyBorder="1" applyAlignment="1" applyProtection="1">
      <alignment horizontal="center" vertical="center" wrapText="1"/>
      <protection locked="0"/>
    </xf>
    <xf numFmtId="0" fontId="87" fillId="90" borderId="51" xfId="1" applyFont="1" applyFill="1" applyBorder="1" applyAlignment="1" applyProtection="1">
      <alignment horizontal="center" vertical="center" wrapText="1"/>
      <protection locked="0"/>
    </xf>
    <xf numFmtId="0" fontId="87" fillId="90" borderId="52" xfId="1" applyFont="1" applyFill="1" applyBorder="1" applyAlignment="1" applyProtection="1">
      <alignment horizontal="center" vertical="center" wrapText="1"/>
      <protection locked="0"/>
    </xf>
    <xf numFmtId="0" fontId="9" fillId="30" borderId="21" xfId="1" applyFont="1" applyBorder="1" applyAlignment="1" applyProtection="1">
      <alignment horizontal="left" vertical="center" wrapText="1"/>
      <protection locked="0"/>
    </xf>
    <xf numFmtId="0" fontId="9" fillId="30" borderId="11" xfId="1" applyFont="1" applyBorder="1" applyAlignment="1" applyProtection="1">
      <alignment horizontal="left" vertical="center" wrapText="1"/>
      <protection locked="0"/>
    </xf>
    <xf numFmtId="0" fontId="10" fillId="30" borderId="21" xfId="205" applyFont="1" applyBorder="1" applyAlignment="1" applyProtection="1">
      <alignment horizontal="left" vertical="center" wrapText="1"/>
      <protection locked="0"/>
    </xf>
    <xf numFmtId="0" fontId="10" fillId="30" borderId="11" xfId="1" applyFont="1" applyBorder="1" applyAlignment="1" applyProtection="1">
      <alignment horizontal="left" vertical="center" wrapText="1"/>
      <protection locked="0"/>
    </xf>
    <xf numFmtId="166" fontId="10" fillId="30" borderId="41" xfId="2" applyNumberFormat="1" applyFont="1" applyBorder="1" applyAlignment="1" applyProtection="1">
      <alignment horizontal="left" vertical="center" wrapText="1"/>
      <protection locked="0"/>
    </xf>
    <xf numFmtId="166" fontId="10" fillId="30" borderId="43" xfId="2" applyNumberFormat="1" applyFont="1" applyBorder="1" applyAlignment="1" applyProtection="1">
      <alignment horizontal="left" vertical="center" wrapText="1"/>
      <protection locked="0"/>
    </xf>
    <xf numFmtId="166" fontId="10" fillId="30" borderId="44" xfId="2" applyNumberFormat="1" applyFont="1" applyBorder="1" applyAlignment="1" applyProtection="1">
      <alignment horizontal="left" vertical="center" wrapText="1"/>
      <protection locked="0"/>
    </xf>
    <xf numFmtId="0" fontId="8" fillId="30" borderId="41" xfId="1" applyFont="1" applyBorder="1" applyAlignment="1" applyProtection="1">
      <alignment horizontal="center" vertical="center" wrapText="1"/>
      <protection locked="0"/>
    </xf>
    <xf numFmtId="0" fontId="8" fillId="30" borderId="43" xfId="1" applyFont="1" applyBorder="1" applyAlignment="1" applyProtection="1">
      <alignment horizontal="center" vertical="center" wrapText="1"/>
      <protection locked="0"/>
    </xf>
    <xf numFmtId="0" fontId="8" fillId="30" borderId="44" xfId="1" applyFont="1" applyBorder="1" applyAlignment="1" applyProtection="1">
      <alignment horizontal="center" vertical="center" wrapText="1"/>
      <protection locked="0"/>
    </xf>
    <xf numFmtId="4" fontId="77" fillId="0" borderId="41" xfId="0" applyNumberFormat="1" applyFont="1" applyBorder="1" applyAlignment="1">
      <alignment horizontal="center" wrapText="1"/>
    </xf>
    <xf numFmtId="4" fontId="77" fillId="0" borderId="43" xfId="0" applyNumberFormat="1" applyFont="1" applyBorder="1" applyAlignment="1">
      <alignment horizontal="center" wrapText="1"/>
    </xf>
    <xf numFmtId="4" fontId="77" fillId="0" borderId="44" xfId="0" applyNumberFormat="1" applyFont="1" applyBorder="1" applyAlignment="1">
      <alignment horizontal="center" wrapText="1"/>
    </xf>
    <xf numFmtId="4" fontId="3" fillId="2" borderId="44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4" fillId="30" borderId="41" xfId="1" applyFont="1" applyBorder="1" applyAlignment="1" applyProtection="1">
      <alignment horizontal="center" vertical="center" wrapText="1"/>
      <protection locked="0"/>
    </xf>
    <xf numFmtId="0" fontId="44" fillId="30" borderId="43" xfId="1" applyFont="1" applyBorder="1" applyAlignment="1" applyProtection="1">
      <alignment horizontal="center" vertical="center" wrapText="1"/>
      <protection locked="0"/>
    </xf>
    <xf numFmtId="0" fontId="44" fillId="30" borderId="44" xfId="1" applyFont="1" applyBorder="1" applyAlignment="1" applyProtection="1">
      <alignment horizontal="center" vertical="center" wrapText="1"/>
      <protection locked="0"/>
    </xf>
    <xf numFmtId="4" fontId="3" fillId="2" borderId="80" xfId="0" applyNumberFormat="1" applyFont="1" applyFill="1" applyBorder="1" applyAlignment="1">
      <alignment horizontal="center" vertical="center" wrapText="1"/>
    </xf>
    <xf numFmtId="4" fontId="42" fillId="30" borderId="41" xfId="0" applyNumberFormat="1" applyFont="1" applyFill="1" applyBorder="1" applyAlignment="1" applyProtection="1">
      <alignment horizontal="center" wrapText="1"/>
      <protection locked="0"/>
    </xf>
    <xf numFmtId="4" fontId="42" fillId="30" borderId="43" xfId="0" applyNumberFormat="1" applyFont="1" applyFill="1" applyBorder="1" applyAlignment="1" applyProtection="1">
      <alignment horizontal="center" wrapText="1"/>
      <protection locked="0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0" fontId="86" fillId="0" borderId="41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top" wrapText="1"/>
    </xf>
    <xf numFmtId="4" fontId="3" fillId="0" borderId="47" xfId="0" applyNumberFormat="1" applyFont="1" applyBorder="1" applyAlignment="1">
      <alignment horizontal="center" vertical="top" wrapText="1"/>
    </xf>
    <xf numFmtId="4" fontId="3" fillId="0" borderId="48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Alignment="1">
      <alignment horizontal="center" wrapText="1"/>
    </xf>
    <xf numFmtId="4" fontId="5" fillId="18" borderId="2" xfId="0" applyNumberFormat="1" applyFont="1" applyFill="1" applyBorder="1" applyAlignment="1">
      <alignment horizontal="right" vertical="center" wrapText="1"/>
    </xf>
    <xf numFmtId="4" fontId="5" fillId="19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10" borderId="2" xfId="0" applyNumberFormat="1" applyFont="1" applyFill="1" applyBorder="1" applyAlignment="1">
      <alignment horizontal="left" vertical="center" wrapText="1"/>
    </xf>
    <xf numFmtId="4" fontId="5" fillId="15" borderId="2" xfId="0" applyNumberFormat="1" applyFont="1" applyFill="1" applyBorder="1" applyAlignment="1" applyProtection="1">
      <alignment horizontal="left" vertical="center" wrapText="1"/>
      <protection locked="0"/>
    </xf>
    <xf numFmtId="4" fontId="5" fillId="11" borderId="2" xfId="0" applyNumberFormat="1" applyFont="1" applyFill="1" applyBorder="1" applyAlignment="1">
      <alignment horizontal="left" vertical="center" wrapText="1"/>
    </xf>
    <xf numFmtId="4" fontId="5" fillId="16" borderId="2" xfId="0" applyNumberFormat="1" applyFont="1" applyFill="1" applyBorder="1" applyAlignment="1" applyProtection="1">
      <alignment horizontal="left" vertical="center" wrapText="1"/>
      <protection locked="0"/>
    </xf>
    <xf numFmtId="4" fontId="5" fillId="12" borderId="2" xfId="0" applyNumberFormat="1" applyFont="1" applyFill="1" applyBorder="1" applyAlignment="1">
      <alignment horizontal="right" vertical="center" wrapText="1"/>
    </xf>
    <xf numFmtId="4" fontId="5" fillId="17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18" borderId="2" xfId="0" applyNumberFormat="1" applyFont="1" applyFill="1" applyBorder="1" applyAlignment="1">
      <alignment horizontal="right" vertical="center" wrapText="1"/>
    </xf>
    <xf numFmtId="4" fontId="3" fillId="19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25" borderId="9" xfId="0" applyNumberFormat="1" applyFont="1" applyFill="1" applyBorder="1" applyAlignment="1">
      <alignment horizontal="right" vertical="center" wrapText="1"/>
    </xf>
    <xf numFmtId="4" fontId="5" fillId="29" borderId="9" xfId="0" applyNumberFormat="1" applyFont="1" applyFill="1" applyBorder="1" applyAlignment="1" applyProtection="1">
      <alignment horizontal="right" vertical="center" wrapText="1"/>
      <protection locked="0"/>
    </xf>
    <xf numFmtId="0" fontId="8" fillId="30" borderId="3" xfId="9" applyFont="1" applyBorder="1" applyAlignment="1" applyProtection="1">
      <alignment horizontal="center" vertical="center" wrapText="1"/>
      <protection locked="0"/>
    </xf>
    <xf numFmtId="0" fontId="8" fillId="30" borderId="23" xfId="9" applyFont="1" applyBorder="1" applyAlignment="1" applyProtection="1">
      <alignment horizontal="center" vertical="center" wrapText="1"/>
      <protection locked="0"/>
    </xf>
    <xf numFmtId="0" fontId="8" fillId="30" borderId="8" xfId="9" applyFont="1" applyBorder="1" applyAlignment="1" applyProtection="1">
      <alignment horizontal="center" vertical="center" wrapText="1"/>
      <protection locked="0"/>
    </xf>
    <xf numFmtId="0" fontId="8" fillId="30" borderId="49" xfId="9" applyFont="1" applyBorder="1" applyAlignment="1" applyProtection="1">
      <alignment horizontal="center" vertical="center" wrapText="1"/>
      <protection locked="0"/>
    </xf>
    <xf numFmtId="0" fontId="9" fillId="30" borderId="24" xfId="9" applyFont="1" applyBorder="1" applyAlignment="1" applyProtection="1">
      <alignment horizontal="left" vertical="center" wrapText="1"/>
      <protection locked="0"/>
    </xf>
    <xf numFmtId="0" fontId="9" fillId="30" borderId="21" xfId="9" applyFont="1" applyBorder="1" applyAlignment="1" applyProtection="1">
      <alignment horizontal="left" vertical="center" wrapText="1"/>
      <protection locked="0"/>
    </xf>
    <xf numFmtId="0" fontId="9" fillId="30" borderId="25" xfId="9" applyFont="1" applyBorder="1" applyAlignment="1" applyProtection="1">
      <alignment horizontal="left" vertical="center" wrapText="1"/>
      <protection locked="0"/>
    </xf>
    <xf numFmtId="0" fontId="9" fillId="30" borderId="11" xfId="9" applyFont="1" applyBorder="1" applyAlignment="1" applyProtection="1">
      <alignment horizontal="left" vertical="center" wrapText="1"/>
      <protection locked="0"/>
    </xf>
    <xf numFmtId="0" fontId="10" fillId="30" borderId="15" xfId="9" applyFont="1" applyBorder="1" applyAlignment="1" applyProtection="1">
      <alignment horizontal="left" vertical="center" wrapText="1"/>
      <protection locked="0"/>
    </xf>
    <xf numFmtId="0" fontId="10" fillId="30" borderId="22" xfId="9" applyFont="1" applyBorder="1" applyAlignment="1" applyProtection="1">
      <alignment horizontal="left" vertical="center" wrapText="1"/>
      <protection locked="0"/>
    </xf>
    <xf numFmtId="0" fontId="10" fillId="30" borderId="16" xfId="9" applyFont="1" applyBorder="1" applyAlignment="1" applyProtection="1">
      <alignment horizontal="left" vertical="center" wrapText="1"/>
      <protection locked="0"/>
    </xf>
    <xf numFmtId="0" fontId="10" fillId="30" borderId="17" xfId="9" applyFont="1" applyBorder="1" applyAlignment="1" applyProtection="1">
      <alignment horizontal="left" vertical="center" wrapText="1"/>
      <protection locked="0"/>
    </xf>
    <xf numFmtId="0" fontId="10" fillId="30" borderId="18" xfId="9" applyFont="1" applyBorder="1" applyAlignment="1" applyProtection="1">
      <alignment horizontal="left" vertical="center" wrapText="1"/>
      <protection locked="0"/>
    </xf>
    <xf numFmtId="0" fontId="10" fillId="30" borderId="19" xfId="9" applyFont="1" applyBorder="1" applyAlignment="1" applyProtection="1">
      <alignment horizontal="left" vertical="center" wrapText="1"/>
      <protection locked="0"/>
    </xf>
    <xf numFmtId="0" fontId="9" fillId="30" borderId="54" xfId="10" applyFont="1" applyBorder="1" applyAlignment="1" applyProtection="1">
      <alignment horizontal="center" vertical="top" wrapText="1"/>
      <protection locked="0"/>
    </xf>
    <xf numFmtId="0" fontId="9" fillId="30" borderId="20" xfId="10" applyFont="1" applyBorder="1" applyAlignment="1" applyProtection="1">
      <alignment horizontal="center" vertical="top" wrapText="1"/>
      <protection locked="0"/>
    </xf>
    <xf numFmtId="0" fontId="9" fillId="30" borderId="55" xfId="10" applyFont="1" applyBorder="1" applyAlignment="1" applyProtection="1">
      <alignment horizontal="center" vertical="top" wrapText="1"/>
      <protection locked="0"/>
    </xf>
    <xf numFmtId="0" fontId="9" fillId="30" borderId="13" xfId="10" applyFont="1" applyBorder="1" applyAlignment="1" applyProtection="1">
      <alignment horizontal="center" vertical="top" wrapText="1"/>
      <protection locked="0"/>
    </xf>
    <xf numFmtId="0" fontId="9" fillId="30" borderId="1" xfId="10" applyFont="1" applyAlignment="1" applyProtection="1">
      <alignment horizontal="center" vertical="top" wrapText="1"/>
      <protection locked="0"/>
    </xf>
    <xf numFmtId="0" fontId="9" fillId="30" borderId="14" xfId="10" applyFont="1" applyBorder="1" applyAlignment="1" applyProtection="1">
      <alignment horizontal="center" vertical="top" wrapText="1"/>
      <protection locked="0"/>
    </xf>
    <xf numFmtId="0" fontId="9" fillId="30" borderId="15" xfId="10" applyFont="1" applyBorder="1" applyAlignment="1" applyProtection="1">
      <alignment horizontal="center" vertical="top" wrapText="1"/>
      <protection locked="0"/>
    </xf>
    <xf numFmtId="0" fontId="9" fillId="30" borderId="22" xfId="10" applyFont="1" applyBorder="1" applyAlignment="1" applyProtection="1">
      <alignment horizontal="center" vertical="top" wrapText="1"/>
      <protection locked="0"/>
    </xf>
    <xf numFmtId="0" fontId="9" fillId="30" borderId="16" xfId="10" applyFont="1" applyBorder="1" applyAlignment="1" applyProtection="1">
      <alignment horizontal="center" vertical="top" wrapText="1"/>
      <protection locked="0"/>
    </xf>
    <xf numFmtId="0" fontId="67" fillId="30" borderId="64" xfId="294" applyFont="1" applyBorder="1" applyAlignment="1">
      <alignment horizontal="left" vertical="top" wrapText="1"/>
    </xf>
    <xf numFmtId="0" fontId="67" fillId="30" borderId="11" xfId="294" applyFont="1" applyBorder="1" applyAlignment="1">
      <alignment horizontal="left" vertical="top" wrapText="1"/>
    </xf>
    <xf numFmtId="10" fontId="68" fillId="30" borderId="11" xfId="85" applyNumberFormat="1" applyFont="1" applyFill="1" applyBorder="1" applyAlignment="1">
      <alignment horizontal="center" vertical="top" wrapText="1"/>
    </xf>
    <xf numFmtId="10" fontId="68" fillId="30" borderId="65" xfId="85" applyNumberFormat="1" applyFont="1" applyFill="1" applyBorder="1" applyAlignment="1">
      <alignment horizontal="center" vertical="top" wrapText="1"/>
    </xf>
    <xf numFmtId="185" fontId="64" fillId="30" borderId="66" xfId="71" applyNumberFormat="1" applyFont="1" applyBorder="1" applyAlignment="1">
      <alignment horizontal="center" vertical="center" wrapText="1"/>
    </xf>
    <xf numFmtId="185" fontId="64" fillId="30" borderId="67" xfId="71" applyNumberFormat="1" applyFont="1" applyBorder="1" applyAlignment="1">
      <alignment horizontal="center" vertical="center" wrapText="1"/>
    </xf>
    <xf numFmtId="185" fontId="64" fillId="30" borderId="68" xfId="71" applyNumberFormat="1" applyFont="1" applyBorder="1" applyAlignment="1">
      <alignment horizontal="center" vertical="center" wrapText="1"/>
    </xf>
    <xf numFmtId="0" fontId="66" fillId="90" borderId="69" xfId="294" applyFont="1" applyFill="1" applyBorder="1" applyAlignment="1">
      <alignment horizontal="center" vertical="center"/>
    </xf>
    <xf numFmtId="0" fontId="66" fillId="90" borderId="70" xfId="294" applyFont="1" applyFill="1" applyBorder="1" applyAlignment="1">
      <alignment horizontal="center" vertical="center"/>
    </xf>
    <xf numFmtId="0" fontId="66" fillId="90" borderId="71" xfId="294" applyFont="1" applyFill="1" applyBorder="1" applyAlignment="1">
      <alignment horizontal="center" vertical="center" wrapText="1"/>
    </xf>
    <xf numFmtId="0" fontId="66" fillId="90" borderId="72" xfId="294" applyFont="1" applyFill="1" applyBorder="1" applyAlignment="1">
      <alignment horizontal="center" vertical="center" wrapText="1"/>
    </xf>
    <xf numFmtId="0" fontId="66" fillId="90" borderId="73" xfId="294" applyFont="1" applyFill="1" applyBorder="1" applyAlignment="1">
      <alignment horizontal="center" vertical="center" wrapText="1"/>
    </xf>
    <xf numFmtId="10" fontId="68" fillId="30" borderId="17" xfId="85" applyNumberFormat="1" applyFont="1" applyFill="1" applyBorder="1" applyAlignment="1">
      <alignment horizontal="center" vertical="top" wrapText="1"/>
    </xf>
    <xf numFmtId="10" fontId="68" fillId="30" borderId="18" xfId="85" applyNumberFormat="1" applyFont="1" applyFill="1" applyBorder="1" applyAlignment="1">
      <alignment horizontal="center" vertical="top" wrapText="1"/>
    </xf>
    <xf numFmtId="10" fontId="68" fillId="30" borderId="74" xfId="85" applyNumberFormat="1" applyFont="1" applyFill="1" applyBorder="1" applyAlignment="1">
      <alignment horizontal="center" vertical="top" wrapText="1"/>
    </xf>
    <xf numFmtId="10" fontId="68" fillId="30" borderId="12" xfId="85" applyNumberFormat="1" applyFont="1" applyFill="1" applyBorder="1" applyAlignment="1">
      <alignment horizontal="center" vertical="top" wrapText="1"/>
    </xf>
    <xf numFmtId="10" fontId="68" fillId="30" borderId="75" xfId="85" applyNumberFormat="1" applyFont="1" applyFill="1" applyBorder="1" applyAlignment="1">
      <alignment horizontal="center" vertical="top" wrapText="1"/>
    </xf>
    <xf numFmtId="0" fontId="67" fillId="30" borderId="76" xfId="294" applyFont="1" applyBorder="1" applyAlignment="1">
      <alignment horizontal="left" vertical="top" wrapText="1"/>
    </xf>
    <xf numFmtId="0" fontId="67" fillId="30" borderId="21" xfId="294" applyFont="1" applyBorder="1" applyAlignment="1">
      <alignment horizontal="left" vertical="top" wrapText="1"/>
    </xf>
    <xf numFmtId="10" fontId="67" fillId="30" borderId="11" xfId="85" applyNumberFormat="1" applyFont="1" applyFill="1" applyBorder="1" applyAlignment="1">
      <alignment horizontal="center" vertical="top" wrapText="1"/>
    </xf>
    <xf numFmtId="10" fontId="67" fillId="30" borderId="65" xfId="85" applyNumberFormat="1" applyFont="1" applyFill="1" applyBorder="1" applyAlignment="1">
      <alignment horizontal="center" vertical="top" wrapText="1"/>
    </xf>
    <xf numFmtId="0" fontId="68" fillId="30" borderId="27" xfId="294" applyFont="1" applyBorder="1" applyAlignment="1">
      <alignment horizontal="left" vertical="top" wrapText="1"/>
    </xf>
    <xf numFmtId="0" fontId="68" fillId="30" borderId="1" xfId="294" applyFont="1" applyAlignment="1">
      <alignment horizontal="left" vertical="top" wrapText="1"/>
    </xf>
    <xf numFmtId="10" fontId="68" fillId="30" borderId="1" xfId="85" applyNumberFormat="1" applyFont="1" applyFill="1" applyBorder="1" applyAlignment="1">
      <alignment horizontal="center" vertical="top" wrapText="1"/>
    </xf>
    <xf numFmtId="10" fontId="68" fillId="30" borderId="28" xfId="85" applyNumberFormat="1" applyFont="1" applyFill="1" applyBorder="1" applyAlignment="1">
      <alignment horizontal="center" vertical="top" wrapText="1"/>
    </xf>
    <xf numFmtId="185" fontId="64" fillId="91" borderId="66" xfId="71" applyNumberFormat="1" applyFont="1" applyFill="1" applyBorder="1" applyAlignment="1">
      <alignment horizontal="center" vertical="center" wrapText="1"/>
    </xf>
    <xf numFmtId="185" fontId="64" fillId="91" borderId="67" xfId="71" applyNumberFormat="1" applyFont="1" applyFill="1" applyBorder="1" applyAlignment="1">
      <alignment horizontal="center" vertical="center" wrapText="1"/>
    </xf>
    <xf numFmtId="185" fontId="64" fillId="91" borderId="68" xfId="71" applyNumberFormat="1" applyFont="1" applyFill="1" applyBorder="1" applyAlignment="1">
      <alignment horizontal="center" vertical="center" wrapText="1"/>
    </xf>
    <xf numFmtId="0" fontId="72" fillId="89" borderId="1" xfId="71" applyFont="1" applyFill="1" applyAlignment="1">
      <alignment horizontal="right"/>
    </xf>
    <xf numFmtId="0" fontId="72" fillId="92" borderId="1" xfId="71" applyFont="1" applyFill="1" applyAlignment="1">
      <alignment horizontal="left"/>
    </xf>
    <xf numFmtId="0" fontId="61" fillId="30" borderId="27" xfId="294" applyFont="1" applyBorder="1" applyAlignment="1">
      <alignment horizontal="left" vertical="center" wrapText="1"/>
    </xf>
    <xf numFmtId="0" fontId="61" fillId="30" borderId="1" xfId="294" applyFont="1" applyAlignment="1">
      <alignment horizontal="left" vertical="center" wrapText="1"/>
    </xf>
    <xf numFmtId="0" fontId="61" fillId="30" borderId="28" xfId="294" applyFont="1" applyBorder="1" applyAlignment="1">
      <alignment horizontal="left" vertical="center" wrapText="1"/>
    </xf>
    <xf numFmtId="0" fontId="60" fillId="30" borderId="27" xfId="294" applyFont="1" applyBorder="1" applyAlignment="1">
      <alignment horizontal="left" vertical="center" wrapText="1"/>
    </xf>
    <xf numFmtId="0" fontId="60" fillId="30" borderId="1" xfId="294" applyFont="1" applyAlignment="1">
      <alignment horizontal="left" vertical="center" wrapText="1"/>
    </xf>
    <xf numFmtId="0" fontId="60" fillId="30" borderId="28" xfId="294" applyFont="1" applyBorder="1" applyAlignment="1">
      <alignment horizontal="left" vertical="center" wrapText="1"/>
    </xf>
    <xf numFmtId="0" fontId="14" fillId="89" borderId="1" xfId="71" applyFill="1" applyAlignment="1">
      <alignment horizontal="left"/>
    </xf>
    <xf numFmtId="0" fontId="14" fillId="89" borderId="1" xfId="71" applyFill="1"/>
    <xf numFmtId="0" fontId="72" fillId="89" borderId="1" xfId="71" applyFont="1" applyFill="1" applyAlignment="1">
      <alignment horizontal="left"/>
    </xf>
    <xf numFmtId="0" fontId="60" fillId="30" borderId="77" xfId="294" applyFont="1" applyBorder="1" applyAlignment="1">
      <alignment horizontal="left" vertical="center" wrapText="1"/>
    </xf>
    <xf numFmtId="0" fontId="60" fillId="30" borderId="78" xfId="294" applyFont="1" applyBorder="1" applyAlignment="1">
      <alignment horizontal="left" vertical="center" wrapText="1"/>
    </xf>
    <xf numFmtId="0" fontId="60" fillId="30" borderId="79" xfId="294" applyFont="1" applyBorder="1" applyAlignment="1">
      <alignment horizontal="left" vertical="center" wrapText="1"/>
    </xf>
    <xf numFmtId="0" fontId="72" fillId="94" borderId="3" xfId="70" applyFont="1" applyFill="1" applyBorder="1" applyAlignment="1">
      <alignment horizontal="center" vertical="top" wrapText="1"/>
    </xf>
    <xf numFmtId="0" fontId="72" fillId="94" borderId="23" xfId="70" applyFont="1" applyFill="1" applyBorder="1" applyAlignment="1">
      <alignment horizontal="center" vertical="top" wrapText="1"/>
    </xf>
    <xf numFmtId="0" fontId="72" fillId="94" borderId="9" xfId="70" applyFont="1" applyFill="1" applyBorder="1" applyAlignment="1">
      <alignment horizontal="center" vertical="top" wrapText="1"/>
    </xf>
    <xf numFmtId="0" fontId="80" fillId="30" borderId="1" xfId="70" applyFont="1" applyAlignment="1">
      <alignment horizontal="center" vertical="top" wrapText="1"/>
    </xf>
    <xf numFmtId="0" fontId="72" fillId="93" borderId="41" xfId="70" applyFont="1" applyFill="1" applyBorder="1" applyAlignment="1">
      <alignment horizontal="center" vertical="top" wrapText="1"/>
    </xf>
    <xf numFmtId="0" fontId="72" fillId="93" borderId="43" xfId="70" applyFont="1" applyFill="1" applyBorder="1" applyAlignment="1">
      <alignment horizontal="center" vertical="top" wrapText="1"/>
    </xf>
    <xf numFmtId="0" fontId="72" fillId="93" borderId="44" xfId="70" applyFont="1" applyFill="1" applyBorder="1" applyAlignment="1">
      <alignment horizontal="center" vertical="top" wrapText="1"/>
    </xf>
    <xf numFmtId="4" fontId="5" fillId="0" borderId="1" xfId="202" applyNumberFormat="1" applyFont="1" applyFill="1" applyAlignment="1">
      <alignment horizontal="left" vertical="top" wrapText="1"/>
    </xf>
    <xf numFmtId="4" fontId="5" fillId="0" borderId="1" xfId="202" applyNumberFormat="1" applyFont="1" applyFill="1" applyAlignment="1" applyProtection="1">
      <alignment horizontal="left" vertical="top" wrapText="1"/>
      <protection locked="0"/>
    </xf>
    <xf numFmtId="4" fontId="3" fillId="0" borderId="3" xfId="202" applyNumberFormat="1" applyFont="1" applyFill="1" applyBorder="1" applyAlignment="1">
      <alignment horizontal="center" vertical="center" wrapText="1"/>
    </xf>
    <xf numFmtId="4" fontId="3" fillId="0" borderId="23" xfId="202" applyNumberFormat="1" applyFont="1" applyFill="1" applyBorder="1" applyAlignment="1">
      <alignment horizontal="center" vertical="center" wrapText="1"/>
    </xf>
    <xf numFmtId="4" fontId="3" fillId="0" borderId="9" xfId="202" applyNumberFormat="1" applyFont="1" applyFill="1" applyBorder="1" applyAlignment="1">
      <alignment horizontal="center" vertical="center" wrapText="1"/>
    </xf>
    <xf numFmtId="4" fontId="3" fillId="0" borderId="2" xfId="202" applyNumberFormat="1" applyFont="1" applyFill="1" applyBorder="1" applyAlignment="1">
      <alignment horizontal="left" vertical="center" wrapText="1"/>
    </xf>
    <xf numFmtId="4" fontId="3" fillId="0" borderId="2" xfId="202" applyNumberFormat="1" applyFont="1" applyFill="1" applyBorder="1" applyAlignment="1" applyProtection="1">
      <alignment horizontal="left" vertical="center" wrapText="1"/>
      <protection locked="0"/>
    </xf>
    <xf numFmtId="4" fontId="3" fillId="0" borderId="40" xfId="202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top" wrapText="1"/>
    </xf>
    <xf numFmtId="4" fontId="3" fillId="0" borderId="26" xfId="202" applyNumberFormat="1" applyFont="1" applyFill="1" applyBorder="1" applyAlignment="1">
      <alignment horizontal="center" vertical="center" wrapText="1"/>
    </xf>
    <xf numFmtId="4" fontId="3" fillId="0" borderId="40" xfId="203" applyNumberFormat="1" applyFont="1" applyFill="1" applyBorder="1" applyAlignment="1">
      <alignment horizontal="center" vertical="top" wrapText="1"/>
    </xf>
    <xf numFmtId="4" fontId="3" fillId="0" borderId="3" xfId="203" applyNumberFormat="1" applyFont="1" applyFill="1" applyBorder="1" applyAlignment="1">
      <alignment horizontal="center" vertical="center" wrapText="1"/>
    </xf>
    <xf numFmtId="4" fontId="3" fillId="0" borderId="23" xfId="203" applyNumberFormat="1" applyFont="1" applyFill="1" applyBorder="1" applyAlignment="1">
      <alignment horizontal="center" vertical="center" wrapText="1"/>
    </xf>
    <xf numFmtId="4" fontId="3" fillId="0" borderId="9" xfId="203" applyNumberFormat="1" applyFont="1" applyFill="1" applyBorder="1" applyAlignment="1">
      <alignment horizontal="center" vertical="center" wrapText="1"/>
    </xf>
    <xf numFmtId="4" fontId="3" fillId="0" borderId="40" xfId="202" applyNumberFormat="1" applyFont="1" applyFill="1" applyBorder="1" applyAlignment="1">
      <alignment horizontal="center" vertical="center" wrapText="1"/>
    </xf>
    <xf numFmtId="2" fontId="4" fillId="0" borderId="41" xfId="203" applyNumberFormat="1" applyFont="1" applyFill="1" applyBorder="1" applyAlignment="1">
      <alignment horizontal="center" vertical="center" wrapText="1"/>
    </xf>
    <xf numFmtId="2" fontId="4" fillId="0" borderId="43" xfId="203" applyNumberFormat="1" applyFont="1" applyFill="1" applyBorder="1" applyAlignment="1">
      <alignment horizontal="center" vertical="center" wrapText="1"/>
    </xf>
    <xf numFmtId="0" fontId="4" fillId="0" borderId="41" xfId="71" applyFont="1" applyFill="1" applyBorder="1" applyAlignment="1">
      <alignment horizontal="right"/>
    </xf>
    <xf numFmtId="0" fontId="4" fillId="0" borderId="43" xfId="71" applyFont="1" applyFill="1" applyBorder="1" applyAlignment="1">
      <alignment horizontal="right"/>
    </xf>
    <xf numFmtId="0" fontId="4" fillId="0" borderId="44" xfId="71" applyFont="1" applyFill="1" applyBorder="1" applyAlignment="1">
      <alignment horizontal="right"/>
    </xf>
    <xf numFmtId="4" fontId="3" fillId="0" borderId="40" xfId="10" applyNumberFormat="1" applyFont="1" applyFill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71" applyFont="1" applyFill="1" applyBorder="1" applyAlignment="1">
      <alignment horizontal="center"/>
    </xf>
    <xf numFmtId="0" fontId="4" fillId="0" borderId="43" xfId="71" applyFont="1" applyFill="1" applyBorder="1" applyAlignment="1">
      <alignment horizontal="center"/>
    </xf>
    <xf numFmtId="0" fontId="4" fillId="0" borderId="44" xfId="71" applyFont="1" applyFill="1" applyBorder="1" applyAlignment="1">
      <alignment horizontal="center"/>
    </xf>
    <xf numFmtId="2" fontId="4" fillId="0" borderId="41" xfId="199" applyNumberFormat="1" applyFont="1" applyFill="1" applyBorder="1" applyAlignment="1">
      <alignment horizontal="center" vertical="center" wrapText="1"/>
    </xf>
    <xf numFmtId="2" fontId="4" fillId="0" borderId="43" xfId="199" applyNumberFormat="1" applyFont="1" applyFill="1" applyBorder="1" applyAlignment="1">
      <alignment horizontal="center" vertical="center" wrapText="1"/>
    </xf>
    <xf numFmtId="2" fontId="4" fillId="0" borderId="44" xfId="199" applyNumberFormat="1" applyFont="1" applyFill="1" applyBorder="1" applyAlignment="1">
      <alignment horizontal="center" vertical="center" wrapText="1"/>
    </xf>
    <xf numFmtId="0" fontId="4" fillId="0" borderId="15" xfId="71" applyFont="1" applyFill="1" applyBorder="1" applyAlignment="1">
      <alignment horizontal="center"/>
    </xf>
    <xf numFmtId="0" fontId="4" fillId="0" borderId="22" xfId="71" applyFont="1" applyFill="1" applyBorder="1" applyAlignment="1">
      <alignment horizontal="center"/>
    </xf>
    <xf numFmtId="0" fontId="4" fillId="0" borderId="16" xfId="71" applyFont="1" applyFill="1" applyBorder="1" applyAlignment="1">
      <alignment horizontal="center"/>
    </xf>
    <xf numFmtId="0" fontId="4" fillId="0" borderId="40" xfId="70" applyFont="1" applyFill="1" applyBorder="1" applyAlignment="1">
      <alignment horizontal="center" vertical="center" wrapText="1"/>
    </xf>
    <xf numFmtId="2" fontId="4" fillId="0" borderId="40" xfId="199" applyNumberFormat="1" applyFont="1" applyFill="1" applyBorder="1" applyAlignment="1">
      <alignment horizontal="center" vertical="center" wrapText="1"/>
    </xf>
    <xf numFmtId="2" fontId="4" fillId="0" borderId="50" xfId="199" applyNumberFormat="1" applyFont="1" applyFill="1" applyBorder="1" applyAlignment="1">
      <alignment horizontal="center" vertical="center" wrapText="1"/>
    </xf>
    <xf numFmtId="2" fontId="4" fillId="0" borderId="51" xfId="199" applyNumberFormat="1" applyFont="1" applyFill="1" applyBorder="1" applyAlignment="1">
      <alignment horizontal="center" vertical="center" wrapText="1"/>
    </xf>
    <xf numFmtId="2" fontId="4" fillId="0" borderId="52" xfId="199" applyNumberFormat="1" applyFont="1" applyFill="1" applyBorder="1" applyAlignment="1">
      <alignment horizontal="center" vertical="center" wrapText="1"/>
    </xf>
    <xf numFmtId="2" fontId="4" fillId="0" borderId="41" xfId="10" applyNumberFormat="1" applyFont="1" applyFill="1" applyBorder="1" applyAlignment="1">
      <alignment horizontal="center" vertical="center" wrapText="1"/>
    </xf>
    <xf numFmtId="2" fontId="4" fillId="0" borderId="43" xfId="10" applyNumberFormat="1" applyFont="1" applyFill="1" applyBorder="1" applyAlignment="1">
      <alignment horizontal="center" vertical="center" wrapText="1"/>
    </xf>
    <xf numFmtId="2" fontId="4" fillId="0" borderId="44" xfId="1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4" fontId="5" fillId="0" borderId="1" xfId="0" applyNumberFormat="1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left" vertical="center" wrapText="1"/>
    </xf>
    <xf numFmtId="0" fontId="15" fillId="30" borderId="41" xfId="7" applyFont="1" applyBorder="1" applyAlignment="1" applyProtection="1">
      <alignment horizontal="center" vertical="center" wrapText="1"/>
      <protection locked="0"/>
    </xf>
    <xf numFmtId="0" fontId="15" fillId="30" borderId="43" xfId="7" applyFont="1" applyBorder="1" applyAlignment="1" applyProtection="1">
      <alignment horizontal="center" vertical="center" wrapText="1"/>
      <protection locked="0"/>
    </xf>
    <xf numFmtId="0" fontId="15" fillId="30" borderId="44" xfId="7" applyFont="1" applyBorder="1" applyAlignment="1" applyProtection="1">
      <alignment horizontal="center" vertical="center" wrapText="1"/>
      <protection locked="0"/>
    </xf>
    <xf numFmtId="0" fontId="9" fillId="30" borderId="11" xfId="7" applyFont="1" applyBorder="1" applyAlignment="1" applyProtection="1">
      <alignment horizontal="left" vertical="center" wrapText="1"/>
      <protection locked="0"/>
    </xf>
    <xf numFmtId="0" fontId="10" fillId="30" borderId="11" xfId="7" applyFont="1" applyBorder="1" applyAlignment="1" applyProtection="1">
      <alignment horizontal="left" vertical="center" wrapText="1"/>
      <protection locked="0"/>
    </xf>
    <xf numFmtId="0" fontId="13" fillId="30" borderId="54" xfId="7" applyFont="1" applyBorder="1" applyAlignment="1" applyProtection="1">
      <alignment horizontal="center" vertical="center" wrapText="1"/>
      <protection locked="0"/>
    </xf>
    <xf numFmtId="0" fontId="13" fillId="30" borderId="42" xfId="7" applyFont="1" applyBorder="1" applyAlignment="1" applyProtection="1">
      <alignment horizontal="center" vertical="center" wrapText="1"/>
      <protection locked="0"/>
    </xf>
    <xf numFmtId="0" fontId="13" fillId="30" borderId="55" xfId="7" applyFont="1" applyBorder="1" applyAlignment="1" applyProtection="1">
      <alignment horizontal="center" vertical="center" wrapText="1"/>
      <protection locked="0"/>
    </xf>
    <xf numFmtId="0" fontId="13" fillId="30" borderId="13" xfId="7" applyFont="1" applyBorder="1" applyAlignment="1" applyProtection="1">
      <alignment horizontal="center" vertical="center" wrapText="1"/>
      <protection locked="0"/>
    </xf>
    <xf numFmtId="0" fontId="13" fillId="30" borderId="1" xfId="7" applyFont="1" applyAlignment="1" applyProtection="1">
      <alignment horizontal="center" vertical="center" wrapText="1"/>
      <protection locked="0"/>
    </xf>
    <xf numFmtId="0" fontId="13" fillId="30" borderId="14" xfId="7" applyFont="1" applyBorder="1" applyAlignment="1" applyProtection="1">
      <alignment horizontal="center" vertical="center" wrapText="1"/>
      <protection locked="0"/>
    </xf>
    <xf numFmtId="0" fontId="13" fillId="30" borderId="15" xfId="7" applyFont="1" applyBorder="1" applyAlignment="1" applyProtection="1">
      <alignment horizontal="center" vertical="center" wrapText="1"/>
      <protection locked="0"/>
    </xf>
    <xf numFmtId="0" fontId="13" fillId="30" borderId="22" xfId="7" applyFont="1" applyBorder="1" applyAlignment="1" applyProtection="1">
      <alignment horizontal="center" vertical="center" wrapText="1"/>
      <protection locked="0"/>
    </xf>
    <xf numFmtId="0" fontId="13" fillId="30" borderId="16" xfId="7" applyFont="1" applyBorder="1" applyAlignment="1" applyProtection="1">
      <alignment horizontal="center" vertical="center" wrapText="1"/>
      <protection locked="0"/>
    </xf>
    <xf numFmtId="4" fontId="5" fillId="7" borderId="1" xfId="0" applyNumberFormat="1" applyFont="1" applyFill="1" applyBorder="1" applyAlignment="1">
      <alignment horizontal="left" vertical="top" wrapText="1"/>
    </xf>
    <xf numFmtId="4" fontId="5" fillId="8" borderId="1" xfId="0" applyNumberFormat="1" applyFont="1" applyFill="1" applyBorder="1" applyAlignment="1" applyProtection="1">
      <alignment horizontal="left" vertical="top" wrapText="1"/>
      <protection locked="0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 applyProtection="1">
      <alignment horizontal="left" vertical="center" wrapText="1"/>
      <protection locked="0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202" applyNumberFormat="1" applyFont="1" applyFill="1" applyBorder="1" applyAlignment="1" applyProtection="1">
      <alignment horizontal="center" vertical="center" wrapText="1"/>
      <protection locked="0"/>
    </xf>
    <xf numFmtId="4" fontId="3" fillId="0" borderId="46" xfId="202" applyNumberFormat="1" applyFont="1" applyFill="1" applyBorder="1" applyAlignment="1">
      <alignment horizontal="center" vertical="top" wrapText="1"/>
    </xf>
    <xf numFmtId="4" fontId="3" fillId="0" borderId="47" xfId="202" applyNumberFormat="1" applyFont="1" applyFill="1" applyBorder="1" applyAlignment="1">
      <alignment horizontal="center" vertical="top" wrapText="1"/>
    </xf>
    <xf numFmtId="4" fontId="3" fillId="0" borderId="48" xfId="202" applyNumberFormat="1" applyFont="1" applyFill="1" applyBorder="1" applyAlignment="1">
      <alignment horizontal="center" vertical="top" wrapText="1"/>
    </xf>
  </cellXfs>
  <cellStyles count="299">
    <cellStyle name="20% - Accent1 2" xfId="214" xr:uid="{00000000-0005-0000-0000-000000000000}"/>
    <cellStyle name="20% - Accent1 3" xfId="215" xr:uid="{00000000-0005-0000-0000-000001000000}"/>
    <cellStyle name="20% - Accent2 2" xfId="216" xr:uid="{00000000-0005-0000-0000-000002000000}"/>
    <cellStyle name="20% - Accent2 3" xfId="217" xr:uid="{00000000-0005-0000-0000-000003000000}"/>
    <cellStyle name="20% - Accent3 2" xfId="218" xr:uid="{00000000-0005-0000-0000-000004000000}"/>
    <cellStyle name="20% - Accent3 3" xfId="219" xr:uid="{00000000-0005-0000-0000-000005000000}"/>
    <cellStyle name="20% - Accent4 2" xfId="220" xr:uid="{00000000-0005-0000-0000-000006000000}"/>
    <cellStyle name="20% - Accent4 3" xfId="221" xr:uid="{00000000-0005-0000-0000-000007000000}"/>
    <cellStyle name="20% - Accent5 2" xfId="222" xr:uid="{00000000-0005-0000-0000-000008000000}"/>
    <cellStyle name="20% - Accent5 3" xfId="223" xr:uid="{00000000-0005-0000-0000-000009000000}"/>
    <cellStyle name="20% - Accent6 2" xfId="224" xr:uid="{00000000-0005-0000-0000-00000A000000}"/>
    <cellStyle name="20% - Accent6 3" xfId="225" xr:uid="{00000000-0005-0000-0000-00000B000000}"/>
    <cellStyle name="20% - Ênfase1 2" xfId="17" xr:uid="{00000000-0005-0000-0000-00000C000000}"/>
    <cellStyle name="20% - Ênfase2 2" xfId="18" xr:uid="{00000000-0005-0000-0000-00000D000000}"/>
    <cellStyle name="20% - Ênfase3 2" xfId="19" xr:uid="{00000000-0005-0000-0000-00000E000000}"/>
    <cellStyle name="20% - Ênfase4 2" xfId="20" xr:uid="{00000000-0005-0000-0000-00000F000000}"/>
    <cellStyle name="20% - Ênfase5 2" xfId="21" xr:uid="{00000000-0005-0000-0000-000010000000}"/>
    <cellStyle name="20% - Ênfase6 2" xfId="22" xr:uid="{00000000-0005-0000-0000-000011000000}"/>
    <cellStyle name="40% - Accent1 2" xfId="226" xr:uid="{00000000-0005-0000-0000-000012000000}"/>
    <cellStyle name="40% - Accent1 3" xfId="227" xr:uid="{00000000-0005-0000-0000-000013000000}"/>
    <cellStyle name="40% - Accent2 2" xfId="228" xr:uid="{00000000-0005-0000-0000-000014000000}"/>
    <cellStyle name="40% - Accent2 3" xfId="229" xr:uid="{00000000-0005-0000-0000-000015000000}"/>
    <cellStyle name="40% - Accent3 2" xfId="230" xr:uid="{00000000-0005-0000-0000-000016000000}"/>
    <cellStyle name="40% - Accent3 3" xfId="231" xr:uid="{00000000-0005-0000-0000-000017000000}"/>
    <cellStyle name="40% - Accent4 2" xfId="232" xr:uid="{00000000-0005-0000-0000-000018000000}"/>
    <cellStyle name="40% - Accent4 3" xfId="233" xr:uid="{00000000-0005-0000-0000-000019000000}"/>
    <cellStyle name="40% - Accent5 2" xfId="234" xr:uid="{00000000-0005-0000-0000-00001A000000}"/>
    <cellStyle name="40% - Accent5 3" xfId="235" xr:uid="{00000000-0005-0000-0000-00001B000000}"/>
    <cellStyle name="40% - Accent6 2" xfId="236" xr:uid="{00000000-0005-0000-0000-00001C000000}"/>
    <cellStyle name="40% - Accent6 3" xfId="237" xr:uid="{00000000-0005-0000-0000-00001D000000}"/>
    <cellStyle name="40% - Ênfase1 2" xfId="23" xr:uid="{00000000-0005-0000-0000-00001E000000}"/>
    <cellStyle name="40% - Ênfase2 2" xfId="24" xr:uid="{00000000-0005-0000-0000-00001F000000}"/>
    <cellStyle name="40% - Ênfase3 2" xfId="25" xr:uid="{00000000-0005-0000-0000-000020000000}"/>
    <cellStyle name="40% - Ênfase4 2" xfId="26" xr:uid="{00000000-0005-0000-0000-000021000000}"/>
    <cellStyle name="40% - Ênfase5 2" xfId="27" xr:uid="{00000000-0005-0000-0000-000022000000}"/>
    <cellStyle name="40% - Ênfase6 2" xfId="28" xr:uid="{00000000-0005-0000-0000-000023000000}"/>
    <cellStyle name="60% - Accent1 2" xfId="238" xr:uid="{00000000-0005-0000-0000-000024000000}"/>
    <cellStyle name="60% - Accent1 3" xfId="239" xr:uid="{00000000-0005-0000-0000-000025000000}"/>
    <cellStyle name="60% - Accent2 2" xfId="240" xr:uid="{00000000-0005-0000-0000-000026000000}"/>
    <cellStyle name="60% - Accent2 3" xfId="241" xr:uid="{00000000-0005-0000-0000-000027000000}"/>
    <cellStyle name="60% - Accent3 2" xfId="242" xr:uid="{00000000-0005-0000-0000-000028000000}"/>
    <cellStyle name="60% - Accent3 3" xfId="243" xr:uid="{00000000-0005-0000-0000-000029000000}"/>
    <cellStyle name="60% - Accent4 2" xfId="244" xr:uid="{00000000-0005-0000-0000-00002A000000}"/>
    <cellStyle name="60% - Accent4 3" xfId="245" xr:uid="{00000000-0005-0000-0000-00002B000000}"/>
    <cellStyle name="60% - Accent5 2" xfId="246" xr:uid="{00000000-0005-0000-0000-00002C000000}"/>
    <cellStyle name="60% - Accent5 3" xfId="247" xr:uid="{00000000-0005-0000-0000-00002D000000}"/>
    <cellStyle name="60% - Accent6 2" xfId="248" xr:uid="{00000000-0005-0000-0000-00002E000000}"/>
    <cellStyle name="60% - Accent6 3" xfId="249" xr:uid="{00000000-0005-0000-0000-00002F000000}"/>
    <cellStyle name="60% - Ênfase1 2" xfId="29" xr:uid="{00000000-0005-0000-0000-000030000000}"/>
    <cellStyle name="60% - Ênfase2 2" xfId="30" xr:uid="{00000000-0005-0000-0000-000031000000}"/>
    <cellStyle name="60% - Ênfase3 2" xfId="31" xr:uid="{00000000-0005-0000-0000-000032000000}"/>
    <cellStyle name="60% - Ênfase4 2" xfId="32" xr:uid="{00000000-0005-0000-0000-000033000000}"/>
    <cellStyle name="60% - Ênfase5 2" xfId="33" xr:uid="{00000000-0005-0000-0000-000034000000}"/>
    <cellStyle name="60% - Ênfase6 2" xfId="34" xr:uid="{00000000-0005-0000-0000-000035000000}"/>
    <cellStyle name="Accent1 2" xfId="250" xr:uid="{00000000-0005-0000-0000-000036000000}"/>
    <cellStyle name="Accent1 3" xfId="251" xr:uid="{00000000-0005-0000-0000-000037000000}"/>
    <cellStyle name="Accent2 2" xfId="252" xr:uid="{00000000-0005-0000-0000-000038000000}"/>
    <cellStyle name="Accent2 3" xfId="253" xr:uid="{00000000-0005-0000-0000-000039000000}"/>
    <cellStyle name="Accent3 2" xfId="254" xr:uid="{00000000-0005-0000-0000-00003A000000}"/>
    <cellStyle name="Accent3 3" xfId="255" xr:uid="{00000000-0005-0000-0000-00003B000000}"/>
    <cellStyle name="Accent4 2" xfId="256" xr:uid="{00000000-0005-0000-0000-00003C000000}"/>
    <cellStyle name="Accent4 3" xfId="257" xr:uid="{00000000-0005-0000-0000-00003D000000}"/>
    <cellStyle name="Accent5 2" xfId="258" xr:uid="{00000000-0005-0000-0000-00003E000000}"/>
    <cellStyle name="Accent5 3" xfId="259" xr:uid="{00000000-0005-0000-0000-00003F000000}"/>
    <cellStyle name="Accent6 2" xfId="260" xr:uid="{00000000-0005-0000-0000-000040000000}"/>
    <cellStyle name="Accent6 3" xfId="261" xr:uid="{00000000-0005-0000-0000-000041000000}"/>
    <cellStyle name="Bad 1" xfId="35" xr:uid="{00000000-0005-0000-0000-000042000000}"/>
    <cellStyle name="Bad 2" xfId="262" xr:uid="{00000000-0005-0000-0000-000043000000}"/>
    <cellStyle name="Bad 3" xfId="263" xr:uid="{00000000-0005-0000-0000-000044000000}"/>
    <cellStyle name="Bom 2" xfId="36" xr:uid="{00000000-0005-0000-0000-000045000000}"/>
    <cellStyle name="Calculation 2" xfId="264" xr:uid="{00000000-0005-0000-0000-000046000000}"/>
    <cellStyle name="Calculation 3" xfId="265" xr:uid="{00000000-0005-0000-0000-000047000000}"/>
    <cellStyle name="Cálculo 2" xfId="37" xr:uid="{00000000-0005-0000-0000-000048000000}"/>
    <cellStyle name="Célula de Verificação 2" xfId="38" xr:uid="{00000000-0005-0000-0000-000049000000}"/>
    <cellStyle name="Célula Vinculada 2" xfId="39" xr:uid="{00000000-0005-0000-0000-00004A000000}"/>
    <cellStyle name="Check Cell 2" xfId="266" xr:uid="{00000000-0005-0000-0000-00004B000000}"/>
    <cellStyle name="Check Cell 3" xfId="267" xr:uid="{00000000-0005-0000-0000-00004C000000}"/>
    <cellStyle name="Comma 2" xfId="201" xr:uid="{00000000-0005-0000-0000-00004D000000}"/>
    <cellStyle name="Comma 2 2" xfId="207" xr:uid="{00000000-0005-0000-0000-00004E000000}"/>
    <cellStyle name="Comma 2 3" xfId="295" xr:uid="{00000000-0005-0000-0000-00004F000000}"/>
    <cellStyle name="Currency 2" xfId="40" xr:uid="{00000000-0005-0000-0000-000050000000}"/>
    <cellStyle name="Currency 2 2" xfId="208" xr:uid="{00000000-0005-0000-0000-000051000000}"/>
    <cellStyle name="Ênfase1 2" xfId="41" xr:uid="{00000000-0005-0000-0000-000052000000}"/>
    <cellStyle name="Ênfase2 2" xfId="42" xr:uid="{00000000-0005-0000-0000-000053000000}"/>
    <cellStyle name="Ênfase3 2" xfId="43" xr:uid="{00000000-0005-0000-0000-000054000000}"/>
    <cellStyle name="Ênfase4 2" xfId="44" xr:uid="{00000000-0005-0000-0000-000055000000}"/>
    <cellStyle name="Ênfase5 2" xfId="45" xr:uid="{00000000-0005-0000-0000-000056000000}"/>
    <cellStyle name="Ênfase6 2" xfId="46" xr:uid="{00000000-0005-0000-0000-000057000000}"/>
    <cellStyle name="Entrada 2" xfId="47" xr:uid="{00000000-0005-0000-0000-000058000000}"/>
    <cellStyle name="Euro" xfId="48" xr:uid="{00000000-0005-0000-0000-000059000000}"/>
    <cellStyle name="Excel Built-in Normal" xfId="49" xr:uid="{00000000-0005-0000-0000-00005A000000}"/>
    <cellStyle name="Explanatory Text 2" xfId="268" xr:uid="{00000000-0005-0000-0000-00005B000000}"/>
    <cellStyle name="Explanatory Text 3" xfId="269" xr:uid="{00000000-0005-0000-0000-00005C000000}"/>
    <cellStyle name="Good 1" xfId="50" xr:uid="{00000000-0005-0000-0000-00005D000000}"/>
    <cellStyle name="Good 2" xfId="270" xr:uid="{00000000-0005-0000-0000-00005E000000}"/>
    <cellStyle name="Good 3" xfId="271" xr:uid="{00000000-0005-0000-0000-00005F000000}"/>
    <cellStyle name="Heading 1 1" xfId="51" xr:uid="{00000000-0005-0000-0000-000060000000}"/>
    <cellStyle name="Heading 1 2" xfId="272" xr:uid="{00000000-0005-0000-0000-000061000000}"/>
    <cellStyle name="Heading 1 3" xfId="273" xr:uid="{00000000-0005-0000-0000-000062000000}"/>
    <cellStyle name="Heading 2 1" xfId="52" xr:uid="{00000000-0005-0000-0000-000063000000}"/>
    <cellStyle name="Heading 2 2" xfId="274" xr:uid="{00000000-0005-0000-0000-000064000000}"/>
    <cellStyle name="Heading 2 3" xfId="275" xr:uid="{00000000-0005-0000-0000-000065000000}"/>
    <cellStyle name="Heading 3 2" xfId="276" xr:uid="{00000000-0005-0000-0000-000066000000}"/>
    <cellStyle name="Heading 3 3" xfId="277" xr:uid="{00000000-0005-0000-0000-000067000000}"/>
    <cellStyle name="Heading 4 2" xfId="278" xr:uid="{00000000-0005-0000-0000-000068000000}"/>
    <cellStyle name="Heading 4 3" xfId="279" xr:uid="{00000000-0005-0000-0000-000069000000}"/>
    <cellStyle name="Hiperlink 2" xfId="53" xr:uid="{00000000-0005-0000-0000-00006A000000}"/>
    <cellStyle name="Incorreto 2" xfId="54" xr:uid="{00000000-0005-0000-0000-00006B000000}"/>
    <cellStyle name="Input 2" xfId="280" xr:uid="{00000000-0005-0000-0000-00006C000000}"/>
    <cellStyle name="Input 3" xfId="281" xr:uid="{00000000-0005-0000-0000-00006D000000}"/>
    <cellStyle name="Linked Cell 2" xfId="282" xr:uid="{00000000-0005-0000-0000-00006E000000}"/>
    <cellStyle name="Linked Cell 3" xfId="283" xr:uid="{00000000-0005-0000-0000-00006F000000}"/>
    <cellStyle name="Moeda 10" xfId="55" xr:uid="{00000000-0005-0000-0000-000070000000}"/>
    <cellStyle name="Moeda 2" xfId="56" xr:uid="{00000000-0005-0000-0000-000071000000}"/>
    <cellStyle name="Moeda 2 2" xfId="57" xr:uid="{00000000-0005-0000-0000-000072000000}"/>
    <cellStyle name="Moeda 2 3" xfId="58" xr:uid="{00000000-0005-0000-0000-000073000000}"/>
    <cellStyle name="Moeda 3" xfId="59" xr:uid="{00000000-0005-0000-0000-000074000000}"/>
    <cellStyle name="Moeda 4" xfId="60" xr:uid="{00000000-0005-0000-0000-000075000000}"/>
    <cellStyle name="Moeda 5" xfId="61" xr:uid="{00000000-0005-0000-0000-000076000000}"/>
    <cellStyle name="Moeda 6" xfId="62" xr:uid="{00000000-0005-0000-0000-000077000000}"/>
    <cellStyle name="Moeda 7" xfId="63" xr:uid="{00000000-0005-0000-0000-000078000000}"/>
    <cellStyle name="Moeda 8" xfId="64" xr:uid="{00000000-0005-0000-0000-000079000000}"/>
    <cellStyle name="Moeda 9" xfId="65" xr:uid="{00000000-0005-0000-0000-00007A000000}"/>
    <cellStyle name="Neutra 2" xfId="66" xr:uid="{00000000-0005-0000-0000-00007B000000}"/>
    <cellStyle name="Neutral 1" xfId="67" xr:uid="{00000000-0005-0000-0000-00007C000000}"/>
    <cellStyle name="Neutral 2" xfId="284" xr:uid="{00000000-0005-0000-0000-00007D000000}"/>
    <cellStyle name="Neutral 3" xfId="285" xr:uid="{00000000-0005-0000-0000-00007E000000}"/>
    <cellStyle name="Normal" xfId="0" builtinId="0"/>
    <cellStyle name="Normal 10" xfId="10" xr:uid="{00000000-0005-0000-0000-000080000000}"/>
    <cellStyle name="Normal 10 2" xfId="68" xr:uid="{00000000-0005-0000-0000-000081000000}"/>
    <cellStyle name="Normal 10 3" xfId="203" xr:uid="{00000000-0005-0000-0000-000082000000}"/>
    <cellStyle name="Normal 10 4" xfId="296" xr:uid="{00000000-0005-0000-0000-000083000000}"/>
    <cellStyle name="Normal 11" xfId="12" xr:uid="{00000000-0005-0000-0000-000084000000}"/>
    <cellStyle name="Normal 11 2" xfId="200" xr:uid="{00000000-0005-0000-0000-000085000000}"/>
    <cellStyle name="Normal 12" xfId="13" xr:uid="{00000000-0005-0000-0000-000086000000}"/>
    <cellStyle name="Normal 13" xfId="14" xr:uid="{00000000-0005-0000-0000-000087000000}"/>
    <cellStyle name="Normal 14" xfId="16" xr:uid="{00000000-0005-0000-0000-000088000000}"/>
    <cellStyle name="Normal 15" xfId="15" xr:uid="{00000000-0005-0000-0000-000089000000}"/>
    <cellStyle name="Normal 16" xfId="69" xr:uid="{00000000-0005-0000-0000-00008A000000}"/>
    <cellStyle name="Normal 17" xfId="199" xr:uid="{00000000-0005-0000-0000-00008B000000}"/>
    <cellStyle name="Normal 17 2" xfId="209" xr:uid="{00000000-0005-0000-0000-00008C000000}"/>
    <cellStyle name="Normal 18" xfId="204" xr:uid="{00000000-0005-0000-0000-00008D000000}"/>
    <cellStyle name="Normal 19" xfId="213" xr:uid="{00000000-0005-0000-0000-00008E000000}"/>
    <cellStyle name="Normal 2" xfId="9" xr:uid="{00000000-0005-0000-0000-00008F000000}"/>
    <cellStyle name="Normal 2 2" xfId="70" xr:uid="{00000000-0005-0000-0000-000090000000}"/>
    <cellStyle name="Normal 2 2 2" xfId="71" xr:uid="{00000000-0005-0000-0000-000091000000}"/>
    <cellStyle name="Normal 2 2 2 2" xfId="72" xr:uid="{00000000-0005-0000-0000-000092000000}"/>
    <cellStyle name="Normal 2 2 2 4" xfId="297" xr:uid="{00000000-0005-0000-0000-000093000000}"/>
    <cellStyle name="Normal 2 2 3" xfId="73" xr:uid="{00000000-0005-0000-0000-000094000000}"/>
    <cellStyle name="Normal 2 2 4" xfId="74" xr:uid="{00000000-0005-0000-0000-000095000000}"/>
    <cellStyle name="Normal 2 2_COMPOSIÇÕES" xfId="75" xr:uid="{00000000-0005-0000-0000-000096000000}"/>
    <cellStyle name="Normal 2 3" xfId="76" xr:uid="{00000000-0005-0000-0000-000097000000}"/>
    <cellStyle name="Normal 2 5" xfId="77" xr:uid="{00000000-0005-0000-0000-000098000000}"/>
    <cellStyle name="Normal 2_COMPOSIÇÕES" xfId="78" xr:uid="{00000000-0005-0000-0000-000099000000}"/>
    <cellStyle name="Normal 20" xfId="294" xr:uid="{00000000-0005-0000-0000-00009A000000}"/>
    <cellStyle name="Normal 3" xfId="1" xr:uid="{00000000-0005-0000-0000-00009B000000}"/>
    <cellStyle name="Normal 3 2" xfId="79" xr:uid="{00000000-0005-0000-0000-00009C000000}"/>
    <cellStyle name="Normal 3 3" xfId="80" xr:uid="{00000000-0005-0000-0000-00009D000000}"/>
    <cellStyle name="Normal 3 4" xfId="205" xr:uid="{00000000-0005-0000-0000-00009E000000}"/>
    <cellStyle name="Normal 3_COMPOSIÇÕES" xfId="81" xr:uid="{00000000-0005-0000-0000-00009F000000}"/>
    <cellStyle name="Normal 4" xfId="3" xr:uid="{00000000-0005-0000-0000-0000A0000000}"/>
    <cellStyle name="Normal 4 2 3 2" xfId="82" xr:uid="{00000000-0005-0000-0000-0000A1000000}"/>
    <cellStyle name="Normal 5" xfId="4" xr:uid="{00000000-0005-0000-0000-0000A2000000}"/>
    <cellStyle name="Normal 6" xfId="6" xr:uid="{00000000-0005-0000-0000-0000A3000000}"/>
    <cellStyle name="Normal 7" xfId="5" xr:uid="{00000000-0005-0000-0000-0000A4000000}"/>
    <cellStyle name="Normal 8" xfId="7" xr:uid="{00000000-0005-0000-0000-0000A5000000}"/>
    <cellStyle name="Normal 8 2" xfId="202" xr:uid="{00000000-0005-0000-0000-0000A6000000}"/>
    <cellStyle name="Normal 9" xfId="8" xr:uid="{00000000-0005-0000-0000-0000A7000000}"/>
    <cellStyle name="Nota 2" xfId="83" xr:uid="{00000000-0005-0000-0000-0000A8000000}"/>
    <cellStyle name="Note 1" xfId="84" xr:uid="{00000000-0005-0000-0000-0000A9000000}"/>
    <cellStyle name="Note 2" xfId="286" xr:uid="{00000000-0005-0000-0000-0000AA000000}"/>
    <cellStyle name="Note 3" xfId="287" xr:uid="{00000000-0005-0000-0000-0000AB000000}"/>
    <cellStyle name="Output 2" xfId="288" xr:uid="{00000000-0005-0000-0000-0000AC000000}"/>
    <cellStyle name="Output 3" xfId="289" xr:uid="{00000000-0005-0000-0000-0000AD000000}"/>
    <cellStyle name="Percent 2" xfId="85" xr:uid="{00000000-0005-0000-0000-0000AE000000}"/>
    <cellStyle name="Porcentagem" xfId="212" builtinId="5"/>
    <cellStyle name="Porcentagem 2" xfId="86" xr:uid="{00000000-0005-0000-0000-0000B0000000}"/>
    <cellStyle name="Porcentagem 2 2" xfId="87" xr:uid="{00000000-0005-0000-0000-0000B1000000}"/>
    <cellStyle name="Porcentagem 2 2 2" xfId="88" xr:uid="{00000000-0005-0000-0000-0000B2000000}"/>
    <cellStyle name="Porcentagem 2 3" xfId="89" xr:uid="{00000000-0005-0000-0000-0000B3000000}"/>
    <cellStyle name="Porcentagem 2 4" xfId="90" xr:uid="{00000000-0005-0000-0000-0000B4000000}"/>
    <cellStyle name="Porcentagem 2_COMPOSIÇÕES" xfId="91" xr:uid="{00000000-0005-0000-0000-0000B5000000}"/>
    <cellStyle name="Porcentagem 3" xfId="92" xr:uid="{00000000-0005-0000-0000-0000B6000000}"/>
    <cellStyle name="Porcentagem 3 2" xfId="93" xr:uid="{00000000-0005-0000-0000-0000B7000000}"/>
    <cellStyle name="Porcentagem 3 3" xfId="94" xr:uid="{00000000-0005-0000-0000-0000B8000000}"/>
    <cellStyle name="Porcentagem 4" xfId="95" xr:uid="{00000000-0005-0000-0000-0000B9000000}"/>
    <cellStyle name="Porcentagem 4 2" xfId="96" xr:uid="{00000000-0005-0000-0000-0000BA000000}"/>
    <cellStyle name="Porcentagem 5" xfId="97" xr:uid="{00000000-0005-0000-0000-0000BB000000}"/>
    <cellStyle name="Porcentagem 5 2" xfId="98" xr:uid="{00000000-0005-0000-0000-0000BC000000}"/>
    <cellStyle name="Porcentagem 6" xfId="99" xr:uid="{00000000-0005-0000-0000-0000BD000000}"/>
    <cellStyle name="Saída 2" xfId="100" xr:uid="{00000000-0005-0000-0000-0000BE000000}"/>
    <cellStyle name="Separador de milhares 10" xfId="101" xr:uid="{00000000-0005-0000-0000-0000C0000000}"/>
    <cellStyle name="Separador de milhares 10 2" xfId="102" xr:uid="{00000000-0005-0000-0000-0000C1000000}"/>
    <cellStyle name="Separador de milhares 11" xfId="103" xr:uid="{00000000-0005-0000-0000-0000C2000000}"/>
    <cellStyle name="Separador de milhares 11 2" xfId="104" xr:uid="{00000000-0005-0000-0000-0000C3000000}"/>
    <cellStyle name="Separador de milhares 12" xfId="105" xr:uid="{00000000-0005-0000-0000-0000C4000000}"/>
    <cellStyle name="Separador de milhares 13" xfId="106" xr:uid="{00000000-0005-0000-0000-0000C5000000}"/>
    <cellStyle name="Separador de milhares 14" xfId="107" xr:uid="{00000000-0005-0000-0000-0000C6000000}"/>
    <cellStyle name="Separador de milhares 15" xfId="108" xr:uid="{00000000-0005-0000-0000-0000C7000000}"/>
    <cellStyle name="Separador de milhares 16" xfId="109" xr:uid="{00000000-0005-0000-0000-0000C8000000}"/>
    <cellStyle name="Separador de milhares 17" xfId="110" xr:uid="{00000000-0005-0000-0000-0000C9000000}"/>
    <cellStyle name="Separador de milhares 18" xfId="111" xr:uid="{00000000-0005-0000-0000-0000CA000000}"/>
    <cellStyle name="Separador de milhares 19" xfId="112" xr:uid="{00000000-0005-0000-0000-0000CB000000}"/>
    <cellStyle name="Separador de milhares 2" xfId="113" xr:uid="{00000000-0005-0000-0000-0000CC000000}"/>
    <cellStyle name="Separador de milhares 2 2" xfId="114" xr:uid="{00000000-0005-0000-0000-0000CD000000}"/>
    <cellStyle name="Separador de milhares 2 2 2" xfId="115" xr:uid="{00000000-0005-0000-0000-0000CE000000}"/>
    <cellStyle name="Separador de milhares 2 3" xfId="116" xr:uid="{00000000-0005-0000-0000-0000CF000000}"/>
    <cellStyle name="Separador de milhares 2_COMPOSIÇÕES" xfId="117" xr:uid="{00000000-0005-0000-0000-0000D0000000}"/>
    <cellStyle name="Separador de milhares 20" xfId="118" xr:uid="{00000000-0005-0000-0000-0000D1000000}"/>
    <cellStyle name="Separador de milhares 21" xfId="119" xr:uid="{00000000-0005-0000-0000-0000D2000000}"/>
    <cellStyle name="Separador de milhares 22" xfId="120" xr:uid="{00000000-0005-0000-0000-0000D3000000}"/>
    <cellStyle name="Separador de milhares 23" xfId="121" xr:uid="{00000000-0005-0000-0000-0000D4000000}"/>
    <cellStyle name="Separador de milhares 24" xfId="122" xr:uid="{00000000-0005-0000-0000-0000D5000000}"/>
    <cellStyle name="Separador de milhares 25" xfId="123" xr:uid="{00000000-0005-0000-0000-0000D6000000}"/>
    <cellStyle name="Separador de milhares 26" xfId="124" xr:uid="{00000000-0005-0000-0000-0000D7000000}"/>
    <cellStyle name="Separador de milhares 27" xfId="125" xr:uid="{00000000-0005-0000-0000-0000D8000000}"/>
    <cellStyle name="Separador de milhares 28" xfId="126" xr:uid="{00000000-0005-0000-0000-0000D9000000}"/>
    <cellStyle name="Separador de milhares 29" xfId="127" xr:uid="{00000000-0005-0000-0000-0000DA000000}"/>
    <cellStyle name="Separador de milhares 3" xfId="128" xr:uid="{00000000-0005-0000-0000-0000DB000000}"/>
    <cellStyle name="Separador de milhares 3 2" xfId="129" xr:uid="{00000000-0005-0000-0000-0000DC000000}"/>
    <cellStyle name="Separador de milhares 3 3" xfId="130" xr:uid="{00000000-0005-0000-0000-0000DD000000}"/>
    <cellStyle name="Separador de milhares 3_ok orç" xfId="131" xr:uid="{00000000-0005-0000-0000-0000DE000000}"/>
    <cellStyle name="Separador de milhares 30" xfId="132" xr:uid="{00000000-0005-0000-0000-0000DF000000}"/>
    <cellStyle name="Separador de milhares 31" xfId="133" xr:uid="{00000000-0005-0000-0000-0000E0000000}"/>
    <cellStyle name="Separador de milhares 32" xfId="134" xr:uid="{00000000-0005-0000-0000-0000E1000000}"/>
    <cellStyle name="Separador de milhares 33" xfId="135" xr:uid="{00000000-0005-0000-0000-0000E2000000}"/>
    <cellStyle name="Separador de milhares 34" xfId="136" xr:uid="{00000000-0005-0000-0000-0000E3000000}"/>
    <cellStyle name="Separador de milhares 35" xfId="137" xr:uid="{00000000-0005-0000-0000-0000E4000000}"/>
    <cellStyle name="Separador de milhares 36" xfId="138" xr:uid="{00000000-0005-0000-0000-0000E5000000}"/>
    <cellStyle name="Separador de milhares 37" xfId="139" xr:uid="{00000000-0005-0000-0000-0000E6000000}"/>
    <cellStyle name="Separador de milhares 38" xfId="140" xr:uid="{00000000-0005-0000-0000-0000E7000000}"/>
    <cellStyle name="Separador de milhares 39" xfId="141" xr:uid="{00000000-0005-0000-0000-0000E8000000}"/>
    <cellStyle name="Separador de milhares 4" xfId="142" xr:uid="{00000000-0005-0000-0000-0000E9000000}"/>
    <cellStyle name="Separador de milhares 40" xfId="143" xr:uid="{00000000-0005-0000-0000-0000EA000000}"/>
    <cellStyle name="Separador de milhares 41" xfId="144" xr:uid="{00000000-0005-0000-0000-0000EB000000}"/>
    <cellStyle name="Separador de milhares 42" xfId="145" xr:uid="{00000000-0005-0000-0000-0000EC000000}"/>
    <cellStyle name="Separador de milhares 43" xfId="146" xr:uid="{00000000-0005-0000-0000-0000ED000000}"/>
    <cellStyle name="Separador de milhares 44" xfId="147" xr:uid="{00000000-0005-0000-0000-0000EE000000}"/>
    <cellStyle name="Separador de milhares 45" xfId="148" xr:uid="{00000000-0005-0000-0000-0000EF000000}"/>
    <cellStyle name="Separador de milhares 46" xfId="149" xr:uid="{00000000-0005-0000-0000-0000F0000000}"/>
    <cellStyle name="Separador de milhares 47" xfId="150" xr:uid="{00000000-0005-0000-0000-0000F1000000}"/>
    <cellStyle name="Separador de milhares 48" xfId="151" xr:uid="{00000000-0005-0000-0000-0000F2000000}"/>
    <cellStyle name="Separador de milhares 49" xfId="152" xr:uid="{00000000-0005-0000-0000-0000F3000000}"/>
    <cellStyle name="Separador de milhares 5" xfId="153" xr:uid="{00000000-0005-0000-0000-0000F4000000}"/>
    <cellStyle name="Separador de milhares 5 2" xfId="154" xr:uid="{00000000-0005-0000-0000-0000F5000000}"/>
    <cellStyle name="Separador de milhares 5 3" xfId="155" xr:uid="{00000000-0005-0000-0000-0000F6000000}"/>
    <cellStyle name="Separador de milhares 5 4" xfId="156" xr:uid="{00000000-0005-0000-0000-0000F7000000}"/>
    <cellStyle name="Separador de milhares 6" xfId="157" xr:uid="{00000000-0005-0000-0000-0000F8000000}"/>
    <cellStyle name="Separador de milhares 7" xfId="158" xr:uid="{00000000-0005-0000-0000-0000F9000000}"/>
    <cellStyle name="Separador de milhares 8" xfId="159" xr:uid="{00000000-0005-0000-0000-0000FA000000}"/>
    <cellStyle name="Separador de milhares 9" xfId="160" xr:uid="{00000000-0005-0000-0000-0000FB000000}"/>
    <cellStyle name="TableStyleLight1" xfId="161" xr:uid="{00000000-0005-0000-0000-0000FC000000}"/>
    <cellStyle name="TableStyleLight1 2" xfId="162" xr:uid="{00000000-0005-0000-0000-0000FD000000}"/>
    <cellStyle name="Texto de Aviso 2" xfId="163" xr:uid="{00000000-0005-0000-0000-0000FE000000}"/>
    <cellStyle name="Texto Explicativo 2" xfId="164" xr:uid="{00000000-0005-0000-0000-0000FF000000}"/>
    <cellStyle name="Title 2" xfId="290" xr:uid="{00000000-0005-0000-0000-000000010000}"/>
    <cellStyle name="Title 3" xfId="291" xr:uid="{00000000-0005-0000-0000-000001010000}"/>
    <cellStyle name="Título 1 1" xfId="165" xr:uid="{00000000-0005-0000-0000-000002010000}"/>
    <cellStyle name="Título 1 1 1" xfId="166" xr:uid="{00000000-0005-0000-0000-000003010000}"/>
    <cellStyle name="Título 1 1 1 1" xfId="167" xr:uid="{00000000-0005-0000-0000-000004010000}"/>
    <cellStyle name="Título 1 1 1 1 1" xfId="168" xr:uid="{00000000-0005-0000-0000-000005010000}"/>
    <cellStyle name="Título 1 1 1 1 1 1" xfId="169" xr:uid="{00000000-0005-0000-0000-000006010000}"/>
    <cellStyle name="Título 1 1 1 1 1 1 1" xfId="170" xr:uid="{00000000-0005-0000-0000-000007010000}"/>
    <cellStyle name="Título 1 1 1 1 1 1 1 1" xfId="171" xr:uid="{00000000-0005-0000-0000-000008010000}"/>
    <cellStyle name="Título 1 1 1 1 1 1 1 1 1" xfId="172" xr:uid="{00000000-0005-0000-0000-000009010000}"/>
    <cellStyle name="Título 1 1 1 1 1 1 1 1 1 1" xfId="173" xr:uid="{00000000-0005-0000-0000-00000A010000}"/>
    <cellStyle name="Título 1 1 1 1 1 1 1 1 1 1 1" xfId="174" xr:uid="{00000000-0005-0000-0000-00000B010000}"/>
    <cellStyle name="Título 1 1 1 1 1 1 1 1 1 1 1 1" xfId="175" xr:uid="{00000000-0005-0000-0000-00000C010000}"/>
    <cellStyle name="Título 1 1 1 1 1 1 1 1 1 1 1 1 1" xfId="176" xr:uid="{00000000-0005-0000-0000-00000D010000}"/>
    <cellStyle name="Título 1 1 1 1 1 1 1 1 1 1 1 1 1 1" xfId="177" xr:uid="{00000000-0005-0000-0000-00000E010000}"/>
    <cellStyle name="Título 1 1 1 1 1 1 1 1 1 1 1 1 1 1 1" xfId="178" xr:uid="{00000000-0005-0000-0000-00000F010000}"/>
    <cellStyle name="Título 1 1 1 1 1 1 1 1 1 1 1 1 1 1 1 1" xfId="179" xr:uid="{00000000-0005-0000-0000-000010010000}"/>
    <cellStyle name="Título 1 1 1 1 1 1 1 1 1 1 1 1 1 1 1 1 1" xfId="180" xr:uid="{00000000-0005-0000-0000-000011010000}"/>
    <cellStyle name="Título 1 1 1 1 1 1 1 1 1 1 1 1 1 1 1 1 1 1" xfId="181" xr:uid="{00000000-0005-0000-0000-000012010000}"/>
    <cellStyle name="Título 1 1 1 1 1 1 1 1 1 1 1 1 1 1 1 1 1 1 1" xfId="182" xr:uid="{00000000-0005-0000-0000-000013010000}"/>
    <cellStyle name="Título 1 1 1 1 1 1 1 1 1 1 1 1 1 1 1 1 1 1 1 1" xfId="183" xr:uid="{00000000-0005-0000-0000-000014010000}"/>
    <cellStyle name="Título 1 1_ok orç" xfId="184" xr:uid="{00000000-0005-0000-0000-000015010000}"/>
    <cellStyle name="Título 1 2" xfId="185" xr:uid="{00000000-0005-0000-0000-000016010000}"/>
    <cellStyle name="Título 2 2" xfId="186" xr:uid="{00000000-0005-0000-0000-000017010000}"/>
    <cellStyle name="Título 3 2" xfId="187" xr:uid="{00000000-0005-0000-0000-000018010000}"/>
    <cellStyle name="Título 4 2" xfId="188" xr:uid="{00000000-0005-0000-0000-000019010000}"/>
    <cellStyle name="Título 5" xfId="189" xr:uid="{00000000-0005-0000-0000-00001A010000}"/>
    <cellStyle name="Título 5 2" xfId="190" xr:uid="{00000000-0005-0000-0000-00001B010000}"/>
    <cellStyle name="Título 6" xfId="191" xr:uid="{00000000-0005-0000-0000-00001C010000}"/>
    <cellStyle name="Título 7" xfId="192" xr:uid="{00000000-0005-0000-0000-00001D010000}"/>
    <cellStyle name="Título 8" xfId="193" xr:uid="{00000000-0005-0000-0000-00001E010000}"/>
    <cellStyle name="Total 2" xfId="194" xr:uid="{00000000-0005-0000-0000-00001F010000}"/>
    <cellStyle name="Vírgula" xfId="211" builtinId="3"/>
    <cellStyle name="Vírgula 2" xfId="11" xr:uid="{00000000-0005-0000-0000-000020010000}"/>
    <cellStyle name="Vírgula 2 2" xfId="195" xr:uid="{00000000-0005-0000-0000-000021010000}"/>
    <cellStyle name="Vírgula 2 2 4" xfId="298" xr:uid="{00000000-0005-0000-0000-000022010000}"/>
    <cellStyle name="Vírgula 3" xfId="2" xr:uid="{00000000-0005-0000-0000-000023010000}"/>
    <cellStyle name="Vírgula 3 2" xfId="206" xr:uid="{00000000-0005-0000-0000-000024010000}"/>
    <cellStyle name="Vírgula 3 3" xfId="210" xr:uid="{00000000-0005-0000-0000-000025010000}"/>
    <cellStyle name="Vírgula 4" xfId="196" xr:uid="{00000000-0005-0000-0000-000026010000}"/>
    <cellStyle name="Vírgula 5" xfId="197" xr:uid="{00000000-0005-0000-0000-000027010000}"/>
    <cellStyle name="Vírgula 6" xfId="198" xr:uid="{00000000-0005-0000-0000-000028010000}"/>
    <cellStyle name="Warning Text 2" xfId="292" xr:uid="{00000000-0005-0000-0000-000029010000}"/>
    <cellStyle name="Warning Text 3" xfId="293" xr:uid="{00000000-0005-0000-0000-00002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7489031" cy="1064081"/>
    <xdr:pic>
      <xdr:nvPicPr>
        <xdr:cNvPr id="2" name="Picture 1" descr="https://oorcamentista.com.br/wp-content/uploads/2018/02/formula-bdi.jpg">
          <a:extLst>
            <a:ext uri="{FF2B5EF4-FFF2-40B4-BE49-F238E27FC236}">
              <a16:creationId xmlns:a16="http://schemas.microsoft.com/office/drawing/2014/main" id="{392F9340-C38B-4612-BC33-A8E585CF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59"/>
        <a:stretch>
          <a:fillRect/>
        </a:stretch>
      </xdr:blipFill>
      <xdr:spPr bwMode="auto">
        <a:xfrm>
          <a:off x="381000" y="11549063"/>
          <a:ext cx="7489031" cy="106408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ENGENHARIA/DEPARTAMENTO%20DE%20ENGENHARIA/Equipe%20T&#233;cnica/ESTAGI&#193;RIOS/Ronaldo/OR&#199;AMENTO%20TJ-PICOS-2018-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e/AppData/Local/Microsoft/Windows/Temporary%20Internet%20Files/Content.IE5/RA6RDOWS/Composi&#231;&#245;es%20instala&#231;&#245;es%20EMAI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/Desktop/OR&#199;AMENTOS/EJUD/OR&#199;AMENTO%20EJUD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&#244;nica/AppData/Local/Microsoft/Windows/Temporary%20Internet%20Files/Content.IE5/57YLY3LQ/Or&#231;amento_Beneditinos_Atualiz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Engenharia/DEPARTAMENTO%20DE%20ENGENHARIA/Documentos/Projeto%20B&#225;sico/2017/Projeto%20B&#225;sico%20-%20Reforma%20Estrutural%20S&#227;o%20Raimundo%20Nonato/Or&#231;.%20Reforma%20Estrutural%20SRN-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&#193;RIA%20E%20PLUVIAIS/SANIT&#193;RIA/DOCUME~1/ANA~1.LIM/CONFIG~1/Temp/WINDOWS/Desktop/Meus%20Patr&#245;es/RG%20CONSTRU&#199;&#213;ES/SAA/Teresina-Planilha-Or&#231;amento-Serv%20Redes%20Aba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Engenharia/DEPARTAMENTO%20DE%20ENGENHARIA/Documentos/Projeto%20B&#225;sico/2016/Projeto%20B&#225;sico%20-%20Reforma%20do%20F&#243;rum%20de%20Barras/Or&#231;amento%20Reforma%20de%20Barras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iel\c\Meus%20documentos\UFPI\COMPOSI&#199;&#195;O%20LOJAS%209%20CV-30%2001-07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osi&#231;&#245;es%20civil(qs%20ok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du-corre&#231;&#227;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uel/Desktop/ORC_TJPI_CORREGEDORIA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Orçamento"/>
      <sheetName val="Resumo"/>
      <sheetName val="Cronograma (1º)"/>
      <sheetName val="Cronograma"/>
      <sheetName val="LSO"/>
      <sheetName val="BDI"/>
      <sheetName val="IA"/>
      <sheetName val="CM"/>
      <sheetName val="Composições"/>
      <sheetName val="M_deCálculo"/>
      <sheetName val="Res_M_deCálculo"/>
      <sheetName val="DistPolos"/>
      <sheetName val="Insumos"/>
      <sheetName val="S-I-02-18"/>
      <sheetName val="S-C-02-18"/>
      <sheetName val="O-I-01-18"/>
      <sheetName val="O-C-01-18"/>
      <sheetName val="BDI (MATERIAL)"/>
    </sheetNames>
    <sheetDataSet>
      <sheetData sheetId="0">
        <row r="15">
          <cell r="B15" t="str">
            <v>PICOS</v>
          </cell>
        </row>
      </sheetData>
      <sheetData sheetId="1">
        <row r="722">
          <cell r="F722">
            <v>8608831.5500000007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F2">
            <v>981.2</v>
          </cell>
        </row>
        <row r="15">
          <cell r="H15">
            <v>46.42</v>
          </cell>
        </row>
        <row r="16">
          <cell r="H16">
            <v>15.3</v>
          </cell>
        </row>
        <row r="18">
          <cell r="H18">
            <v>13.48</v>
          </cell>
        </row>
        <row r="19">
          <cell r="H19">
            <v>10.119999999999999</v>
          </cell>
        </row>
        <row r="20">
          <cell r="H20">
            <v>16.440000000000001</v>
          </cell>
        </row>
        <row r="24">
          <cell r="H24">
            <v>7.08</v>
          </cell>
        </row>
        <row r="25">
          <cell r="H25">
            <v>11.09</v>
          </cell>
        </row>
        <row r="26">
          <cell r="H26">
            <v>4.99</v>
          </cell>
        </row>
        <row r="27">
          <cell r="H27">
            <v>4.95</v>
          </cell>
        </row>
        <row r="28">
          <cell r="H28">
            <v>6.5</v>
          </cell>
        </row>
        <row r="29">
          <cell r="H29">
            <v>8.31</v>
          </cell>
        </row>
        <row r="33">
          <cell r="H33">
            <v>4.8499999999999996</v>
          </cell>
        </row>
        <row r="44">
          <cell r="H44">
            <v>46.19</v>
          </cell>
        </row>
        <row r="45">
          <cell r="H45">
            <v>46.19</v>
          </cell>
        </row>
        <row r="46">
          <cell r="H46">
            <v>0.13</v>
          </cell>
        </row>
        <row r="48">
          <cell r="H48">
            <v>0.46</v>
          </cell>
        </row>
        <row r="51">
          <cell r="H51">
            <v>86.25</v>
          </cell>
        </row>
        <row r="52">
          <cell r="H52">
            <v>5</v>
          </cell>
        </row>
        <row r="55">
          <cell r="H55">
            <v>1.6</v>
          </cell>
        </row>
        <row r="56">
          <cell r="H56">
            <v>25.23</v>
          </cell>
        </row>
        <row r="57">
          <cell r="H57">
            <v>61.1</v>
          </cell>
        </row>
        <row r="58">
          <cell r="H58">
            <v>0.06</v>
          </cell>
        </row>
        <row r="59">
          <cell r="H59">
            <v>8.4499999999999993</v>
          </cell>
        </row>
        <row r="67">
          <cell r="H67">
            <v>15</v>
          </cell>
        </row>
        <row r="73">
          <cell r="H73">
            <v>12.94</v>
          </cell>
        </row>
        <row r="77">
          <cell r="H77">
            <v>121.14</v>
          </cell>
        </row>
        <row r="78">
          <cell r="H78">
            <v>35.14</v>
          </cell>
        </row>
        <row r="79">
          <cell r="H79">
            <v>60.09</v>
          </cell>
        </row>
        <row r="81">
          <cell r="H81">
            <v>7.82</v>
          </cell>
        </row>
        <row r="82">
          <cell r="H82">
            <v>27.25</v>
          </cell>
        </row>
        <row r="83">
          <cell r="H83" t="e">
            <v>#N/A</v>
          </cell>
        </row>
        <row r="86">
          <cell r="H86">
            <v>3.71</v>
          </cell>
        </row>
        <row r="87">
          <cell r="H87">
            <v>3.74</v>
          </cell>
        </row>
        <row r="88">
          <cell r="H88">
            <v>3.74</v>
          </cell>
        </row>
        <row r="89">
          <cell r="H89">
            <v>3.74</v>
          </cell>
        </row>
        <row r="90">
          <cell r="H90">
            <v>4.42</v>
          </cell>
        </row>
        <row r="91">
          <cell r="H91">
            <v>3.76</v>
          </cell>
        </row>
        <row r="93">
          <cell r="H93">
            <v>3.58</v>
          </cell>
        </row>
        <row r="94">
          <cell r="H94">
            <v>3.73</v>
          </cell>
        </row>
        <row r="95">
          <cell r="H95">
            <v>3.73</v>
          </cell>
        </row>
        <row r="97">
          <cell r="H97">
            <v>11.24</v>
          </cell>
        </row>
        <row r="98">
          <cell r="H98">
            <v>12.7</v>
          </cell>
        </row>
        <row r="99">
          <cell r="H99">
            <v>13</v>
          </cell>
        </row>
        <row r="100">
          <cell r="H100">
            <v>0.65</v>
          </cell>
        </row>
        <row r="101">
          <cell r="H101">
            <v>8.73</v>
          </cell>
        </row>
        <row r="103">
          <cell r="H103">
            <v>33.94</v>
          </cell>
        </row>
        <row r="104">
          <cell r="H104">
            <v>9.4700000000000006</v>
          </cell>
        </row>
        <row r="105">
          <cell r="H105">
            <v>11.97</v>
          </cell>
        </row>
        <row r="106">
          <cell r="H106">
            <v>16.149999999999999</v>
          </cell>
        </row>
        <row r="107">
          <cell r="H107">
            <v>22.41</v>
          </cell>
        </row>
        <row r="111">
          <cell r="H111">
            <v>62.7</v>
          </cell>
        </row>
        <row r="112">
          <cell r="H112">
            <v>86.35</v>
          </cell>
        </row>
        <row r="113">
          <cell r="H113">
            <v>129.29</v>
          </cell>
        </row>
        <row r="114">
          <cell r="H114">
            <v>140.21</v>
          </cell>
        </row>
        <row r="115">
          <cell r="H115">
            <v>13.17</v>
          </cell>
        </row>
        <row r="116">
          <cell r="H116">
            <v>16.86</v>
          </cell>
        </row>
        <row r="117">
          <cell r="H117">
            <v>20.83</v>
          </cell>
        </row>
        <row r="118">
          <cell r="H118">
            <v>26.04</v>
          </cell>
        </row>
        <row r="119">
          <cell r="H119">
            <v>36.26</v>
          </cell>
        </row>
        <row r="120">
          <cell r="H120">
            <v>44.63</v>
          </cell>
        </row>
        <row r="121">
          <cell r="H121">
            <v>27.38</v>
          </cell>
        </row>
        <row r="122">
          <cell r="H122">
            <v>81.16</v>
          </cell>
        </row>
        <row r="123">
          <cell r="H123">
            <v>133.91</v>
          </cell>
        </row>
        <row r="124">
          <cell r="H124">
            <v>58.09</v>
          </cell>
        </row>
        <row r="125">
          <cell r="H125">
            <v>10.52</v>
          </cell>
        </row>
        <row r="126">
          <cell r="H126">
            <v>47.43</v>
          </cell>
        </row>
        <row r="127">
          <cell r="H127">
            <v>18.16</v>
          </cell>
        </row>
        <row r="128">
          <cell r="H128">
            <v>14.6</v>
          </cell>
        </row>
        <row r="129">
          <cell r="H129">
            <v>149.9</v>
          </cell>
        </row>
        <row r="130">
          <cell r="H130">
            <v>215.86</v>
          </cell>
        </row>
        <row r="131">
          <cell r="H131">
            <v>149.07</v>
          </cell>
        </row>
        <row r="132">
          <cell r="H132">
            <v>99.38</v>
          </cell>
        </row>
        <row r="133">
          <cell r="H133">
            <v>8.26</v>
          </cell>
        </row>
        <row r="136">
          <cell r="H136">
            <v>5.28</v>
          </cell>
        </row>
        <row r="140">
          <cell r="H140">
            <v>4.47</v>
          </cell>
        </row>
        <row r="147">
          <cell r="H147">
            <v>5.56</v>
          </cell>
        </row>
        <row r="148">
          <cell r="H148">
            <v>5.34</v>
          </cell>
        </row>
        <row r="149">
          <cell r="H149">
            <v>5.18</v>
          </cell>
        </row>
        <row r="150">
          <cell r="H150">
            <v>5.65</v>
          </cell>
        </row>
        <row r="151">
          <cell r="H151">
            <v>5.43</v>
          </cell>
        </row>
        <row r="152">
          <cell r="H152">
            <v>111.18</v>
          </cell>
        </row>
        <row r="153">
          <cell r="H153">
            <v>127.7</v>
          </cell>
        </row>
        <row r="154">
          <cell r="H154">
            <v>149.9</v>
          </cell>
        </row>
        <row r="155">
          <cell r="H155">
            <v>173.5</v>
          </cell>
        </row>
        <row r="156">
          <cell r="H156">
            <v>260.25</v>
          </cell>
        </row>
        <row r="157">
          <cell r="H157">
            <v>4.4800000000000004</v>
          </cell>
        </row>
        <row r="158">
          <cell r="H158">
            <v>4.3099999999999996</v>
          </cell>
        </row>
        <row r="159">
          <cell r="H159">
            <v>4.3499999999999996</v>
          </cell>
        </row>
        <row r="160">
          <cell r="H160">
            <v>4.3099999999999996</v>
          </cell>
        </row>
        <row r="161">
          <cell r="H161">
            <v>4.29</v>
          </cell>
        </row>
        <row r="162">
          <cell r="H162">
            <v>4.3099999999999996</v>
          </cell>
        </row>
        <row r="163">
          <cell r="H163">
            <v>4.3099999999999996</v>
          </cell>
        </row>
        <row r="164">
          <cell r="H164">
            <v>4.3099999999999996</v>
          </cell>
        </row>
        <row r="165">
          <cell r="H165">
            <v>5.51</v>
          </cell>
        </row>
        <row r="166">
          <cell r="H166">
            <v>5.01</v>
          </cell>
        </row>
        <row r="167">
          <cell r="H167">
            <v>5.0599999999999996</v>
          </cell>
        </row>
        <row r="168">
          <cell r="H168">
            <v>5.0599999999999996</v>
          </cell>
        </row>
        <row r="169">
          <cell r="H169">
            <v>5.0599999999999996</v>
          </cell>
        </row>
        <row r="170">
          <cell r="H170">
            <v>5.0599999999999996</v>
          </cell>
        </row>
        <row r="171">
          <cell r="H171">
            <v>121.63</v>
          </cell>
        </row>
        <row r="172">
          <cell r="H172">
            <v>5.18</v>
          </cell>
        </row>
        <row r="173">
          <cell r="H173">
            <v>12.97</v>
          </cell>
        </row>
        <row r="174">
          <cell r="H174">
            <v>24.7</v>
          </cell>
        </row>
        <row r="177">
          <cell r="H177">
            <v>61.66</v>
          </cell>
        </row>
        <row r="178">
          <cell r="H178">
            <v>27.36</v>
          </cell>
        </row>
        <row r="179">
          <cell r="H179">
            <v>30.4</v>
          </cell>
        </row>
        <row r="181">
          <cell r="H181">
            <v>24.2</v>
          </cell>
        </row>
        <row r="182">
          <cell r="H182">
            <v>30.25</v>
          </cell>
        </row>
        <row r="184">
          <cell r="H184">
            <v>26.62</v>
          </cell>
        </row>
        <row r="185">
          <cell r="H185">
            <v>31.25</v>
          </cell>
        </row>
        <row r="187">
          <cell r="H187">
            <v>50.8</v>
          </cell>
        </row>
        <row r="195">
          <cell r="H195">
            <v>0.9</v>
          </cell>
        </row>
        <row r="196">
          <cell r="H196">
            <v>1.37</v>
          </cell>
        </row>
        <row r="197">
          <cell r="H197">
            <v>1.19</v>
          </cell>
        </row>
        <row r="199">
          <cell r="H199">
            <v>16.07</v>
          </cell>
        </row>
        <row r="200">
          <cell r="H200">
            <v>56.79</v>
          </cell>
        </row>
        <row r="201">
          <cell r="H201">
            <v>42.11</v>
          </cell>
        </row>
        <row r="202">
          <cell r="H202">
            <v>42.24</v>
          </cell>
        </row>
        <row r="203">
          <cell r="H203">
            <v>5.98</v>
          </cell>
        </row>
        <row r="209">
          <cell r="H209">
            <v>23.03</v>
          </cell>
        </row>
        <row r="210">
          <cell r="H210">
            <v>10</v>
          </cell>
        </row>
        <row r="211">
          <cell r="H211">
            <v>11</v>
          </cell>
        </row>
        <row r="213">
          <cell r="H213">
            <v>1.33</v>
          </cell>
        </row>
        <row r="214">
          <cell r="H214">
            <v>15</v>
          </cell>
        </row>
        <row r="215">
          <cell r="H215">
            <v>3130</v>
          </cell>
        </row>
        <row r="216">
          <cell r="H216">
            <v>1440</v>
          </cell>
        </row>
        <row r="217">
          <cell r="H217">
            <v>1964.62</v>
          </cell>
        </row>
        <row r="222">
          <cell r="H222">
            <v>87.56</v>
          </cell>
        </row>
        <row r="223">
          <cell r="H223">
            <v>75.05</v>
          </cell>
        </row>
        <row r="224">
          <cell r="H224">
            <v>64.900000000000006</v>
          </cell>
        </row>
        <row r="225">
          <cell r="H225">
            <v>37</v>
          </cell>
        </row>
        <row r="226">
          <cell r="H226">
            <v>243.11</v>
          </cell>
        </row>
        <row r="227">
          <cell r="H227">
            <v>5.08</v>
          </cell>
        </row>
        <row r="228">
          <cell r="H228">
            <v>30</v>
          </cell>
        </row>
        <row r="229">
          <cell r="H229">
            <v>23</v>
          </cell>
        </row>
        <row r="230">
          <cell r="H230">
            <v>24</v>
          </cell>
        </row>
        <row r="231">
          <cell r="H231">
            <v>25</v>
          </cell>
        </row>
        <row r="232">
          <cell r="H232">
            <v>23.85</v>
          </cell>
        </row>
        <row r="233">
          <cell r="H233">
            <v>4.5</v>
          </cell>
        </row>
        <row r="234">
          <cell r="H234">
            <v>45.88</v>
          </cell>
        </row>
        <row r="235">
          <cell r="H235">
            <v>50.47</v>
          </cell>
        </row>
        <row r="244">
          <cell r="H244">
            <v>284.23</v>
          </cell>
        </row>
        <row r="246">
          <cell r="H246">
            <v>154.94999999999999</v>
          </cell>
        </row>
        <row r="250">
          <cell r="H250">
            <v>436.7525615986018</v>
          </cell>
        </row>
        <row r="251">
          <cell r="H251">
            <v>436.2169546182356</v>
          </cell>
        </row>
        <row r="252">
          <cell r="H252">
            <v>219.58535533932752</v>
          </cell>
        </row>
        <row r="261">
          <cell r="H261">
            <v>28.49</v>
          </cell>
        </row>
        <row r="263">
          <cell r="H263">
            <v>52.77</v>
          </cell>
        </row>
        <row r="275">
          <cell r="H275">
            <v>22.22</v>
          </cell>
        </row>
        <row r="277">
          <cell r="H277">
            <v>20.7</v>
          </cell>
        </row>
        <row r="278">
          <cell r="H278">
            <v>41</v>
          </cell>
        </row>
        <row r="279">
          <cell r="H279">
            <v>146.5</v>
          </cell>
        </row>
        <row r="280">
          <cell r="H280">
            <v>45</v>
          </cell>
        </row>
        <row r="282">
          <cell r="H282">
            <v>36.81</v>
          </cell>
        </row>
        <row r="283">
          <cell r="H283">
            <v>19.309999999999999</v>
          </cell>
        </row>
        <row r="286">
          <cell r="H286">
            <v>198.9</v>
          </cell>
        </row>
        <row r="287">
          <cell r="H287">
            <v>8.42</v>
          </cell>
        </row>
        <row r="288">
          <cell r="H288">
            <v>5.22</v>
          </cell>
        </row>
        <row r="289">
          <cell r="H289">
            <v>19.37</v>
          </cell>
        </row>
        <row r="290">
          <cell r="H290">
            <v>16</v>
          </cell>
        </row>
        <row r="292">
          <cell r="H292">
            <v>30</v>
          </cell>
        </row>
        <row r="293">
          <cell r="H293">
            <v>2.52</v>
          </cell>
        </row>
        <row r="294">
          <cell r="H294">
            <v>7.98</v>
          </cell>
        </row>
        <row r="296">
          <cell r="H296">
            <v>1012</v>
          </cell>
        </row>
        <row r="297">
          <cell r="H297">
            <v>472.16</v>
          </cell>
        </row>
        <row r="298">
          <cell r="H298">
            <v>31</v>
          </cell>
        </row>
        <row r="301">
          <cell r="H301">
            <v>2.44</v>
          </cell>
        </row>
        <row r="302">
          <cell r="H302">
            <v>23.42</v>
          </cell>
        </row>
        <row r="303">
          <cell r="H303">
            <v>23.91</v>
          </cell>
        </row>
        <row r="304">
          <cell r="H304">
            <v>24.4</v>
          </cell>
        </row>
        <row r="305">
          <cell r="H305">
            <v>24.89</v>
          </cell>
        </row>
        <row r="306">
          <cell r="H306">
            <v>15.62</v>
          </cell>
        </row>
        <row r="307">
          <cell r="H307">
            <v>16.59</v>
          </cell>
        </row>
        <row r="308">
          <cell r="H308">
            <v>18.059999999999999</v>
          </cell>
        </row>
        <row r="309">
          <cell r="H309">
            <v>3.17</v>
          </cell>
        </row>
        <row r="310">
          <cell r="H310">
            <v>30.43</v>
          </cell>
        </row>
        <row r="311">
          <cell r="H311">
            <v>31.07</v>
          </cell>
        </row>
        <row r="312">
          <cell r="H312">
            <v>31.7</v>
          </cell>
        </row>
        <row r="313">
          <cell r="H313">
            <v>32.33</v>
          </cell>
        </row>
        <row r="314">
          <cell r="H314">
            <v>20.29</v>
          </cell>
        </row>
        <row r="315">
          <cell r="H315">
            <v>21.56</v>
          </cell>
        </row>
        <row r="316">
          <cell r="H316">
            <v>23.46</v>
          </cell>
        </row>
        <row r="321">
          <cell r="H321">
            <v>69.400000000000006</v>
          </cell>
        </row>
        <row r="322">
          <cell r="H322">
            <v>82.15</v>
          </cell>
        </row>
        <row r="323">
          <cell r="H323">
            <v>87.81</v>
          </cell>
        </row>
        <row r="327">
          <cell r="H327">
            <v>46.36</v>
          </cell>
        </row>
        <row r="328">
          <cell r="H328">
            <v>85.3</v>
          </cell>
        </row>
        <row r="330">
          <cell r="H330">
            <v>1.26</v>
          </cell>
        </row>
        <row r="331">
          <cell r="H331">
            <v>6.08</v>
          </cell>
        </row>
        <row r="334">
          <cell r="H334">
            <v>0.03</v>
          </cell>
        </row>
        <row r="338">
          <cell r="H338">
            <v>0.36</v>
          </cell>
        </row>
        <row r="339">
          <cell r="H339">
            <v>7.0000000000000007E-2</v>
          </cell>
        </row>
        <row r="340">
          <cell r="H340">
            <v>0.36</v>
          </cell>
        </row>
        <row r="341">
          <cell r="H341">
            <v>1.17</v>
          </cell>
        </row>
        <row r="342">
          <cell r="H342">
            <v>0.6</v>
          </cell>
        </row>
        <row r="343">
          <cell r="H343">
            <v>0.15</v>
          </cell>
        </row>
        <row r="344">
          <cell r="H344">
            <v>0.37</v>
          </cell>
        </row>
        <row r="345">
          <cell r="H345">
            <v>0.85</v>
          </cell>
        </row>
        <row r="348">
          <cell r="H348">
            <v>0.49</v>
          </cell>
        </row>
        <row r="349">
          <cell r="H349">
            <v>0.16</v>
          </cell>
        </row>
        <row r="351">
          <cell r="H351">
            <v>8.64</v>
          </cell>
        </row>
        <row r="352">
          <cell r="H352">
            <v>8.5</v>
          </cell>
        </row>
        <row r="353">
          <cell r="H353">
            <v>9.57</v>
          </cell>
        </row>
        <row r="354">
          <cell r="H354">
            <v>8.64</v>
          </cell>
        </row>
        <row r="355">
          <cell r="H355">
            <v>0.03</v>
          </cell>
        </row>
        <row r="356">
          <cell r="H356">
            <v>0.04</v>
          </cell>
        </row>
        <row r="357">
          <cell r="H357">
            <v>0.06</v>
          </cell>
        </row>
        <row r="358">
          <cell r="H358">
            <v>0.11</v>
          </cell>
        </row>
        <row r="361">
          <cell r="H361">
            <v>0.11</v>
          </cell>
        </row>
        <row r="362">
          <cell r="H362">
            <v>0.84</v>
          </cell>
        </row>
        <row r="365">
          <cell r="H365">
            <v>141.6</v>
          </cell>
        </row>
        <row r="366">
          <cell r="H366">
            <v>316.39</v>
          </cell>
        </row>
        <row r="368">
          <cell r="H368">
            <v>278.77999999999997</v>
          </cell>
        </row>
        <row r="369">
          <cell r="H369">
            <v>325.24</v>
          </cell>
        </row>
        <row r="370">
          <cell r="H370">
            <v>371.7</v>
          </cell>
        </row>
        <row r="371">
          <cell r="H371">
            <v>404.22</v>
          </cell>
        </row>
        <row r="372">
          <cell r="H372">
            <v>418.16</v>
          </cell>
        </row>
        <row r="373">
          <cell r="H373">
            <v>464.63</v>
          </cell>
        </row>
        <row r="378">
          <cell r="H378">
            <v>434.42</v>
          </cell>
        </row>
        <row r="379">
          <cell r="H379">
            <v>851.15</v>
          </cell>
        </row>
        <row r="380">
          <cell r="H380">
            <v>957.54</v>
          </cell>
        </row>
        <row r="381">
          <cell r="H381">
            <v>612.29999999999995</v>
          </cell>
        </row>
        <row r="382">
          <cell r="H382">
            <v>117.72</v>
          </cell>
        </row>
        <row r="386">
          <cell r="H386">
            <v>489.91</v>
          </cell>
        </row>
        <row r="387">
          <cell r="H387">
            <v>800.19</v>
          </cell>
        </row>
        <row r="388">
          <cell r="H388">
            <v>558.26</v>
          </cell>
        </row>
        <row r="389">
          <cell r="H389">
            <v>3429.39</v>
          </cell>
        </row>
        <row r="390">
          <cell r="H390">
            <v>1916.1</v>
          </cell>
        </row>
        <row r="391">
          <cell r="H391">
            <v>2874.15</v>
          </cell>
        </row>
        <row r="393">
          <cell r="H393">
            <v>5715.64</v>
          </cell>
        </row>
        <row r="394">
          <cell r="H394">
            <v>5443.47</v>
          </cell>
        </row>
        <row r="395">
          <cell r="H395">
            <v>2177.39</v>
          </cell>
        </row>
        <row r="396">
          <cell r="H396">
            <v>592.55999999999995</v>
          </cell>
        </row>
        <row r="397">
          <cell r="H397">
            <v>452.91</v>
          </cell>
        </row>
        <row r="401">
          <cell r="H401">
            <v>99.09</v>
          </cell>
        </row>
        <row r="402">
          <cell r="H402">
            <v>107.81</v>
          </cell>
        </row>
        <row r="403">
          <cell r="H403">
            <v>113.94</v>
          </cell>
        </row>
        <row r="404">
          <cell r="H404">
            <v>140.22999999999999</v>
          </cell>
        </row>
        <row r="406">
          <cell r="H406">
            <v>72.83</v>
          </cell>
        </row>
        <row r="409">
          <cell r="H409">
            <v>157.31</v>
          </cell>
        </row>
        <row r="415">
          <cell r="H415">
            <v>227.23</v>
          </cell>
        </row>
        <row r="416">
          <cell r="H416">
            <v>262.19</v>
          </cell>
        </row>
        <row r="418">
          <cell r="H418">
            <v>192.23</v>
          </cell>
        </row>
        <row r="421">
          <cell r="H421">
            <v>92.27</v>
          </cell>
        </row>
        <row r="423">
          <cell r="H423">
            <v>184.54</v>
          </cell>
        </row>
        <row r="427">
          <cell r="H427">
            <v>291.32</v>
          </cell>
        </row>
        <row r="428">
          <cell r="H428">
            <v>436.98</v>
          </cell>
        </row>
        <row r="429">
          <cell r="H429">
            <v>364.15</v>
          </cell>
        </row>
        <row r="430">
          <cell r="H430">
            <v>291.32</v>
          </cell>
        </row>
        <row r="431">
          <cell r="H431">
            <v>314.63</v>
          </cell>
        </row>
        <row r="432">
          <cell r="H432">
            <v>218.49</v>
          </cell>
        </row>
        <row r="433">
          <cell r="H433">
            <v>174.79</v>
          </cell>
        </row>
        <row r="434">
          <cell r="H434">
            <v>145.66</v>
          </cell>
        </row>
        <row r="435">
          <cell r="H435">
            <v>139.83000000000001</v>
          </cell>
        </row>
        <row r="436">
          <cell r="H436">
            <v>116.53</v>
          </cell>
        </row>
        <row r="437">
          <cell r="H437">
            <v>72.83</v>
          </cell>
        </row>
        <row r="438">
          <cell r="H438">
            <v>43.7</v>
          </cell>
        </row>
        <row r="439">
          <cell r="H439">
            <v>52.44</v>
          </cell>
        </row>
        <row r="444">
          <cell r="H444">
            <v>406.71</v>
          </cell>
        </row>
        <row r="445">
          <cell r="H445">
            <v>364.81</v>
          </cell>
        </row>
        <row r="448">
          <cell r="H448">
            <v>1006.79</v>
          </cell>
        </row>
        <row r="449">
          <cell r="H449">
            <v>823.73</v>
          </cell>
        </row>
        <row r="450">
          <cell r="H450">
            <v>1963.23</v>
          </cell>
        </row>
        <row r="451">
          <cell r="H451">
            <v>1812.21</v>
          </cell>
        </row>
        <row r="452">
          <cell r="H452">
            <v>1560.52</v>
          </cell>
        </row>
        <row r="458">
          <cell r="H458">
            <v>325.35000000000002</v>
          </cell>
        </row>
        <row r="459">
          <cell r="H459">
            <v>384.5</v>
          </cell>
        </row>
        <row r="460">
          <cell r="H460">
            <v>517.97</v>
          </cell>
        </row>
        <row r="462">
          <cell r="H462">
            <v>6875</v>
          </cell>
        </row>
        <row r="466">
          <cell r="H466">
            <v>1400</v>
          </cell>
        </row>
        <row r="467">
          <cell r="H467">
            <v>1600</v>
          </cell>
        </row>
        <row r="468">
          <cell r="H468">
            <v>2000</v>
          </cell>
        </row>
        <row r="469">
          <cell r="H469">
            <v>2400</v>
          </cell>
        </row>
        <row r="470">
          <cell r="H470">
            <v>309.89</v>
          </cell>
        </row>
        <row r="471">
          <cell r="H471">
            <v>92.97</v>
          </cell>
        </row>
        <row r="476">
          <cell r="H476">
            <v>92.7</v>
          </cell>
        </row>
        <row r="478">
          <cell r="H478">
            <v>136.9</v>
          </cell>
        </row>
        <row r="479">
          <cell r="H479">
            <v>182.54</v>
          </cell>
        </row>
        <row r="480">
          <cell r="H480">
            <v>205.36</v>
          </cell>
        </row>
        <row r="481">
          <cell r="H481">
            <v>179.69</v>
          </cell>
        </row>
        <row r="485">
          <cell r="H485">
            <v>224.6</v>
          </cell>
        </row>
        <row r="486">
          <cell r="H486">
            <v>399.3</v>
          </cell>
        </row>
        <row r="487">
          <cell r="H487">
            <v>449.22</v>
          </cell>
        </row>
        <row r="488">
          <cell r="H488">
            <v>499.13</v>
          </cell>
        </row>
        <row r="511">
          <cell r="H511">
            <v>295.83999999999997</v>
          </cell>
        </row>
        <row r="512">
          <cell r="H512">
            <v>882.84</v>
          </cell>
        </row>
        <row r="518">
          <cell r="H518">
            <v>19.54</v>
          </cell>
        </row>
        <row r="520">
          <cell r="H520">
            <v>35</v>
          </cell>
        </row>
        <row r="521">
          <cell r="H521">
            <v>52.97</v>
          </cell>
        </row>
        <row r="522">
          <cell r="H522">
            <v>28.3</v>
          </cell>
        </row>
        <row r="527">
          <cell r="H527">
            <v>12.49</v>
          </cell>
        </row>
        <row r="528">
          <cell r="H528">
            <v>42.38</v>
          </cell>
        </row>
        <row r="529">
          <cell r="H529">
            <v>21.45</v>
          </cell>
        </row>
        <row r="530">
          <cell r="H530">
            <v>17.100000000000001</v>
          </cell>
        </row>
        <row r="531">
          <cell r="H531">
            <v>1.92</v>
          </cell>
        </row>
        <row r="532">
          <cell r="H532">
            <v>21.2</v>
          </cell>
        </row>
        <row r="533">
          <cell r="H533">
            <v>21.2</v>
          </cell>
        </row>
        <row r="534">
          <cell r="H534">
            <v>18.7</v>
          </cell>
        </row>
        <row r="537">
          <cell r="H537">
            <v>247.16</v>
          </cell>
        </row>
        <row r="538">
          <cell r="H538">
            <v>494.33</v>
          </cell>
        </row>
        <row r="541">
          <cell r="H541">
            <v>3.18</v>
          </cell>
        </row>
        <row r="543">
          <cell r="H543">
            <v>2.19</v>
          </cell>
        </row>
        <row r="546">
          <cell r="H546">
            <v>5.43</v>
          </cell>
        </row>
        <row r="551">
          <cell r="H551">
            <v>151.80000000000001</v>
          </cell>
        </row>
        <row r="552">
          <cell r="H552">
            <v>69</v>
          </cell>
        </row>
        <row r="555">
          <cell r="H555">
            <v>1802.79</v>
          </cell>
        </row>
        <row r="556">
          <cell r="H556">
            <v>1286.54</v>
          </cell>
        </row>
        <row r="557">
          <cell r="H557">
            <v>1054.67</v>
          </cell>
        </row>
        <row r="565">
          <cell r="H565">
            <v>66.240000000000009</v>
          </cell>
        </row>
        <row r="566">
          <cell r="H566">
            <v>37.17</v>
          </cell>
        </row>
        <row r="567">
          <cell r="H567">
            <v>29.07</v>
          </cell>
        </row>
        <row r="569">
          <cell r="H569">
            <v>79.66</v>
          </cell>
        </row>
        <row r="570">
          <cell r="H570">
            <v>156.66999999999999</v>
          </cell>
        </row>
        <row r="571">
          <cell r="H571">
            <v>12.77</v>
          </cell>
        </row>
        <row r="572">
          <cell r="H572">
            <v>34.94</v>
          </cell>
        </row>
        <row r="573">
          <cell r="H573">
            <v>73.02</v>
          </cell>
        </row>
        <row r="575">
          <cell r="H575">
            <v>2.69</v>
          </cell>
        </row>
        <row r="582">
          <cell r="H582">
            <v>73.14</v>
          </cell>
        </row>
        <row r="586">
          <cell r="H586">
            <v>41.55</v>
          </cell>
        </row>
        <row r="587">
          <cell r="H587">
            <v>12.31</v>
          </cell>
        </row>
        <row r="590">
          <cell r="H590">
            <v>36.159999999999997</v>
          </cell>
        </row>
        <row r="591">
          <cell r="H591">
            <v>33.83</v>
          </cell>
        </row>
        <row r="592">
          <cell r="H592">
            <v>33.83</v>
          </cell>
        </row>
        <row r="593">
          <cell r="H593">
            <v>136.83000000000001</v>
          </cell>
        </row>
        <row r="594">
          <cell r="H594">
            <v>45.74</v>
          </cell>
        </row>
        <row r="601">
          <cell r="H601">
            <v>723.51</v>
          </cell>
        </row>
        <row r="602">
          <cell r="H602">
            <v>59.03</v>
          </cell>
        </row>
        <row r="603">
          <cell r="H603">
            <v>37.29</v>
          </cell>
        </row>
        <row r="609">
          <cell r="H609">
            <v>32.9</v>
          </cell>
        </row>
        <row r="611">
          <cell r="H611">
            <v>16.57</v>
          </cell>
        </row>
        <row r="621">
          <cell r="H621">
            <v>7.31</v>
          </cell>
        </row>
        <row r="635">
          <cell r="H635">
            <v>15.43</v>
          </cell>
        </row>
        <row r="640">
          <cell r="H640">
            <v>10.67</v>
          </cell>
        </row>
        <row r="641">
          <cell r="H641">
            <v>11.85</v>
          </cell>
        </row>
        <row r="642">
          <cell r="H642">
            <v>1.84</v>
          </cell>
        </row>
        <row r="644">
          <cell r="H644">
            <v>3.91</v>
          </cell>
        </row>
        <row r="646">
          <cell r="H646">
            <v>152.21</v>
          </cell>
        </row>
        <row r="647">
          <cell r="H647">
            <v>133.1</v>
          </cell>
        </row>
        <row r="648">
          <cell r="H648">
            <v>14.77</v>
          </cell>
        </row>
        <row r="649">
          <cell r="H649">
            <v>16</v>
          </cell>
        </row>
        <row r="650">
          <cell r="H650">
            <v>17.23</v>
          </cell>
        </row>
        <row r="651">
          <cell r="H651">
            <v>19.3</v>
          </cell>
        </row>
        <row r="655">
          <cell r="H655">
            <v>1.1000000000000001</v>
          </cell>
        </row>
        <row r="656">
          <cell r="H656">
            <v>93.63</v>
          </cell>
        </row>
        <row r="657">
          <cell r="H657">
            <v>93.63</v>
          </cell>
        </row>
        <row r="659">
          <cell r="H659">
            <v>66.45</v>
          </cell>
        </row>
        <row r="660">
          <cell r="H660">
            <v>66.45</v>
          </cell>
        </row>
        <row r="661">
          <cell r="H661">
            <v>66.45</v>
          </cell>
        </row>
        <row r="662">
          <cell r="H662">
            <v>66.45</v>
          </cell>
        </row>
        <row r="663">
          <cell r="H663">
            <v>66.45</v>
          </cell>
        </row>
        <row r="669">
          <cell r="H669">
            <v>4.01</v>
          </cell>
        </row>
        <row r="670">
          <cell r="H670">
            <v>4.4800000000000004</v>
          </cell>
        </row>
        <row r="671">
          <cell r="H671">
            <v>5.27</v>
          </cell>
        </row>
        <row r="672">
          <cell r="H672">
            <v>9.17</v>
          </cell>
        </row>
        <row r="673">
          <cell r="H673">
            <v>0.68</v>
          </cell>
        </row>
        <row r="675">
          <cell r="H675">
            <v>3</v>
          </cell>
        </row>
        <row r="676">
          <cell r="H676">
            <v>4.0599999999999996</v>
          </cell>
        </row>
        <row r="677">
          <cell r="H677">
            <v>5.12</v>
          </cell>
        </row>
        <row r="678">
          <cell r="H678">
            <v>7.9</v>
          </cell>
        </row>
        <row r="679">
          <cell r="H679">
            <v>2.31</v>
          </cell>
        </row>
        <row r="680">
          <cell r="H680">
            <v>3.85</v>
          </cell>
        </row>
        <row r="681">
          <cell r="H681">
            <v>7.7</v>
          </cell>
        </row>
        <row r="682">
          <cell r="H682">
            <v>11.89</v>
          </cell>
        </row>
        <row r="683">
          <cell r="H683">
            <v>16.43</v>
          </cell>
        </row>
        <row r="684">
          <cell r="H684">
            <v>22.88</v>
          </cell>
        </row>
        <row r="685">
          <cell r="H685">
            <v>1.56</v>
          </cell>
        </row>
        <row r="687">
          <cell r="H687">
            <v>0.77</v>
          </cell>
        </row>
        <row r="694">
          <cell r="H694">
            <v>9.1199999999999992</v>
          </cell>
        </row>
        <row r="695">
          <cell r="H695">
            <v>10.84</v>
          </cell>
        </row>
        <row r="696">
          <cell r="H696">
            <v>27.38</v>
          </cell>
        </row>
        <row r="697">
          <cell r="H697">
            <v>0.84</v>
          </cell>
        </row>
        <row r="698">
          <cell r="H698">
            <v>1</v>
          </cell>
        </row>
        <row r="699">
          <cell r="H699">
            <v>1.08</v>
          </cell>
        </row>
        <row r="700">
          <cell r="H700">
            <v>1.86</v>
          </cell>
        </row>
        <row r="701">
          <cell r="H701">
            <v>0.96</v>
          </cell>
        </row>
        <row r="702">
          <cell r="H702">
            <v>1.2</v>
          </cell>
        </row>
        <row r="703">
          <cell r="H703">
            <v>1.86</v>
          </cell>
        </row>
        <row r="704">
          <cell r="H704">
            <v>2.59</v>
          </cell>
        </row>
        <row r="705">
          <cell r="H705">
            <v>3.37</v>
          </cell>
        </row>
        <row r="706">
          <cell r="H706">
            <v>1.8</v>
          </cell>
        </row>
        <row r="707">
          <cell r="H707">
            <v>1.82</v>
          </cell>
        </row>
        <row r="708">
          <cell r="H708">
            <v>2.76</v>
          </cell>
        </row>
        <row r="709">
          <cell r="H709">
            <v>3.11</v>
          </cell>
        </row>
        <row r="710">
          <cell r="H710">
            <v>3.77</v>
          </cell>
        </row>
        <row r="718">
          <cell r="H718">
            <v>0.25</v>
          </cell>
        </row>
        <row r="721">
          <cell r="H721">
            <v>1.1200000000000001</v>
          </cell>
        </row>
        <row r="722">
          <cell r="H722">
            <v>27.18</v>
          </cell>
        </row>
        <row r="723">
          <cell r="H723">
            <v>36.630000000000003</v>
          </cell>
        </row>
        <row r="726">
          <cell r="H726">
            <v>2.35</v>
          </cell>
        </row>
        <row r="727">
          <cell r="H727">
            <v>3.59</v>
          </cell>
        </row>
        <row r="728">
          <cell r="H728">
            <v>4.8</v>
          </cell>
        </row>
        <row r="729">
          <cell r="H729">
            <v>6.01</v>
          </cell>
        </row>
        <row r="730">
          <cell r="H730">
            <v>36.630000000000003</v>
          </cell>
        </row>
        <row r="731">
          <cell r="H731">
            <v>36.630000000000003</v>
          </cell>
        </row>
        <row r="732">
          <cell r="H732">
            <v>36.630000000000003</v>
          </cell>
        </row>
        <row r="733">
          <cell r="H733">
            <v>36.630000000000003</v>
          </cell>
        </row>
        <row r="737">
          <cell r="H737">
            <v>2250</v>
          </cell>
        </row>
        <row r="741">
          <cell r="H741">
            <v>3623</v>
          </cell>
        </row>
        <row r="746">
          <cell r="H746">
            <v>1800</v>
          </cell>
        </row>
        <row r="747">
          <cell r="H747">
            <v>1990</v>
          </cell>
        </row>
        <row r="748">
          <cell r="H748">
            <v>3123</v>
          </cell>
        </row>
        <row r="749">
          <cell r="H749">
            <v>450</v>
          </cell>
        </row>
        <row r="750">
          <cell r="H750">
            <v>500</v>
          </cell>
        </row>
        <row r="751">
          <cell r="H751">
            <v>450</v>
          </cell>
        </row>
        <row r="752">
          <cell r="H752">
            <v>500</v>
          </cell>
        </row>
        <row r="753">
          <cell r="H753">
            <v>610.44000000000005</v>
          </cell>
        </row>
        <row r="754">
          <cell r="H754">
            <v>1819</v>
          </cell>
        </row>
        <row r="756">
          <cell r="H756">
            <v>53.02</v>
          </cell>
        </row>
        <row r="757">
          <cell r="H757">
            <v>200</v>
          </cell>
        </row>
        <row r="759">
          <cell r="H759">
            <v>1.7</v>
          </cell>
        </row>
        <row r="761">
          <cell r="H761">
            <v>8.91</v>
          </cell>
        </row>
        <row r="762">
          <cell r="H762">
            <v>14.85</v>
          </cell>
        </row>
        <row r="763">
          <cell r="H763">
            <v>355.24</v>
          </cell>
        </row>
        <row r="764">
          <cell r="H764">
            <v>674.93</v>
          </cell>
        </row>
        <row r="765">
          <cell r="H765">
            <v>5409.49</v>
          </cell>
        </row>
        <row r="766">
          <cell r="H766">
            <v>724.85</v>
          </cell>
        </row>
        <row r="767">
          <cell r="H767">
            <v>1553.17</v>
          </cell>
        </row>
        <row r="768">
          <cell r="H768">
            <v>319.72000000000003</v>
          </cell>
        </row>
        <row r="769">
          <cell r="H769">
            <v>68.400000000000006</v>
          </cell>
        </row>
        <row r="772">
          <cell r="H772">
            <v>561.38</v>
          </cell>
        </row>
        <row r="776">
          <cell r="H776">
            <v>2325</v>
          </cell>
        </row>
        <row r="777">
          <cell r="H777">
            <v>5118</v>
          </cell>
        </row>
        <row r="778">
          <cell r="H778">
            <v>5971</v>
          </cell>
        </row>
        <row r="793">
          <cell r="H793">
            <v>16.38</v>
          </cell>
        </row>
        <row r="794">
          <cell r="H794">
            <v>1.05</v>
          </cell>
        </row>
        <row r="795">
          <cell r="H795">
            <v>1.85</v>
          </cell>
        </row>
        <row r="796">
          <cell r="H796">
            <v>3.58</v>
          </cell>
        </row>
        <row r="797">
          <cell r="H797">
            <v>4.37</v>
          </cell>
        </row>
        <row r="799">
          <cell r="H799">
            <v>0.48</v>
          </cell>
        </row>
        <row r="800">
          <cell r="H800">
            <v>1.24</v>
          </cell>
        </row>
        <row r="801">
          <cell r="H801">
            <v>3.03</v>
          </cell>
        </row>
        <row r="802">
          <cell r="H802">
            <v>3.37</v>
          </cell>
        </row>
        <row r="803">
          <cell r="H803">
            <v>5.52</v>
          </cell>
        </row>
        <row r="804">
          <cell r="H804">
            <v>6.04</v>
          </cell>
        </row>
        <row r="806">
          <cell r="H806">
            <v>0.8</v>
          </cell>
        </row>
        <row r="807">
          <cell r="H807">
            <v>1.99</v>
          </cell>
        </row>
        <row r="808">
          <cell r="H808">
            <v>5.15</v>
          </cell>
        </row>
        <row r="809">
          <cell r="H809">
            <v>5.82</v>
          </cell>
        </row>
        <row r="810">
          <cell r="H810">
            <v>0.37</v>
          </cell>
        </row>
        <row r="811">
          <cell r="H811">
            <v>1.59</v>
          </cell>
        </row>
        <row r="812">
          <cell r="H812">
            <v>0.71</v>
          </cell>
        </row>
        <row r="813">
          <cell r="H813">
            <v>2.33</v>
          </cell>
        </row>
        <row r="814">
          <cell r="H814">
            <v>2.57</v>
          </cell>
        </row>
        <row r="815">
          <cell r="H815">
            <v>1.5</v>
          </cell>
        </row>
        <row r="816">
          <cell r="H816">
            <v>2.75</v>
          </cell>
        </row>
        <row r="817">
          <cell r="H817">
            <v>3.37</v>
          </cell>
        </row>
        <row r="818">
          <cell r="H818">
            <v>3.68</v>
          </cell>
        </row>
        <row r="819">
          <cell r="H819">
            <v>2.65</v>
          </cell>
        </row>
        <row r="821">
          <cell r="H821">
            <v>12.46</v>
          </cell>
        </row>
        <row r="822">
          <cell r="H822">
            <v>4.3</v>
          </cell>
        </row>
        <row r="823">
          <cell r="H823">
            <v>75.63</v>
          </cell>
        </row>
        <row r="824">
          <cell r="H824">
            <v>83.19</v>
          </cell>
        </row>
        <row r="825">
          <cell r="H825">
            <v>30.93</v>
          </cell>
        </row>
        <row r="826">
          <cell r="H826">
            <v>1.97</v>
          </cell>
        </row>
        <row r="827">
          <cell r="H827">
            <v>29</v>
          </cell>
        </row>
        <row r="828">
          <cell r="H828">
            <v>46.22</v>
          </cell>
        </row>
        <row r="829">
          <cell r="H829">
            <v>46.22</v>
          </cell>
        </row>
        <row r="830">
          <cell r="H830">
            <v>47.46</v>
          </cell>
        </row>
        <row r="831">
          <cell r="H831">
            <v>14.49</v>
          </cell>
        </row>
        <row r="832">
          <cell r="H832">
            <v>93.19</v>
          </cell>
        </row>
        <row r="833">
          <cell r="H833">
            <v>54.91</v>
          </cell>
        </row>
        <row r="834">
          <cell r="H834">
            <v>244.5</v>
          </cell>
        </row>
        <row r="838">
          <cell r="H838">
            <v>75.53</v>
          </cell>
        </row>
        <row r="839">
          <cell r="H839">
            <v>11.18</v>
          </cell>
        </row>
        <row r="840">
          <cell r="H840">
            <v>12.28</v>
          </cell>
        </row>
        <row r="841">
          <cell r="H841">
            <v>16.63</v>
          </cell>
        </row>
        <row r="842">
          <cell r="H842">
            <v>26.93</v>
          </cell>
        </row>
        <row r="843">
          <cell r="H843">
            <v>35.9</v>
          </cell>
        </row>
        <row r="844">
          <cell r="H844">
            <v>44.69</v>
          </cell>
        </row>
        <row r="845">
          <cell r="H845">
            <v>7.7900000000000009</v>
          </cell>
        </row>
        <row r="846">
          <cell r="H846">
            <v>3.65</v>
          </cell>
        </row>
        <row r="847">
          <cell r="H847">
            <v>16.599999999999998</v>
          </cell>
        </row>
        <row r="848">
          <cell r="H848">
            <v>17.59</v>
          </cell>
        </row>
        <row r="850">
          <cell r="H850">
            <v>39.550000000000004</v>
          </cell>
        </row>
        <row r="851">
          <cell r="H851">
            <v>50.13</v>
          </cell>
        </row>
        <row r="852">
          <cell r="H852">
            <v>75.42</v>
          </cell>
        </row>
        <row r="853">
          <cell r="H853">
            <v>12.07</v>
          </cell>
        </row>
        <row r="854">
          <cell r="H854">
            <v>14.35</v>
          </cell>
        </row>
        <row r="855">
          <cell r="H855">
            <v>37.550000000000004</v>
          </cell>
        </row>
        <row r="856">
          <cell r="H856">
            <v>38.92</v>
          </cell>
        </row>
        <row r="857">
          <cell r="H857">
            <v>36.520000000000003</v>
          </cell>
        </row>
        <row r="858">
          <cell r="H858">
            <v>41.2</v>
          </cell>
        </row>
        <row r="859">
          <cell r="H859">
            <v>51.32</v>
          </cell>
        </row>
        <row r="860">
          <cell r="H860">
            <v>72.36</v>
          </cell>
        </row>
        <row r="861">
          <cell r="H861">
            <v>76.8</v>
          </cell>
        </row>
        <row r="862">
          <cell r="H862">
            <v>0.53</v>
          </cell>
        </row>
        <row r="863">
          <cell r="H863">
            <v>0.6</v>
          </cell>
        </row>
        <row r="864">
          <cell r="H864">
            <v>1.18</v>
          </cell>
        </row>
        <row r="865">
          <cell r="H865">
            <v>2.14</v>
          </cell>
        </row>
        <row r="866">
          <cell r="H866">
            <v>2.8</v>
          </cell>
        </row>
        <row r="867">
          <cell r="H867">
            <v>6.7</v>
          </cell>
        </row>
        <row r="868">
          <cell r="H868">
            <v>10.88</v>
          </cell>
        </row>
        <row r="869">
          <cell r="H869">
            <v>0.78</v>
          </cell>
        </row>
        <row r="873">
          <cell r="H873" t="e">
            <v>#N/A</v>
          </cell>
        </row>
        <row r="874">
          <cell r="H874">
            <v>4.92</v>
          </cell>
        </row>
        <row r="877">
          <cell r="H877">
            <v>136.54</v>
          </cell>
        </row>
        <row r="878">
          <cell r="H878">
            <v>195.3</v>
          </cell>
        </row>
        <row r="879">
          <cell r="H879">
            <v>268.41000000000003</v>
          </cell>
        </row>
        <row r="881">
          <cell r="H881">
            <v>7.35</v>
          </cell>
        </row>
        <row r="882">
          <cell r="H882">
            <v>9.51</v>
          </cell>
        </row>
        <row r="883">
          <cell r="H883">
            <v>11.97</v>
          </cell>
        </row>
        <row r="885">
          <cell r="H885">
            <v>22.4</v>
          </cell>
        </row>
        <row r="886">
          <cell r="H886">
            <v>27.24</v>
          </cell>
        </row>
        <row r="887">
          <cell r="H887">
            <v>660.27</v>
          </cell>
        </row>
        <row r="888">
          <cell r="H888">
            <v>1173.81</v>
          </cell>
        </row>
        <row r="889">
          <cell r="H889">
            <v>12.58</v>
          </cell>
        </row>
        <row r="891">
          <cell r="H891">
            <v>87.13</v>
          </cell>
        </row>
        <row r="892">
          <cell r="H892">
            <v>34.270000000000003</v>
          </cell>
        </row>
        <row r="893">
          <cell r="H893">
            <v>5.3</v>
          </cell>
        </row>
        <row r="894">
          <cell r="H894">
            <v>6.36</v>
          </cell>
        </row>
        <row r="895">
          <cell r="H895">
            <v>0.56999999999999995</v>
          </cell>
        </row>
        <row r="896">
          <cell r="H896">
            <v>0.84</v>
          </cell>
        </row>
        <row r="899">
          <cell r="H899">
            <v>1489.09</v>
          </cell>
        </row>
        <row r="900">
          <cell r="H900">
            <v>1414.6</v>
          </cell>
        </row>
        <row r="901">
          <cell r="H901">
            <v>422.79</v>
          </cell>
        </row>
        <row r="902">
          <cell r="H902">
            <v>600</v>
          </cell>
        </row>
        <row r="904">
          <cell r="H904">
            <v>231</v>
          </cell>
        </row>
        <row r="905">
          <cell r="H905">
            <v>5.42</v>
          </cell>
        </row>
        <row r="906">
          <cell r="H906">
            <v>7.28</v>
          </cell>
        </row>
        <row r="907">
          <cell r="H907">
            <v>5.71</v>
          </cell>
        </row>
        <row r="908">
          <cell r="H908">
            <v>57.2</v>
          </cell>
        </row>
        <row r="909">
          <cell r="H909">
            <v>25.36</v>
          </cell>
        </row>
        <row r="910">
          <cell r="H910">
            <v>43.99</v>
          </cell>
        </row>
        <row r="911">
          <cell r="H911">
            <v>18.09</v>
          </cell>
        </row>
        <row r="912">
          <cell r="H912">
            <v>12.82</v>
          </cell>
        </row>
        <row r="913">
          <cell r="H913">
            <v>6.64</v>
          </cell>
        </row>
        <row r="914">
          <cell r="H914">
            <v>84.17</v>
          </cell>
        </row>
        <row r="915">
          <cell r="H915">
            <v>56.11</v>
          </cell>
        </row>
        <row r="916">
          <cell r="H916">
            <v>14.49</v>
          </cell>
        </row>
        <row r="917">
          <cell r="H917">
            <v>96.46</v>
          </cell>
        </row>
        <row r="918">
          <cell r="H918">
            <v>9.68</v>
          </cell>
        </row>
        <row r="919">
          <cell r="H919">
            <v>3.98</v>
          </cell>
        </row>
        <row r="920">
          <cell r="H920">
            <v>191.31</v>
          </cell>
        </row>
        <row r="921">
          <cell r="H921">
            <v>364.41</v>
          </cell>
        </row>
        <row r="922">
          <cell r="H922">
            <v>516</v>
          </cell>
        </row>
        <row r="923">
          <cell r="H923">
            <v>645</v>
          </cell>
        </row>
        <row r="926">
          <cell r="H926">
            <v>138.82</v>
          </cell>
        </row>
        <row r="927">
          <cell r="H927">
            <v>87.73</v>
          </cell>
        </row>
        <row r="928">
          <cell r="H928">
            <v>50.61</v>
          </cell>
        </row>
        <row r="929">
          <cell r="H929">
            <v>16.36</v>
          </cell>
        </row>
        <row r="931">
          <cell r="H931">
            <v>6.07</v>
          </cell>
        </row>
        <row r="934">
          <cell r="H934">
            <v>30.92</v>
          </cell>
        </row>
        <row r="936">
          <cell r="H936">
            <v>14.57</v>
          </cell>
        </row>
        <row r="939">
          <cell r="H939">
            <v>14.82</v>
          </cell>
        </row>
        <row r="940">
          <cell r="H940">
            <v>4.9400000000000004</v>
          </cell>
        </row>
        <row r="941">
          <cell r="H941">
            <v>3.76</v>
          </cell>
        </row>
        <row r="942">
          <cell r="H942">
            <v>1.47</v>
          </cell>
        </row>
        <row r="943">
          <cell r="H943">
            <v>0.96</v>
          </cell>
        </row>
        <row r="944">
          <cell r="H944">
            <v>14.97</v>
          </cell>
        </row>
        <row r="945">
          <cell r="H945">
            <v>4.99</v>
          </cell>
        </row>
        <row r="946">
          <cell r="H946">
            <v>4.41</v>
          </cell>
        </row>
        <row r="947">
          <cell r="H947">
            <v>1.92</v>
          </cell>
        </row>
        <row r="948">
          <cell r="H948">
            <v>1.58</v>
          </cell>
        </row>
        <row r="949">
          <cell r="H949">
            <v>18.72</v>
          </cell>
        </row>
        <row r="951">
          <cell r="H951">
            <v>8.2200000000000006</v>
          </cell>
        </row>
        <row r="953">
          <cell r="H953">
            <v>8.6199999999999992</v>
          </cell>
        </row>
        <row r="957">
          <cell r="H957">
            <v>93.1</v>
          </cell>
        </row>
        <row r="958">
          <cell r="H958">
            <v>33.200000000000003</v>
          </cell>
        </row>
        <row r="959">
          <cell r="H959">
            <v>21.05</v>
          </cell>
        </row>
        <row r="960">
          <cell r="H960">
            <v>8.2899999999999991</v>
          </cell>
        </row>
        <row r="961">
          <cell r="H961">
            <v>5.51</v>
          </cell>
        </row>
        <row r="962">
          <cell r="H962">
            <v>5.25</v>
          </cell>
        </row>
        <row r="970">
          <cell r="H970">
            <v>6.48</v>
          </cell>
        </row>
        <row r="971">
          <cell r="H971">
            <v>8.6300000000000008</v>
          </cell>
        </row>
        <row r="972">
          <cell r="H972">
            <v>26.45</v>
          </cell>
        </row>
        <row r="976">
          <cell r="H976">
            <v>9</v>
          </cell>
        </row>
        <row r="977">
          <cell r="H977">
            <v>15.09</v>
          </cell>
        </row>
        <row r="979">
          <cell r="H979">
            <v>28.74</v>
          </cell>
        </row>
        <row r="980">
          <cell r="H980">
            <v>30.73</v>
          </cell>
        </row>
        <row r="981">
          <cell r="H981">
            <v>44.7</v>
          </cell>
        </row>
        <row r="982">
          <cell r="H982">
            <v>5.86</v>
          </cell>
        </row>
        <row r="983">
          <cell r="H983">
            <v>7.19</v>
          </cell>
        </row>
        <row r="984">
          <cell r="H984">
            <v>9.32</v>
          </cell>
        </row>
        <row r="985">
          <cell r="H985">
            <v>13.32</v>
          </cell>
        </row>
        <row r="986">
          <cell r="H986">
            <v>14.65</v>
          </cell>
        </row>
        <row r="987">
          <cell r="H987">
            <v>15.98</v>
          </cell>
        </row>
        <row r="988">
          <cell r="H988">
            <v>17.32</v>
          </cell>
        </row>
        <row r="991">
          <cell r="H991">
            <v>15.59</v>
          </cell>
        </row>
        <row r="992">
          <cell r="H992">
            <v>10.39</v>
          </cell>
        </row>
        <row r="993">
          <cell r="H993">
            <v>6.66</v>
          </cell>
        </row>
        <row r="994">
          <cell r="H994">
            <v>7.99</v>
          </cell>
        </row>
        <row r="995">
          <cell r="H995">
            <v>11.98</v>
          </cell>
        </row>
        <row r="996">
          <cell r="H996">
            <v>9.99</v>
          </cell>
        </row>
        <row r="998">
          <cell r="H998">
            <v>7.03</v>
          </cell>
        </row>
        <row r="999">
          <cell r="H999">
            <v>3.9943181818181821</v>
          </cell>
        </row>
        <row r="1000">
          <cell r="H1000">
            <v>5.24</v>
          </cell>
        </row>
        <row r="1001">
          <cell r="H1001">
            <v>4.6100000000000003</v>
          </cell>
        </row>
        <row r="1002">
          <cell r="H1002">
            <v>4.25</v>
          </cell>
        </row>
        <row r="1003">
          <cell r="H1003">
            <v>2.41</v>
          </cell>
        </row>
        <row r="1004">
          <cell r="H1004">
            <v>6.9</v>
          </cell>
        </row>
        <row r="1005">
          <cell r="H1005">
            <v>6.07</v>
          </cell>
        </row>
        <row r="1006">
          <cell r="H1006">
            <v>3.45</v>
          </cell>
        </row>
        <row r="1007">
          <cell r="H1007">
            <v>2.42</v>
          </cell>
        </row>
        <row r="1008">
          <cell r="H1008">
            <v>5.83</v>
          </cell>
        </row>
        <row r="1009">
          <cell r="H1009">
            <v>11.31</v>
          </cell>
        </row>
        <row r="1010">
          <cell r="H1010">
            <v>2.4300000000000002</v>
          </cell>
        </row>
        <row r="1011">
          <cell r="H1011">
            <v>3.36</v>
          </cell>
        </row>
        <row r="1012">
          <cell r="H1012">
            <v>3.36</v>
          </cell>
        </row>
        <row r="1013">
          <cell r="H1013">
            <v>6.75</v>
          </cell>
        </row>
        <row r="1014">
          <cell r="H1014">
            <v>9.57</v>
          </cell>
        </row>
        <row r="1015">
          <cell r="H1015">
            <v>9.57</v>
          </cell>
        </row>
        <row r="1016">
          <cell r="H1016">
            <v>8.3800000000000008</v>
          </cell>
        </row>
        <row r="1017">
          <cell r="H1017">
            <v>9.27</v>
          </cell>
        </row>
        <row r="1018">
          <cell r="H1018">
            <v>1.93</v>
          </cell>
        </row>
        <row r="1019">
          <cell r="H1019">
            <v>0.26</v>
          </cell>
        </row>
        <row r="1021">
          <cell r="H1021">
            <v>10.61</v>
          </cell>
        </row>
        <row r="1022">
          <cell r="H1022">
            <v>50.03</v>
          </cell>
        </row>
        <row r="1023">
          <cell r="H1023">
            <v>174.78</v>
          </cell>
        </row>
        <row r="1024">
          <cell r="H1024">
            <v>226.18</v>
          </cell>
        </row>
        <row r="1025">
          <cell r="H1025">
            <v>231.28</v>
          </cell>
        </row>
        <row r="1026">
          <cell r="H1026">
            <v>357.44</v>
          </cell>
        </row>
        <row r="1027">
          <cell r="H1027">
            <v>729.47</v>
          </cell>
        </row>
        <row r="1028">
          <cell r="H1028">
            <v>273.93</v>
          </cell>
        </row>
        <row r="1031">
          <cell r="H1031">
            <v>146.4</v>
          </cell>
        </row>
        <row r="1032">
          <cell r="H1032">
            <v>174.1</v>
          </cell>
        </row>
        <row r="1033">
          <cell r="H1033">
            <v>151.6</v>
          </cell>
        </row>
        <row r="1034">
          <cell r="H1034">
            <v>88.46</v>
          </cell>
        </row>
        <row r="1035">
          <cell r="H1035">
            <v>110.57</v>
          </cell>
        </row>
        <row r="1036">
          <cell r="H1036">
            <v>11.95</v>
          </cell>
        </row>
        <row r="1037">
          <cell r="H1037">
            <v>49.89</v>
          </cell>
        </row>
        <row r="1038">
          <cell r="H1038">
            <v>5.9</v>
          </cell>
        </row>
        <row r="1043">
          <cell r="H1043">
            <v>196.37</v>
          </cell>
        </row>
        <row r="1044">
          <cell r="H1044">
            <v>158.82</v>
          </cell>
        </row>
        <row r="1048">
          <cell r="H1048">
            <v>34.4</v>
          </cell>
        </row>
        <row r="1050">
          <cell r="H1050">
            <v>224.45</v>
          </cell>
        </row>
        <row r="1052">
          <cell r="H1052">
            <v>48.29</v>
          </cell>
        </row>
        <row r="1053">
          <cell r="H1053">
            <v>50.35</v>
          </cell>
        </row>
        <row r="1061">
          <cell r="H1061">
            <v>123.26</v>
          </cell>
        </row>
        <row r="1063">
          <cell r="H1063">
            <v>1440.9</v>
          </cell>
        </row>
        <row r="1064">
          <cell r="H1064">
            <v>1221.0999999999999</v>
          </cell>
        </row>
        <row r="1066">
          <cell r="H1066">
            <v>472.16</v>
          </cell>
        </row>
        <row r="1067">
          <cell r="H1067">
            <v>184.09</v>
          </cell>
        </row>
        <row r="1068">
          <cell r="H1068">
            <v>478.63</v>
          </cell>
        </row>
        <row r="1069">
          <cell r="H1069">
            <v>579.27</v>
          </cell>
        </row>
        <row r="1070">
          <cell r="H1070">
            <v>5.75</v>
          </cell>
        </row>
        <row r="1071">
          <cell r="H1071">
            <v>23</v>
          </cell>
        </row>
        <row r="1074">
          <cell r="H1074">
            <v>42.06</v>
          </cell>
        </row>
        <row r="1075">
          <cell r="H1075">
            <v>87.88</v>
          </cell>
        </row>
        <row r="1077">
          <cell r="H1077">
            <v>35.81</v>
          </cell>
        </row>
        <row r="1078">
          <cell r="H1078">
            <v>15.76</v>
          </cell>
        </row>
        <row r="1079">
          <cell r="H1079">
            <v>3.01</v>
          </cell>
        </row>
        <row r="1080">
          <cell r="H1080">
            <v>5.15</v>
          </cell>
        </row>
        <row r="1084">
          <cell r="H1084">
            <v>30.11</v>
          </cell>
        </row>
        <row r="1085">
          <cell r="H1085">
            <v>24.6</v>
          </cell>
        </row>
        <row r="1086">
          <cell r="H1086">
            <v>49.38</v>
          </cell>
        </row>
        <row r="1090">
          <cell r="H1090">
            <v>139.5</v>
          </cell>
        </row>
        <row r="1091">
          <cell r="H1091">
            <v>617.23</v>
          </cell>
        </row>
        <row r="1092">
          <cell r="H1092">
            <v>433.19</v>
          </cell>
        </row>
        <row r="1093">
          <cell r="H1093">
            <v>246.56</v>
          </cell>
        </row>
        <row r="1094">
          <cell r="H1094">
            <v>295.88</v>
          </cell>
        </row>
        <row r="1095">
          <cell r="H1095">
            <v>385.77</v>
          </cell>
        </row>
        <row r="1096">
          <cell r="H1096">
            <v>273.61</v>
          </cell>
        </row>
        <row r="1097">
          <cell r="H1097">
            <v>165.08</v>
          </cell>
        </row>
        <row r="1099">
          <cell r="H1099">
            <v>177.53</v>
          </cell>
        </row>
        <row r="1100">
          <cell r="H1100">
            <v>142.02000000000001</v>
          </cell>
        </row>
        <row r="1104">
          <cell r="H1104">
            <v>38.9</v>
          </cell>
        </row>
        <row r="1108">
          <cell r="H1108">
            <v>88.79</v>
          </cell>
        </row>
        <row r="1114">
          <cell r="H1114">
            <v>105.41</v>
          </cell>
        </row>
        <row r="1115">
          <cell r="H1115">
            <v>43.44</v>
          </cell>
        </row>
        <row r="1117">
          <cell r="H1117">
            <v>86.88</v>
          </cell>
        </row>
        <row r="1120">
          <cell r="H1120">
            <v>52.66</v>
          </cell>
        </row>
        <row r="1121">
          <cell r="H1121">
            <v>59.24</v>
          </cell>
        </row>
        <row r="1122">
          <cell r="H1122">
            <v>92.37</v>
          </cell>
        </row>
        <row r="1123">
          <cell r="H1123">
            <v>22.17</v>
          </cell>
        </row>
        <row r="1124">
          <cell r="H1124">
            <v>36.950000000000003</v>
          </cell>
        </row>
        <row r="1125">
          <cell r="H1125">
            <v>41.57</v>
          </cell>
        </row>
        <row r="1127">
          <cell r="H1127">
            <v>110.86</v>
          </cell>
        </row>
        <row r="1128">
          <cell r="H1128">
            <v>21</v>
          </cell>
        </row>
        <row r="1132">
          <cell r="H1132">
            <v>6.57</v>
          </cell>
        </row>
        <row r="1133">
          <cell r="H1133">
            <v>10.84</v>
          </cell>
        </row>
        <row r="1134">
          <cell r="H1134">
            <v>19</v>
          </cell>
        </row>
        <row r="1137">
          <cell r="H1137">
            <v>18.489999999999998</v>
          </cell>
        </row>
        <row r="1138">
          <cell r="H1138">
            <v>9.8699999999999992</v>
          </cell>
        </row>
        <row r="1140">
          <cell r="H1140">
            <v>3.9</v>
          </cell>
        </row>
        <row r="1141">
          <cell r="H1141">
            <v>3.62</v>
          </cell>
        </row>
        <row r="1143">
          <cell r="H1143">
            <v>10.09</v>
          </cell>
        </row>
        <row r="1146">
          <cell r="H1146">
            <v>8.41</v>
          </cell>
        </row>
        <row r="1147">
          <cell r="H1147">
            <v>5.04</v>
          </cell>
        </row>
        <row r="1148">
          <cell r="H1148">
            <v>11.77</v>
          </cell>
        </row>
        <row r="1149">
          <cell r="H1149">
            <v>36.9</v>
          </cell>
        </row>
        <row r="1150">
          <cell r="H1150">
            <v>36.69</v>
          </cell>
        </row>
        <row r="1152">
          <cell r="H1152">
            <v>34.11</v>
          </cell>
        </row>
        <row r="1153">
          <cell r="H1153">
            <v>38.25</v>
          </cell>
        </row>
        <row r="1154">
          <cell r="H1154">
            <v>47.81</v>
          </cell>
        </row>
        <row r="1157">
          <cell r="H1157">
            <v>31.95</v>
          </cell>
        </row>
        <row r="1158">
          <cell r="H1158">
            <v>30.71</v>
          </cell>
        </row>
        <row r="1159">
          <cell r="H1159">
            <v>10.59</v>
          </cell>
        </row>
        <row r="1161">
          <cell r="H1161">
            <v>11.98</v>
          </cell>
        </row>
        <row r="1171">
          <cell r="H1171">
            <v>15.03</v>
          </cell>
        </row>
        <row r="1174">
          <cell r="H1174">
            <v>22.1</v>
          </cell>
        </row>
        <row r="1175">
          <cell r="H1175">
            <v>24.32</v>
          </cell>
        </row>
        <row r="1176">
          <cell r="H1176">
            <v>44.74</v>
          </cell>
        </row>
        <row r="1177">
          <cell r="H1177">
            <v>53.69</v>
          </cell>
        </row>
        <row r="1178">
          <cell r="H1178">
            <v>50.96</v>
          </cell>
        </row>
        <row r="1182">
          <cell r="H1182">
            <v>2.0099999999999998</v>
          </cell>
        </row>
        <row r="1186">
          <cell r="H1186">
            <v>28.59</v>
          </cell>
        </row>
        <row r="1187">
          <cell r="H1187">
            <v>37.75</v>
          </cell>
        </row>
        <row r="1188">
          <cell r="H1188">
            <v>8.33</v>
          </cell>
        </row>
        <row r="1189">
          <cell r="H1189">
            <v>8.33</v>
          </cell>
        </row>
        <row r="1190">
          <cell r="H1190">
            <v>90.78</v>
          </cell>
        </row>
        <row r="1191">
          <cell r="H1191">
            <v>5.64</v>
          </cell>
        </row>
        <row r="1194">
          <cell r="H1194">
            <v>5.09</v>
          </cell>
        </row>
        <row r="1196">
          <cell r="H1196">
            <v>4.8899999999999997</v>
          </cell>
        </row>
        <row r="1198">
          <cell r="H1198">
            <v>26.2</v>
          </cell>
        </row>
        <row r="1199">
          <cell r="H1199">
            <v>35.880000000000003</v>
          </cell>
        </row>
        <row r="1200">
          <cell r="H1200">
            <v>10.63</v>
          </cell>
        </row>
        <row r="1205">
          <cell r="H1205">
            <v>184.33</v>
          </cell>
        </row>
        <row r="1207">
          <cell r="H1207">
            <v>72.91</v>
          </cell>
        </row>
        <row r="1209">
          <cell r="H1209">
            <v>87.49</v>
          </cell>
        </row>
        <row r="1218">
          <cell r="H1218">
            <v>3.1</v>
          </cell>
        </row>
        <row r="1219">
          <cell r="H1219">
            <v>3.15</v>
          </cell>
        </row>
        <row r="1221">
          <cell r="H1221">
            <v>3</v>
          </cell>
        </row>
        <row r="1222">
          <cell r="H1222">
            <v>12</v>
          </cell>
        </row>
        <row r="1223">
          <cell r="H1223">
            <v>8.57</v>
          </cell>
        </row>
        <row r="1224">
          <cell r="H1224">
            <v>8.57</v>
          </cell>
        </row>
        <row r="1225">
          <cell r="H1225">
            <v>63.79</v>
          </cell>
        </row>
        <row r="1229">
          <cell r="H1229">
            <v>2.2400000000000002</v>
          </cell>
        </row>
        <row r="1232">
          <cell r="H1232">
            <v>18.5</v>
          </cell>
        </row>
        <row r="1234">
          <cell r="H1234">
            <v>4.13</v>
          </cell>
        </row>
        <row r="1235">
          <cell r="H1235">
            <v>4.34</v>
          </cell>
        </row>
        <row r="1238">
          <cell r="H1238">
            <v>50</v>
          </cell>
        </row>
        <row r="1241">
          <cell r="H1241">
            <v>2431.71</v>
          </cell>
        </row>
        <row r="1242">
          <cell r="H1242">
            <v>747750</v>
          </cell>
        </row>
        <row r="1243">
          <cell r="H1243">
            <v>11971.23</v>
          </cell>
        </row>
        <row r="1246">
          <cell r="H1246">
            <v>182.47</v>
          </cell>
        </row>
        <row r="1247">
          <cell r="H1247">
            <v>1259.04</v>
          </cell>
        </row>
        <row r="1250">
          <cell r="H1250">
            <v>1.39</v>
          </cell>
        </row>
        <row r="1253">
          <cell r="H1253">
            <v>1450</v>
          </cell>
        </row>
        <row r="1254">
          <cell r="H1254">
            <v>4.45</v>
          </cell>
        </row>
        <row r="1258">
          <cell r="H1258">
            <v>2399.6999999999998</v>
          </cell>
        </row>
        <row r="1261">
          <cell r="H1261">
            <v>1015.3440000000001</v>
          </cell>
        </row>
        <row r="1262">
          <cell r="H1262">
            <v>1107.71</v>
          </cell>
        </row>
        <row r="1263">
          <cell r="H1263">
            <v>34.549999999999997</v>
          </cell>
        </row>
        <row r="1264">
          <cell r="H1264">
            <v>57.815999999999995</v>
          </cell>
        </row>
        <row r="1266">
          <cell r="H1266">
            <v>3952.8</v>
          </cell>
        </row>
        <row r="1268">
          <cell r="H1268">
            <v>2047.47</v>
          </cell>
        </row>
        <row r="1269">
          <cell r="H1269">
            <v>1349.62</v>
          </cell>
        </row>
        <row r="1270">
          <cell r="H1270">
            <v>1784.13</v>
          </cell>
        </row>
        <row r="1271">
          <cell r="H1271">
            <v>3620.93</v>
          </cell>
        </row>
        <row r="1272">
          <cell r="H1272">
            <v>2080.39</v>
          </cell>
        </row>
        <row r="1273">
          <cell r="H1273">
            <v>1626.12</v>
          </cell>
        </row>
        <row r="1274">
          <cell r="H1274">
            <v>3291.75</v>
          </cell>
        </row>
        <row r="1275">
          <cell r="H1275">
            <v>1554.9</v>
          </cell>
        </row>
        <row r="1276">
          <cell r="H1276">
            <v>3109.81</v>
          </cell>
        </row>
        <row r="1277">
          <cell r="H1277">
            <v>1881</v>
          </cell>
        </row>
        <row r="1278">
          <cell r="H1278">
            <v>2713.2</v>
          </cell>
        </row>
        <row r="1279">
          <cell r="H1279">
            <v>4580</v>
          </cell>
        </row>
        <row r="1280">
          <cell r="H1280">
            <v>4780</v>
          </cell>
        </row>
        <row r="1283">
          <cell r="H1283">
            <v>500</v>
          </cell>
        </row>
        <row r="1284">
          <cell r="H1284">
            <v>670</v>
          </cell>
        </row>
        <row r="1285">
          <cell r="H1285">
            <v>850</v>
          </cell>
        </row>
        <row r="1286">
          <cell r="H1286">
            <v>3500</v>
          </cell>
        </row>
        <row r="1287">
          <cell r="H1287">
            <v>450</v>
          </cell>
        </row>
        <row r="1288">
          <cell r="H1288">
            <v>420</v>
          </cell>
        </row>
        <row r="1289">
          <cell r="H1289">
            <v>300</v>
          </cell>
        </row>
        <row r="1290">
          <cell r="H1290">
            <v>895</v>
          </cell>
        </row>
        <row r="1291">
          <cell r="H1291">
            <v>500</v>
          </cell>
        </row>
        <row r="1294">
          <cell r="H1294">
            <v>30</v>
          </cell>
        </row>
        <row r="1295">
          <cell r="H1295">
            <v>187.2</v>
          </cell>
        </row>
        <row r="1296">
          <cell r="H1296">
            <v>25.27</v>
          </cell>
        </row>
        <row r="1297">
          <cell r="H1297">
            <v>70.2</v>
          </cell>
        </row>
        <row r="1298">
          <cell r="H1298">
            <v>98.45</v>
          </cell>
        </row>
        <row r="1299">
          <cell r="H1299">
            <v>273.45999999999998</v>
          </cell>
        </row>
        <row r="1300">
          <cell r="H1300">
            <v>82.04</v>
          </cell>
        </row>
        <row r="1301">
          <cell r="H1301">
            <v>65.63</v>
          </cell>
        </row>
        <row r="1305">
          <cell r="H1305">
            <v>200</v>
          </cell>
        </row>
        <row r="1306">
          <cell r="H1306">
            <v>800</v>
          </cell>
        </row>
        <row r="1307">
          <cell r="H1307">
            <v>1820</v>
          </cell>
        </row>
        <row r="1308">
          <cell r="H1308">
            <v>9.11</v>
          </cell>
        </row>
        <row r="1309">
          <cell r="H1309">
            <v>5.53</v>
          </cell>
        </row>
        <row r="1310">
          <cell r="H1310">
            <v>4.43</v>
          </cell>
        </row>
        <row r="1311">
          <cell r="H1311">
            <v>21.76</v>
          </cell>
        </row>
        <row r="1312">
          <cell r="H1312">
            <v>16</v>
          </cell>
        </row>
        <row r="1313">
          <cell r="H1313">
            <v>498.34</v>
          </cell>
        </row>
        <row r="1314">
          <cell r="H1314">
            <v>355.3</v>
          </cell>
        </row>
        <row r="1315">
          <cell r="H1315">
            <v>313.5</v>
          </cell>
        </row>
        <row r="1316">
          <cell r="H1316">
            <v>295.49</v>
          </cell>
        </row>
        <row r="1317">
          <cell r="H1317">
            <v>171</v>
          </cell>
        </row>
        <row r="1318">
          <cell r="H1318">
            <v>222.73</v>
          </cell>
        </row>
        <row r="1319">
          <cell r="H1319">
            <v>221</v>
          </cell>
        </row>
        <row r="1322">
          <cell r="H1322">
            <v>0.08</v>
          </cell>
        </row>
        <row r="1327">
          <cell r="H1327">
            <v>1.36</v>
          </cell>
        </row>
        <row r="1329">
          <cell r="H1329">
            <v>0.72</v>
          </cell>
        </row>
        <row r="1355">
          <cell r="H1355">
            <v>0.75</v>
          </cell>
        </row>
        <row r="1356">
          <cell r="H1356">
            <v>94</v>
          </cell>
        </row>
        <row r="1358">
          <cell r="H1358">
            <v>161</v>
          </cell>
        </row>
        <row r="1359">
          <cell r="H1359">
            <v>151</v>
          </cell>
        </row>
        <row r="1360">
          <cell r="H1360">
            <v>151</v>
          </cell>
        </row>
        <row r="1361">
          <cell r="H1361">
            <v>151</v>
          </cell>
        </row>
        <row r="1362">
          <cell r="H1362">
            <v>151</v>
          </cell>
        </row>
        <row r="1363">
          <cell r="H1363">
            <v>151</v>
          </cell>
        </row>
        <row r="1389">
          <cell r="H1389">
            <v>0.37</v>
          </cell>
        </row>
        <row r="1400">
          <cell r="H1400">
            <v>50</v>
          </cell>
        </row>
        <row r="1403">
          <cell r="H1403">
            <v>50</v>
          </cell>
        </row>
        <row r="1409">
          <cell r="H1409">
            <v>500</v>
          </cell>
        </row>
        <row r="1410">
          <cell r="H1410">
            <v>150</v>
          </cell>
        </row>
        <row r="1411">
          <cell r="H1411">
            <v>100</v>
          </cell>
        </row>
        <row r="1412">
          <cell r="H1412">
            <v>8.33</v>
          </cell>
        </row>
        <row r="1413">
          <cell r="H1413">
            <v>2.27</v>
          </cell>
        </row>
        <row r="1414">
          <cell r="H1414">
            <v>2.27</v>
          </cell>
        </row>
        <row r="1415">
          <cell r="H1415">
            <v>12.15</v>
          </cell>
        </row>
        <row r="1416">
          <cell r="H1416">
            <v>13.01</v>
          </cell>
        </row>
        <row r="1417">
          <cell r="H1417">
            <v>1.3</v>
          </cell>
        </row>
        <row r="1418">
          <cell r="H1418">
            <v>130.57</v>
          </cell>
        </row>
        <row r="1419">
          <cell r="H1419">
            <v>73.069999999999993</v>
          </cell>
        </row>
        <row r="1420">
          <cell r="H1420">
            <v>27.88</v>
          </cell>
        </row>
        <row r="1421">
          <cell r="H1421">
            <v>155.44999999999999</v>
          </cell>
        </row>
        <row r="1422">
          <cell r="H1422">
            <v>140.31</v>
          </cell>
        </row>
        <row r="1423">
          <cell r="H1423">
            <v>3.09</v>
          </cell>
        </row>
        <row r="1424">
          <cell r="H1424">
            <v>0.43</v>
          </cell>
        </row>
        <row r="1425">
          <cell r="H1425">
            <v>1.1000000000000001</v>
          </cell>
        </row>
        <row r="1426">
          <cell r="H1426">
            <v>0.31</v>
          </cell>
        </row>
        <row r="1427">
          <cell r="H1427">
            <v>4.07</v>
          </cell>
        </row>
        <row r="1428">
          <cell r="H1428">
            <v>0.39</v>
          </cell>
        </row>
        <row r="1429">
          <cell r="H1429">
            <v>1.04</v>
          </cell>
        </row>
        <row r="1430">
          <cell r="H1430">
            <v>0.3</v>
          </cell>
        </row>
        <row r="1431">
          <cell r="H1431">
            <v>2.88</v>
          </cell>
        </row>
        <row r="1432">
          <cell r="H1432">
            <v>300</v>
          </cell>
        </row>
        <row r="1433">
          <cell r="H1433">
            <v>123.47</v>
          </cell>
        </row>
        <row r="1434">
          <cell r="H1434">
            <v>150.86000000000001</v>
          </cell>
        </row>
        <row r="1435">
          <cell r="H1435">
            <v>133.91</v>
          </cell>
        </row>
        <row r="1436">
          <cell r="H1436">
            <v>51.81</v>
          </cell>
        </row>
        <row r="1437">
          <cell r="H1437">
            <v>43.8</v>
          </cell>
        </row>
        <row r="1438">
          <cell r="H1438">
            <v>324.99</v>
          </cell>
        </row>
        <row r="1439">
          <cell r="H1439">
            <v>494.11</v>
          </cell>
        </row>
        <row r="1443">
          <cell r="H1443">
            <v>1287.06</v>
          </cell>
        </row>
        <row r="1444">
          <cell r="H1444">
            <v>405.54</v>
          </cell>
        </row>
        <row r="1451">
          <cell r="H1451">
            <v>235.75</v>
          </cell>
        </row>
        <row r="1456">
          <cell r="H1456">
            <v>0.3</v>
          </cell>
        </row>
        <row r="1458">
          <cell r="H1458">
            <v>0.3</v>
          </cell>
        </row>
        <row r="1459">
          <cell r="H1459">
            <v>2.1</v>
          </cell>
        </row>
        <row r="1460">
          <cell r="H1460">
            <v>51.6</v>
          </cell>
        </row>
        <row r="1461">
          <cell r="H1461">
            <v>50</v>
          </cell>
        </row>
        <row r="1462">
          <cell r="H1462">
            <v>1.5</v>
          </cell>
        </row>
        <row r="1465">
          <cell r="H1465">
            <v>2</v>
          </cell>
        </row>
        <row r="1466">
          <cell r="H1466">
            <v>4.5</v>
          </cell>
        </row>
        <row r="1467">
          <cell r="H1467">
            <v>2.2000000000000002</v>
          </cell>
        </row>
        <row r="1468">
          <cell r="H1468">
            <v>0.5</v>
          </cell>
        </row>
        <row r="1469">
          <cell r="H1469">
            <v>3.6</v>
          </cell>
        </row>
        <row r="1470">
          <cell r="H1470">
            <v>2.7</v>
          </cell>
        </row>
        <row r="1471">
          <cell r="H1471">
            <v>3.5</v>
          </cell>
        </row>
        <row r="1472">
          <cell r="H1472">
            <v>2</v>
          </cell>
        </row>
        <row r="1473">
          <cell r="H1473">
            <v>1.6</v>
          </cell>
        </row>
        <row r="1476">
          <cell r="H1476">
            <v>3.5</v>
          </cell>
        </row>
      </sheetData>
      <sheetData sheetId="14"/>
      <sheetData sheetId="15"/>
      <sheetData sheetId="16" refreshError="1"/>
      <sheetData sheetId="17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960887"/>
      <sheetName val="comp1"/>
      <sheetName val="PROJETO"/>
      <sheetName val="Capa"/>
      <sheetName val="Sumário"/>
      <sheetName val="Capa Apres"/>
      <sheetName val="Apres"/>
      <sheetName val="Capa Mapa"/>
      <sheetName val="Mapa"/>
      <sheetName val="Capa Premissas"/>
      <sheetName val="Premissas"/>
      <sheetName val="Capa Caract. Seg."/>
      <sheetName val="Áreas gramadas"/>
      <sheetName val="OAE"/>
      <sheetName val="Drenagem"/>
      <sheetName val="Capa Memória de Calc"/>
      <sheetName val="Características"/>
      <sheetName val="Percentual"/>
      <sheetName val="M2"/>
      <sheetName val="Quantitativos"/>
      <sheetName val="CMB"/>
      <sheetName val="ESP"/>
      <sheetName val="Fresagem"/>
      <sheetName val="Capa Resumo"/>
      <sheetName val="Unifilar"/>
      <sheetName val="Orçamento Total"/>
      <sheetName val="Crono. Financ. (kmf) (2)"/>
      <sheetName val="Orçamento por Kmf"/>
      <sheetName val="Orçamento por solução"/>
      <sheetName val="Orçamento Kmf"/>
      <sheetName val="Orçam. Resumo"/>
      <sheetName val="Crono. Financ."/>
      <sheetName val="Canteiro"/>
      <sheetName val="Capa Documentação"/>
      <sheetName val="Capa Anexo I"/>
      <sheetName val="LVC"/>
      <sheetName val="Capa Anexo II"/>
      <sheetName val="Capa Anexo III"/>
      <sheetName val="Capa Anexo IV"/>
      <sheetName val="AVS"/>
      <sheetName val="Ctr."/>
      <sheetName val="SIIG 2010-Jun"/>
      <sheetName val="Estimativa"/>
      <sheetName val="Orçamento"/>
      <sheetName val="QuQuant"/>
      <sheetName val="DADOS"/>
      <sheetName val="Orçamentária"/>
    </sheetNames>
    <definedNames>
      <definedName name="PassaExtenso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-OK"/>
      <sheetName val="elétrica-alta-OK"/>
      <sheetName val="COMP ELÉTRICA ALTA-OK"/>
      <sheetName val="elétrica-baixa-OK"/>
      <sheetName val="COMP.ELÉTRICA BAIXA"/>
      <sheetName val="lógica-ok"/>
      <sheetName val="COMP.LÓGICA"/>
      <sheetName val="som-ok"/>
      <sheetName val="COMP SOM"/>
      <sheetName val="incêndio-ok"/>
      <sheetName val="COMP INCÊNDIO"/>
      <sheetName val="spda-ok"/>
      <sheetName val="COMP SPDA"/>
      <sheetName val="hidráulica-ok"/>
      <sheetName val="COMP HIDRAULICA"/>
      <sheetName val="sanit-dren-ok"/>
      <sheetName val="COMP. SANITÁRIA"/>
      <sheetName val="Drenagem Pluvial-ok"/>
      <sheetName val="COMP DRENAGEM"/>
      <sheetName val="climatização-ok"/>
      <sheetName val="COMP CLIMATIZAÇÃO"/>
      <sheetName val="GLP"/>
      <sheetName val="COMP G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3.66</v>
          </cell>
        </row>
        <row r="36">
          <cell r="E36">
            <v>12.94</v>
          </cell>
        </row>
        <row r="45">
          <cell r="E45">
            <v>22.79</v>
          </cell>
        </row>
        <row r="54">
          <cell r="E54">
            <v>33.880000000000003</v>
          </cell>
        </row>
        <row r="63">
          <cell r="E63">
            <v>44.57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CAMENTO"/>
      <sheetName val="CRONOGRAMA"/>
      <sheetName val="AUX"/>
      <sheetName val="BDI"/>
      <sheetName val="S-I-01-21"/>
      <sheetName val="S-C-01-21"/>
      <sheetName val="CUSTO DIRETO"/>
      <sheetName val="COMPOSICOES PROPRIAS"/>
      <sheetName val="COMPOSICOES AUXILIARES"/>
      <sheetName val="CURVA ABC SERVICOS"/>
      <sheetName val="CURVA ABC INSUMOS"/>
      <sheetName val="CRONOGRAMA INSUMOS"/>
      <sheetName val="ENCARGOS SOCIAIS"/>
    </sheetNames>
    <sheetDataSet>
      <sheetData sheetId="0" refreshError="1"/>
      <sheetData sheetId="1"/>
      <sheetData sheetId="2">
        <row r="2296">
          <cell r="A2296" t="str">
            <v>PLACA DE INAUGURAÇÃO DE OBRA EM ALUMÍNIO 0,60 X 0,80 M</v>
          </cell>
        </row>
      </sheetData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Insumos (2)"/>
      <sheetName val="Cronograma"/>
      <sheetName val="Orçamento"/>
      <sheetName val="Instalações"/>
      <sheetName val="ORÇ DET"/>
      <sheetName val="Equipamentos"/>
      <sheetName val="Res.M.deCálculo"/>
      <sheetName val="M.deCálculoTérreo"/>
      <sheetName val="Comp3"/>
      <sheetName val="Comp2"/>
      <sheetName val="Comp1"/>
      <sheetName val="Fossa-sumidouro"/>
      <sheetName val="Plan1 (2)"/>
      <sheetName val="Eletrica"/>
    </sheetNames>
    <sheetDataSet>
      <sheetData sheetId="0">
        <row r="2">
          <cell r="C2">
            <v>415</v>
          </cell>
        </row>
        <row r="3">
          <cell r="C3">
            <v>0.75</v>
          </cell>
        </row>
        <row r="7">
          <cell r="C7">
            <v>775</v>
          </cell>
        </row>
        <row r="8">
          <cell r="C8">
            <v>306.24</v>
          </cell>
        </row>
        <row r="13">
          <cell r="E13">
            <v>5.9</v>
          </cell>
        </row>
        <row r="14">
          <cell r="E14">
            <v>4.71</v>
          </cell>
        </row>
        <row r="15">
          <cell r="E15">
            <v>3.54</v>
          </cell>
        </row>
        <row r="16">
          <cell r="E16">
            <v>2.4300000000000002</v>
          </cell>
        </row>
        <row r="17">
          <cell r="E17">
            <v>2.36</v>
          </cell>
        </row>
        <row r="20">
          <cell r="E20">
            <v>0.57999999999999996</v>
          </cell>
        </row>
        <row r="21">
          <cell r="E21">
            <v>3.5</v>
          </cell>
        </row>
        <row r="22">
          <cell r="E22">
            <v>0.34</v>
          </cell>
        </row>
        <row r="23">
          <cell r="E23">
            <v>48.75</v>
          </cell>
        </row>
        <row r="24">
          <cell r="E24">
            <v>48.75</v>
          </cell>
        </row>
        <row r="25">
          <cell r="E25">
            <v>27.5</v>
          </cell>
        </row>
        <row r="26">
          <cell r="E26">
            <v>25</v>
          </cell>
        </row>
        <row r="27">
          <cell r="E27">
            <v>75</v>
          </cell>
        </row>
        <row r="28">
          <cell r="E28">
            <v>0.45</v>
          </cell>
        </row>
        <row r="29">
          <cell r="E29">
            <v>40.630000000000003</v>
          </cell>
        </row>
        <row r="30">
          <cell r="E30">
            <v>21.88</v>
          </cell>
        </row>
        <row r="31">
          <cell r="E31">
            <v>28.13</v>
          </cell>
        </row>
        <row r="32">
          <cell r="E32">
            <v>0.13</v>
          </cell>
        </row>
        <row r="35">
          <cell r="E35">
            <v>0.26</v>
          </cell>
        </row>
        <row r="36">
          <cell r="E36">
            <v>0.11</v>
          </cell>
        </row>
        <row r="37">
          <cell r="E37">
            <v>0.17</v>
          </cell>
        </row>
        <row r="38">
          <cell r="E38">
            <v>0.41</v>
          </cell>
        </row>
        <row r="39">
          <cell r="E39">
            <v>15.24</v>
          </cell>
        </row>
        <row r="42">
          <cell r="E42">
            <v>0.3</v>
          </cell>
        </row>
        <row r="43">
          <cell r="E43">
            <v>0.26</v>
          </cell>
        </row>
        <row r="44">
          <cell r="E44">
            <v>0.44</v>
          </cell>
        </row>
        <row r="45">
          <cell r="E45">
            <v>11.96</v>
          </cell>
        </row>
        <row r="46">
          <cell r="E46">
            <v>14.45</v>
          </cell>
        </row>
        <row r="47">
          <cell r="E47">
            <v>20.94</v>
          </cell>
        </row>
        <row r="48">
          <cell r="E48">
            <v>21.88</v>
          </cell>
        </row>
        <row r="54">
          <cell r="E54">
            <v>6.75</v>
          </cell>
        </row>
        <row r="55">
          <cell r="E55">
            <v>6.79</v>
          </cell>
        </row>
        <row r="56">
          <cell r="E56">
            <v>4.99</v>
          </cell>
        </row>
        <row r="57">
          <cell r="E57">
            <v>12.19</v>
          </cell>
        </row>
        <row r="58">
          <cell r="E58">
            <v>25.21</v>
          </cell>
        </row>
        <row r="59">
          <cell r="E59">
            <v>37.81</v>
          </cell>
        </row>
        <row r="60">
          <cell r="E60">
            <v>35.42</v>
          </cell>
        </row>
        <row r="62">
          <cell r="E62">
            <v>6.25</v>
          </cell>
        </row>
        <row r="63">
          <cell r="E63">
            <v>6.88</v>
          </cell>
        </row>
        <row r="64">
          <cell r="E64">
            <v>4.38</v>
          </cell>
        </row>
        <row r="65">
          <cell r="E65">
            <v>3.04</v>
          </cell>
        </row>
        <row r="66">
          <cell r="E66">
            <v>2.89</v>
          </cell>
        </row>
        <row r="67">
          <cell r="E67">
            <v>43.45</v>
          </cell>
        </row>
        <row r="68">
          <cell r="E68">
            <v>35.799999999999997</v>
          </cell>
        </row>
        <row r="69">
          <cell r="E69">
            <v>45</v>
          </cell>
        </row>
        <row r="70">
          <cell r="E70">
            <v>15</v>
          </cell>
        </row>
        <row r="71">
          <cell r="E71">
            <v>14.38</v>
          </cell>
        </row>
        <row r="72">
          <cell r="E72">
            <v>12.5</v>
          </cell>
        </row>
        <row r="75">
          <cell r="E75">
            <v>21.25</v>
          </cell>
        </row>
        <row r="76">
          <cell r="E76">
            <v>26.25</v>
          </cell>
        </row>
        <row r="77">
          <cell r="E77">
            <v>15</v>
          </cell>
        </row>
        <row r="78">
          <cell r="E78">
            <v>27.34</v>
          </cell>
        </row>
        <row r="79">
          <cell r="E79">
            <v>20.399999999999999</v>
          </cell>
        </row>
        <row r="80">
          <cell r="E80">
            <v>15</v>
          </cell>
        </row>
        <row r="81">
          <cell r="E81">
            <v>20.38</v>
          </cell>
        </row>
        <row r="82">
          <cell r="E82">
            <v>21.88</v>
          </cell>
        </row>
        <row r="83">
          <cell r="E83">
            <v>17.399999999999999</v>
          </cell>
        </row>
        <row r="84">
          <cell r="E84">
            <v>9.7899999999999991</v>
          </cell>
        </row>
        <row r="85">
          <cell r="E85">
            <v>26.25</v>
          </cell>
        </row>
        <row r="86">
          <cell r="E86">
            <v>40</v>
          </cell>
        </row>
        <row r="87">
          <cell r="E87">
            <v>33.75</v>
          </cell>
        </row>
        <row r="88">
          <cell r="E88">
            <v>1.25</v>
          </cell>
        </row>
        <row r="89">
          <cell r="E89">
            <v>0.46</v>
          </cell>
        </row>
        <row r="90">
          <cell r="E90">
            <v>0.25</v>
          </cell>
        </row>
        <row r="93">
          <cell r="E93">
            <v>18.75</v>
          </cell>
        </row>
        <row r="94">
          <cell r="E94">
            <v>28.13</v>
          </cell>
        </row>
        <row r="95">
          <cell r="E95">
            <v>62.5</v>
          </cell>
        </row>
        <row r="96">
          <cell r="E96">
            <v>0.28000000000000003</v>
          </cell>
        </row>
        <row r="99">
          <cell r="E99">
            <v>16.579999999999998</v>
          </cell>
        </row>
        <row r="100">
          <cell r="E100">
            <v>686.66</v>
          </cell>
        </row>
        <row r="101">
          <cell r="E101">
            <v>38.04</v>
          </cell>
        </row>
        <row r="102">
          <cell r="E102">
            <v>36.94</v>
          </cell>
        </row>
        <row r="105">
          <cell r="E105">
            <v>60.63</v>
          </cell>
        </row>
        <row r="106">
          <cell r="E106">
            <v>78.75</v>
          </cell>
        </row>
        <row r="107">
          <cell r="E107">
            <v>87.5</v>
          </cell>
        </row>
        <row r="108">
          <cell r="E108">
            <v>32.5</v>
          </cell>
        </row>
        <row r="109">
          <cell r="E109">
            <v>43.75</v>
          </cell>
        </row>
        <row r="110">
          <cell r="E110">
            <v>50</v>
          </cell>
        </row>
        <row r="111">
          <cell r="E111">
            <v>225</v>
          </cell>
        </row>
        <row r="112">
          <cell r="E112">
            <v>112.5</v>
          </cell>
        </row>
        <row r="115">
          <cell r="E115">
            <v>545.94000000000005</v>
          </cell>
        </row>
        <row r="116">
          <cell r="E116">
            <v>545.27</v>
          </cell>
        </row>
        <row r="117">
          <cell r="E117">
            <v>274.48</v>
          </cell>
        </row>
        <row r="120">
          <cell r="E120">
            <v>390.78</v>
          </cell>
        </row>
        <row r="121">
          <cell r="E121">
            <v>648.27</v>
          </cell>
        </row>
        <row r="122">
          <cell r="E122">
            <v>187.5</v>
          </cell>
        </row>
        <row r="125">
          <cell r="E125">
            <v>27.5</v>
          </cell>
        </row>
        <row r="126">
          <cell r="E126">
            <v>32.5</v>
          </cell>
        </row>
        <row r="127">
          <cell r="E127">
            <v>13.75</v>
          </cell>
        </row>
        <row r="128">
          <cell r="E128">
            <v>32.5</v>
          </cell>
        </row>
        <row r="129">
          <cell r="E129">
            <v>17.38</v>
          </cell>
        </row>
        <row r="130">
          <cell r="E130">
            <v>0.63</v>
          </cell>
        </row>
        <row r="131">
          <cell r="E131">
            <v>1.5</v>
          </cell>
        </row>
        <row r="132">
          <cell r="E132">
            <v>3.11</v>
          </cell>
        </row>
        <row r="136">
          <cell r="E136">
            <v>16.25</v>
          </cell>
        </row>
        <row r="137">
          <cell r="E137">
            <v>22.5</v>
          </cell>
        </row>
        <row r="138">
          <cell r="E138">
            <v>25</v>
          </cell>
        </row>
        <row r="139">
          <cell r="E139">
            <v>15</v>
          </cell>
        </row>
        <row r="140">
          <cell r="E140">
            <v>64.38</v>
          </cell>
        </row>
        <row r="141">
          <cell r="E141">
            <v>3.25</v>
          </cell>
        </row>
        <row r="142">
          <cell r="E142">
            <v>188.1</v>
          </cell>
        </row>
        <row r="143">
          <cell r="E143">
            <v>3</v>
          </cell>
        </row>
        <row r="144">
          <cell r="E144">
            <v>487.5</v>
          </cell>
        </row>
        <row r="145">
          <cell r="E145">
            <v>6</v>
          </cell>
        </row>
        <row r="146">
          <cell r="E146">
            <v>131.76</v>
          </cell>
        </row>
        <row r="147">
          <cell r="E147">
            <v>3.19</v>
          </cell>
        </row>
        <row r="148">
          <cell r="E148">
            <v>31.25</v>
          </cell>
        </row>
        <row r="149">
          <cell r="E149">
            <v>31.25</v>
          </cell>
        </row>
        <row r="150">
          <cell r="E150">
            <v>31.25</v>
          </cell>
        </row>
        <row r="151">
          <cell r="E151">
            <v>28.75</v>
          </cell>
        </row>
        <row r="152">
          <cell r="E152">
            <v>28.75</v>
          </cell>
        </row>
        <row r="153">
          <cell r="E153">
            <v>28.75</v>
          </cell>
        </row>
        <row r="154">
          <cell r="E154">
            <v>3.83</v>
          </cell>
        </row>
        <row r="155">
          <cell r="E155">
            <v>37.5</v>
          </cell>
        </row>
        <row r="156">
          <cell r="E156">
            <v>37.5</v>
          </cell>
        </row>
        <row r="157">
          <cell r="E157">
            <v>37.5</v>
          </cell>
        </row>
        <row r="158">
          <cell r="E158">
            <v>25</v>
          </cell>
        </row>
        <row r="159">
          <cell r="E159">
            <v>25</v>
          </cell>
        </row>
        <row r="160">
          <cell r="E160">
            <v>25</v>
          </cell>
        </row>
        <row r="161">
          <cell r="E161">
            <v>0.63</v>
          </cell>
        </row>
        <row r="164">
          <cell r="E164">
            <v>0.31</v>
          </cell>
        </row>
        <row r="165">
          <cell r="E165">
            <v>0.56000000000000005</v>
          </cell>
        </row>
        <row r="166">
          <cell r="E166">
            <v>0.44</v>
          </cell>
        </row>
        <row r="167">
          <cell r="E167">
            <v>0.25</v>
          </cell>
        </row>
        <row r="168">
          <cell r="E168">
            <v>0.38</v>
          </cell>
        </row>
        <row r="169">
          <cell r="E169">
            <v>7.5</v>
          </cell>
        </row>
        <row r="172">
          <cell r="E172">
            <v>162</v>
          </cell>
        </row>
        <row r="173">
          <cell r="E173">
            <v>630</v>
          </cell>
        </row>
        <row r="174">
          <cell r="E174">
            <v>945</v>
          </cell>
        </row>
        <row r="176">
          <cell r="E176">
            <v>102.5</v>
          </cell>
        </row>
        <row r="177">
          <cell r="E177">
            <v>100</v>
          </cell>
        </row>
        <row r="178">
          <cell r="E178">
            <v>945</v>
          </cell>
        </row>
        <row r="179">
          <cell r="E179">
            <v>187.5</v>
          </cell>
        </row>
        <row r="180">
          <cell r="E180">
            <v>315</v>
          </cell>
        </row>
        <row r="181">
          <cell r="E181">
            <v>247.54</v>
          </cell>
        </row>
        <row r="182">
          <cell r="E182">
            <v>125</v>
          </cell>
        </row>
        <row r="183">
          <cell r="E183">
            <v>187.5</v>
          </cell>
        </row>
        <row r="184">
          <cell r="E184">
            <v>125</v>
          </cell>
        </row>
        <row r="185">
          <cell r="E185">
            <v>45</v>
          </cell>
        </row>
        <row r="186">
          <cell r="E186">
            <v>90</v>
          </cell>
        </row>
        <row r="187">
          <cell r="E187">
            <v>150</v>
          </cell>
        </row>
        <row r="188">
          <cell r="E188">
            <v>62.5</v>
          </cell>
        </row>
        <row r="189">
          <cell r="E189">
            <v>37.5</v>
          </cell>
        </row>
        <row r="190">
          <cell r="E190">
            <v>37.5</v>
          </cell>
        </row>
        <row r="191">
          <cell r="E191">
            <v>125</v>
          </cell>
        </row>
        <row r="193">
          <cell r="E193">
            <v>187.5</v>
          </cell>
        </row>
        <row r="194">
          <cell r="E194">
            <v>62.5</v>
          </cell>
        </row>
        <row r="196">
          <cell r="E196">
            <v>50</v>
          </cell>
        </row>
        <row r="197">
          <cell r="E197">
            <v>90</v>
          </cell>
        </row>
        <row r="198">
          <cell r="E198">
            <v>206.25</v>
          </cell>
        </row>
        <row r="199">
          <cell r="E199">
            <v>116.88</v>
          </cell>
        </row>
        <row r="200">
          <cell r="E200">
            <v>106.25</v>
          </cell>
        </row>
        <row r="201">
          <cell r="E201">
            <v>75</v>
          </cell>
        </row>
        <row r="202">
          <cell r="E202">
            <v>60.99</v>
          </cell>
        </row>
        <row r="204">
          <cell r="E204">
            <v>150</v>
          </cell>
        </row>
        <row r="205">
          <cell r="E205">
            <v>247.5</v>
          </cell>
        </row>
        <row r="206">
          <cell r="E206">
            <v>165</v>
          </cell>
        </row>
        <row r="207">
          <cell r="E207">
            <v>150</v>
          </cell>
        </row>
        <row r="208">
          <cell r="E208">
            <v>330</v>
          </cell>
        </row>
        <row r="209">
          <cell r="E209">
            <v>247.5</v>
          </cell>
        </row>
        <row r="210">
          <cell r="E210">
            <v>297</v>
          </cell>
        </row>
        <row r="211">
          <cell r="E211">
            <v>87.5</v>
          </cell>
        </row>
        <row r="214">
          <cell r="E214">
            <v>54.01</v>
          </cell>
        </row>
        <row r="215">
          <cell r="E215">
            <v>71.430000000000007</v>
          </cell>
        </row>
        <row r="216">
          <cell r="E216">
            <v>85.71</v>
          </cell>
        </row>
        <row r="217">
          <cell r="E217">
            <v>150</v>
          </cell>
        </row>
        <row r="218">
          <cell r="E218">
            <v>35.71</v>
          </cell>
        </row>
        <row r="219">
          <cell r="E219">
            <v>56.25</v>
          </cell>
        </row>
        <row r="220">
          <cell r="E220">
            <v>56.25</v>
          </cell>
        </row>
        <row r="221">
          <cell r="E221">
            <v>56.25</v>
          </cell>
        </row>
        <row r="222">
          <cell r="E222">
            <v>82.5</v>
          </cell>
        </row>
        <row r="223">
          <cell r="E223">
            <v>830.3</v>
          </cell>
        </row>
        <row r="224">
          <cell r="E224">
            <v>1556.81</v>
          </cell>
        </row>
        <row r="225">
          <cell r="E225">
            <v>1712.5</v>
          </cell>
        </row>
        <row r="226">
          <cell r="E226">
            <v>150</v>
          </cell>
        </row>
        <row r="227">
          <cell r="E227">
            <v>150</v>
          </cell>
        </row>
        <row r="228">
          <cell r="E228">
            <v>150</v>
          </cell>
        </row>
        <row r="229">
          <cell r="E229">
            <v>150</v>
          </cell>
        </row>
        <row r="230">
          <cell r="E230">
            <v>153.13</v>
          </cell>
        </row>
        <row r="231">
          <cell r="E231">
            <v>93.75</v>
          </cell>
        </row>
        <row r="232">
          <cell r="E232">
            <v>82.5</v>
          </cell>
        </row>
        <row r="233">
          <cell r="E233">
            <v>99</v>
          </cell>
        </row>
        <row r="234">
          <cell r="E234">
            <v>123.75</v>
          </cell>
        </row>
        <row r="235">
          <cell r="E235">
            <v>312.5</v>
          </cell>
        </row>
        <row r="238">
          <cell r="E238">
            <v>170</v>
          </cell>
        </row>
        <row r="239">
          <cell r="E239">
            <v>285</v>
          </cell>
        </row>
        <row r="240">
          <cell r="E240">
            <v>974.5</v>
          </cell>
        </row>
        <row r="241">
          <cell r="E241">
            <v>2227.5</v>
          </cell>
        </row>
        <row r="242">
          <cell r="E242">
            <v>2442.5</v>
          </cell>
        </row>
        <row r="243">
          <cell r="E243">
            <v>1332.5</v>
          </cell>
        </row>
        <row r="246">
          <cell r="E246">
            <v>15</v>
          </cell>
        </row>
        <row r="247">
          <cell r="E247">
            <v>11.5</v>
          </cell>
        </row>
        <row r="248">
          <cell r="E248">
            <v>7.38</v>
          </cell>
        </row>
        <row r="249">
          <cell r="E249">
            <v>4.5</v>
          </cell>
        </row>
        <row r="250">
          <cell r="E250">
            <v>22.25</v>
          </cell>
        </row>
        <row r="251">
          <cell r="E251">
            <v>23.03</v>
          </cell>
        </row>
        <row r="252">
          <cell r="E252">
            <v>5.35</v>
          </cell>
        </row>
        <row r="253">
          <cell r="E253">
            <v>4.75</v>
          </cell>
        </row>
        <row r="256">
          <cell r="E256">
            <v>33.75</v>
          </cell>
        </row>
        <row r="257">
          <cell r="E257">
            <v>80.63</v>
          </cell>
        </row>
        <row r="258">
          <cell r="E258">
            <v>3.59</v>
          </cell>
        </row>
        <row r="259">
          <cell r="E259">
            <v>1.78</v>
          </cell>
        </row>
        <row r="260">
          <cell r="E260">
            <v>3.48</v>
          </cell>
        </row>
        <row r="261">
          <cell r="E261">
            <v>187.5</v>
          </cell>
        </row>
        <row r="262">
          <cell r="E262">
            <v>6.25</v>
          </cell>
        </row>
        <row r="263">
          <cell r="E263">
            <v>187.5</v>
          </cell>
        </row>
        <row r="264">
          <cell r="E264">
            <v>112.5</v>
          </cell>
        </row>
        <row r="267">
          <cell r="E267">
            <v>12.5</v>
          </cell>
        </row>
        <row r="268">
          <cell r="E268">
            <v>45</v>
          </cell>
        </row>
        <row r="269">
          <cell r="E269">
            <v>11.25</v>
          </cell>
        </row>
        <row r="270">
          <cell r="E270">
            <v>199.24</v>
          </cell>
        </row>
        <row r="271">
          <cell r="E271">
            <v>110.5</v>
          </cell>
        </row>
        <row r="272">
          <cell r="E272">
            <v>109.74</v>
          </cell>
        </row>
        <row r="273">
          <cell r="E273">
            <v>69.38</v>
          </cell>
        </row>
        <row r="274">
          <cell r="E274">
            <v>37.5</v>
          </cell>
        </row>
        <row r="275">
          <cell r="E275">
            <v>25</v>
          </cell>
        </row>
        <row r="276">
          <cell r="E276">
            <v>15.81</v>
          </cell>
        </row>
        <row r="277">
          <cell r="E277">
            <v>25.11</v>
          </cell>
        </row>
        <row r="278">
          <cell r="E278">
            <v>3.7</v>
          </cell>
        </row>
        <row r="279">
          <cell r="E279">
            <v>8.43</v>
          </cell>
        </row>
        <row r="280">
          <cell r="E280">
            <v>3.21</v>
          </cell>
        </row>
        <row r="281">
          <cell r="E281">
            <v>2</v>
          </cell>
        </row>
        <row r="282">
          <cell r="E282">
            <v>2</v>
          </cell>
        </row>
        <row r="283">
          <cell r="E283">
            <v>2</v>
          </cell>
        </row>
        <row r="284">
          <cell r="E284">
            <v>1.25</v>
          </cell>
        </row>
        <row r="285">
          <cell r="E285">
            <v>46.88</v>
          </cell>
        </row>
        <row r="286">
          <cell r="E286">
            <v>42.38</v>
          </cell>
        </row>
        <row r="287">
          <cell r="E287">
            <v>25.38</v>
          </cell>
        </row>
        <row r="288">
          <cell r="E288">
            <v>6.88</v>
          </cell>
        </row>
        <row r="289">
          <cell r="E289">
            <v>6.13</v>
          </cell>
        </row>
        <row r="290">
          <cell r="E290">
            <v>6.88</v>
          </cell>
        </row>
        <row r="291">
          <cell r="E291">
            <v>6.88</v>
          </cell>
        </row>
        <row r="292">
          <cell r="E292">
            <v>48.03</v>
          </cell>
        </row>
        <row r="293">
          <cell r="E293">
            <v>68.680000000000007</v>
          </cell>
        </row>
        <row r="294">
          <cell r="E294">
            <v>39.380000000000003</v>
          </cell>
        </row>
        <row r="295">
          <cell r="E295">
            <v>61.25</v>
          </cell>
        </row>
        <row r="296">
          <cell r="E296">
            <v>34</v>
          </cell>
        </row>
        <row r="297">
          <cell r="E297">
            <v>42.5</v>
          </cell>
        </row>
        <row r="298">
          <cell r="E298">
            <v>98.13</v>
          </cell>
        </row>
        <row r="299">
          <cell r="E299">
            <v>81.25</v>
          </cell>
        </row>
        <row r="300">
          <cell r="E300">
            <v>35.25</v>
          </cell>
        </row>
        <row r="301">
          <cell r="E301">
            <v>27.88</v>
          </cell>
        </row>
        <row r="302">
          <cell r="E302">
            <v>11.88</v>
          </cell>
        </row>
        <row r="303">
          <cell r="E303">
            <v>6.25</v>
          </cell>
        </row>
        <row r="304">
          <cell r="E304">
            <v>1.88</v>
          </cell>
        </row>
        <row r="305">
          <cell r="E305">
            <v>2.69</v>
          </cell>
        </row>
        <row r="306">
          <cell r="E306">
            <v>3.13</v>
          </cell>
        </row>
        <row r="307">
          <cell r="E307">
            <v>4.5</v>
          </cell>
        </row>
        <row r="308">
          <cell r="E308">
            <v>6</v>
          </cell>
        </row>
        <row r="309">
          <cell r="E309">
            <v>10</v>
          </cell>
        </row>
        <row r="310">
          <cell r="E310">
            <v>15</v>
          </cell>
        </row>
        <row r="311">
          <cell r="E311">
            <v>9</v>
          </cell>
        </row>
        <row r="312">
          <cell r="E312">
            <v>10.5</v>
          </cell>
        </row>
        <row r="313">
          <cell r="E313">
            <v>6</v>
          </cell>
        </row>
        <row r="314">
          <cell r="E314">
            <v>6.38</v>
          </cell>
        </row>
        <row r="315">
          <cell r="E315">
            <v>6.69</v>
          </cell>
        </row>
        <row r="316">
          <cell r="E316">
            <v>6.5</v>
          </cell>
        </row>
        <row r="317">
          <cell r="E317">
            <v>8.5</v>
          </cell>
        </row>
        <row r="318">
          <cell r="E318">
            <v>6.69</v>
          </cell>
        </row>
        <row r="319">
          <cell r="E319">
            <v>36.380000000000003</v>
          </cell>
        </row>
        <row r="320">
          <cell r="E320">
            <v>8.75</v>
          </cell>
        </row>
        <row r="321">
          <cell r="E321">
            <v>6.5</v>
          </cell>
        </row>
        <row r="322">
          <cell r="E322">
            <v>8.5</v>
          </cell>
        </row>
        <row r="323">
          <cell r="E323">
            <v>8.5</v>
          </cell>
        </row>
        <row r="324">
          <cell r="E324">
            <v>8.5</v>
          </cell>
        </row>
        <row r="325">
          <cell r="E325">
            <v>6.04</v>
          </cell>
        </row>
        <row r="326">
          <cell r="E326">
            <v>18.75</v>
          </cell>
        </row>
        <row r="327">
          <cell r="E327">
            <v>18.88</v>
          </cell>
        </row>
        <row r="328">
          <cell r="E328">
            <v>18.75</v>
          </cell>
        </row>
        <row r="329">
          <cell r="E329">
            <v>2</v>
          </cell>
        </row>
        <row r="330">
          <cell r="E330">
            <v>5.88</v>
          </cell>
        </row>
        <row r="331">
          <cell r="E331">
            <v>2.6</v>
          </cell>
        </row>
        <row r="332">
          <cell r="E332">
            <v>17.25</v>
          </cell>
        </row>
        <row r="333">
          <cell r="E333">
            <v>30.14</v>
          </cell>
        </row>
        <row r="334">
          <cell r="E334">
            <v>1.51</v>
          </cell>
        </row>
        <row r="335">
          <cell r="E335">
            <v>1.63</v>
          </cell>
        </row>
        <row r="336">
          <cell r="E336">
            <v>0.81</v>
          </cell>
        </row>
        <row r="337">
          <cell r="E337">
            <v>0.75</v>
          </cell>
        </row>
        <row r="338">
          <cell r="E338">
            <v>38.43</v>
          </cell>
        </row>
        <row r="339">
          <cell r="E339">
            <v>6.25</v>
          </cell>
        </row>
        <row r="340">
          <cell r="E340">
            <v>6</v>
          </cell>
        </row>
        <row r="341">
          <cell r="E341">
            <v>5.53</v>
          </cell>
        </row>
        <row r="342">
          <cell r="E342">
            <v>5.53</v>
          </cell>
        </row>
        <row r="343">
          <cell r="E343">
            <v>5.53</v>
          </cell>
        </row>
        <row r="344">
          <cell r="E344">
            <v>1.24</v>
          </cell>
        </row>
        <row r="345">
          <cell r="E345">
            <v>1.54</v>
          </cell>
        </row>
        <row r="346">
          <cell r="E346">
            <v>1.71</v>
          </cell>
        </row>
        <row r="347">
          <cell r="E347">
            <v>0.71</v>
          </cell>
        </row>
        <row r="348">
          <cell r="E348">
            <v>0.84</v>
          </cell>
        </row>
        <row r="349">
          <cell r="E349">
            <v>1.25</v>
          </cell>
        </row>
        <row r="350">
          <cell r="E350">
            <v>0.24</v>
          </cell>
        </row>
        <row r="351">
          <cell r="E351">
            <v>0.9</v>
          </cell>
        </row>
        <row r="352">
          <cell r="E352">
            <v>2.08</v>
          </cell>
        </row>
        <row r="353">
          <cell r="E353">
            <v>0.75</v>
          </cell>
        </row>
        <row r="354">
          <cell r="E354">
            <v>1.47</v>
          </cell>
        </row>
        <row r="355">
          <cell r="E355">
            <v>1.94</v>
          </cell>
        </row>
        <row r="356">
          <cell r="E356">
            <v>1.94</v>
          </cell>
        </row>
        <row r="357">
          <cell r="E357">
            <v>1.42</v>
          </cell>
        </row>
        <row r="358">
          <cell r="E358">
            <v>7.27</v>
          </cell>
        </row>
        <row r="359">
          <cell r="E359">
            <v>0.4</v>
          </cell>
        </row>
        <row r="360">
          <cell r="E360">
            <v>2.7</v>
          </cell>
        </row>
        <row r="361">
          <cell r="E361">
            <v>1.25</v>
          </cell>
        </row>
        <row r="362">
          <cell r="E362">
            <v>7.73</v>
          </cell>
        </row>
        <row r="363">
          <cell r="E363">
            <v>0.31</v>
          </cell>
        </row>
        <row r="364">
          <cell r="E364">
            <v>1.1100000000000001</v>
          </cell>
        </row>
        <row r="365">
          <cell r="E365">
            <v>1.74</v>
          </cell>
        </row>
        <row r="366">
          <cell r="E366">
            <v>9.48</v>
          </cell>
        </row>
        <row r="367">
          <cell r="E367">
            <v>1.71</v>
          </cell>
        </row>
        <row r="368">
          <cell r="E368">
            <v>111.25</v>
          </cell>
        </row>
        <row r="369">
          <cell r="E369">
            <v>746.75</v>
          </cell>
        </row>
        <row r="370">
          <cell r="E370">
            <v>1217</v>
          </cell>
        </row>
        <row r="371">
          <cell r="E371">
            <v>2847.5</v>
          </cell>
        </row>
        <row r="372">
          <cell r="E372">
            <v>3550</v>
          </cell>
        </row>
        <row r="373">
          <cell r="E373">
            <v>4375</v>
          </cell>
        </row>
        <row r="374">
          <cell r="E374">
            <v>1575</v>
          </cell>
        </row>
        <row r="375">
          <cell r="E375">
            <v>1875</v>
          </cell>
        </row>
        <row r="376">
          <cell r="E376">
            <v>2312.5</v>
          </cell>
        </row>
        <row r="377">
          <cell r="E377">
            <v>2625</v>
          </cell>
        </row>
        <row r="378">
          <cell r="E378">
            <v>400</v>
          </cell>
        </row>
        <row r="379">
          <cell r="E379">
            <v>437.5</v>
          </cell>
        </row>
        <row r="382">
          <cell r="E382">
            <v>1000</v>
          </cell>
        </row>
        <row r="383">
          <cell r="E383">
            <v>1302.0899999999999</v>
          </cell>
        </row>
        <row r="384">
          <cell r="E384">
            <v>1875</v>
          </cell>
        </row>
        <row r="385">
          <cell r="E385">
            <v>3.66</v>
          </cell>
        </row>
        <row r="386">
          <cell r="E386">
            <v>4.3600000000000003</v>
          </cell>
        </row>
        <row r="387">
          <cell r="E387">
            <v>5.59</v>
          </cell>
        </row>
        <row r="388">
          <cell r="E388">
            <v>5.56</v>
          </cell>
        </row>
        <row r="389">
          <cell r="E389">
            <v>6.65</v>
          </cell>
        </row>
        <row r="390">
          <cell r="E390">
            <v>8.5</v>
          </cell>
        </row>
        <row r="391">
          <cell r="E391">
            <v>7.39</v>
          </cell>
        </row>
        <row r="392">
          <cell r="E392">
            <v>8.7899999999999991</v>
          </cell>
        </row>
        <row r="393">
          <cell r="E393">
            <v>11.25</v>
          </cell>
        </row>
        <row r="394">
          <cell r="E394">
            <v>12.39</v>
          </cell>
        </row>
        <row r="395">
          <cell r="E395">
            <v>14.74</v>
          </cell>
        </row>
        <row r="396">
          <cell r="E396">
            <v>18.850000000000001</v>
          </cell>
        </row>
        <row r="397">
          <cell r="E397">
            <v>1.1299999999999999</v>
          </cell>
        </row>
        <row r="398">
          <cell r="E398">
            <v>1.46</v>
          </cell>
        </row>
        <row r="399">
          <cell r="E399">
            <v>2.94</v>
          </cell>
        </row>
        <row r="400">
          <cell r="E400">
            <v>5.4</v>
          </cell>
        </row>
        <row r="401">
          <cell r="E401">
            <v>5.56</v>
          </cell>
        </row>
        <row r="402">
          <cell r="E402">
            <v>0.85</v>
          </cell>
        </row>
        <row r="403">
          <cell r="E403">
            <v>0.26</v>
          </cell>
        </row>
        <row r="404">
          <cell r="E404">
            <v>46.14</v>
          </cell>
        </row>
        <row r="405">
          <cell r="E405">
            <v>0.5</v>
          </cell>
        </row>
        <row r="406">
          <cell r="E406">
            <v>2.64</v>
          </cell>
        </row>
        <row r="407">
          <cell r="E407">
            <v>38.69</v>
          </cell>
        </row>
        <row r="408">
          <cell r="E408">
            <v>2.75</v>
          </cell>
        </row>
        <row r="409">
          <cell r="E409">
            <v>1.88</v>
          </cell>
        </row>
        <row r="410">
          <cell r="E410">
            <v>6.51</v>
          </cell>
        </row>
        <row r="411">
          <cell r="E411">
            <v>7.7</v>
          </cell>
        </row>
        <row r="412">
          <cell r="E412">
            <v>14.74</v>
          </cell>
        </row>
        <row r="413">
          <cell r="E413">
            <v>5.13</v>
          </cell>
        </row>
        <row r="414">
          <cell r="E414">
            <v>43.75</v>
          </cell>
        </row>
        <row r="415">
          <cell r="E415">
            <v>2.92</v>
          </cell>
        </row>
        <row r="416">
          <cell r="E416">
            <v>0.94</v>
          </cell>
        </row>
        <row r="417">
          <cell r="E417">
            <v>1.29</v>
          </cell>
        </row>
        <row r="418">
          <cell r="E418">
            <v>47.5</v>
          </cell>
        </row>
        <row r="419">
          <cell r="E419">
            <v>3.15</v>
          </cell>
        </row>
        <row r="420">
          <cell r="E420">
            <v>4.38</v>
          </cell>
        </row>
        <row r="421">
          <cell r="E421">
            <v>11.81</v>
          </cell>
        </row>
        <row r="422">
          <cell r="E422">
            <v>20.65</v>
          </cell>
        </row>
        <row r="423">
          <cell r="E423">
            <v>37.5</v>
          </cell>
        </row>
        <row r="424">
          <cell r="E424">
            <v>17.34</v>
          </cell>
        </row>
        <row r="425">
          <cell r="E425">
            <v>15</v>
          </cell>
        </row>
        <row r="426">
          <cell r="E426">
            <v>14.58</v>
          </cell>
        </row>
        <row r="427">
          <cell r="E427">
            <v>6.25</v>
          </cell>
        </row>
        <row r="428">
          <cell r="E428">
            <v>0.59</v>
          </cell>
        </row>
        <row r="429">
          <cell r="E429">
            <v>1.1299999999999999</v>
          </cell>
        </row>
        <row r="430">
          <cell r="E430">
            <v>5.59</v>
          </cell>
        </row>
        <row r="431">
          <cell r="E431">
            <v>3.94</v>
          </cell>
        </row>
        <row r="432">
          <cell r="E432">
            <v>0.85</v>
          </cell>
        </row>
        <row r="433">
          <cell r="E433">
            <v>1.78</v>
          </cell>
        </row>
        <row r="434">
          <cell r="E434">
            <v>111.31</v>
          </cell>
        </row>
        <row r="435">
          <cell r="E435">
            <v>175</v>
          </cell>
        </row>
        <row r="436">
          <cell r="E436">
            <v>39.21</v>
          </cell>
        </row>
        <row r="437">
          <cell r="E437">
            <v>9.7799999999999994</v>
          </cell>
        </row>
        <row r="438">
          <cell r="E438">
            <v>13.31</v>
          </cell>
        </row>
        <row r="439">
          <cell r="E439">
            <v>12.5</v>
          </cell>
        </row>
        <row r="440">
          <cell r="E440">
            <v>23.75</v>
          </cell>
        </row>
        <row r="443">
          <cell r="E443">
            <v>4.88</v>
          </cell>
        </row>
        <row r="444">
          <cell r="E444">
            <v>3.25</v>
          </cell>
        </row>
        <row r="445">
          <cell r="E445">
            <v>1.83</v>
          </cell>
        </row>
        <row r="446">
          <cell r="E446">
            <v>5</v>
          </cell>
        </row>
        <row r="447">
          <cell r="E447">
            <v>2.88</v>
          </cell>
        </row>
        <row r="448">
          <cell r="E448">
            <v>2.1800000000000002</v>
          </cell>
        </row>
        <row r="449">
          <cell r="E449">
            <v>7.7</v>
          </cell>
        </row>
        <row r="450">
          <cell r="E450">
            <v>3.43</v>
          </cell>
        </row>
        <row r="451">
          <cell r="E451">
            <v>3.99</v>
          </cell>
        </row>
        <row r="452">
          <cell r="E452">
            <v>1.45</v>
          </cell>
        </row>
        <row r="453">
          <cell r="E453">
            <v>2.5</v>
          </cell>
        </row>
        <row r="454">
          <cell r="E454">
            <v>0.91</v>
          </cell>
        </row>
        <row r="455">
          <cell r="E455">
            <v>4.4800000000000004</v>
          </cell>
        </row>
        <row r="456">
          <cell r="E456">
            <v>8.2899999999999991</v>
          </cell>
        </row>
        <row r="457">
          <cell r="E457">
            <v>15.93</v>
          </cell>
        </row>
        <row r="458">
          <cell r="E458">
            <v>1.75</v>
          </cell>
        </row>
        <row r="459">
          <cell r="E459">
            <v>36.58</v>
          </cell>
        </row>
        <row r="460">
          <cell r="E460">
            <v>6.88</v>
          </cell>
        </row>
        <row r="463">
          <cell r="E463">
            <v>6.93</v>
          </cell>
        </row>
        <row r="464">
          <cell r="E464">
            <v>31.25</v>
          </cell>
        </row>
        <row r="465">
          <cell r="E465">
            <v>30</v>
          </cell>
        </row>
        <row r="466">
          <cell r="E466">
            <v>27.63</v>
          </cell>
        </row>
        <row r="467">
          <cell r="E467">
            <v>6.05</v>
          </cell>
        </row>
        <row r="468">
          <cell r="E468">
            <v>15</v>
          </cell>
        </row>
        <row r="471">
          <cell r="E471">
            <v>16.38</v>
          </cell>
        </row>
        <row r="472">
          <cell r="E472">
            <v>53.75</v>
          </cell>
        </row>
        <row r="473">
          <cell r="E473">
            <v>68.75</v>
          </cell>
        </row>
        <row r="474">
          <cell r="E474">
            <v>94.71</v>
          </cell>
        </row>
        <row r="475">
          <cell r="E475">
            <v>116.38</v>
          </cell>
        </row>
        <row r="476">
          <cell r="E476">
            <v>52.38</v>
          </cell>
        </row>
        <row r="478">
          <cell r="E478">
            <v>137.63</v>
          </cell>
        </row>
        <row r="479">
          <cell r="E479">
            <v>97.69</v>
          </cell>
        </row>
        <row r="480">
          <cell r="E480">
            <v>112.5</v>
          </cell>
        </row>
        <row r="481">
          <cell r="E481">
            <v>117.11</v>
          </cell>
        </row>
        <row r="482">
          <cell r="E482">
            <v>12.63</v>
          </cell>
        </row>
        <row r="483">
          <cell r="E483">
            <v>20.88</v>
          </cell>
        </row>
        <row r="484">
          <cell r="E484">
            <v>156.88</v>
          </cell>
        </row>
        <row r="485">
          <cell r="E485">
            <v>62.5</v>
          </cell>
        </row>
        <row r="486">
          <cell r="E486">
            <v>83.13</v>
          </cell>
        </row>
        <row r="487">
          <cell r="E487">
            <v>176</v>
          </cell>
        </row>
        <row r="488">
          <cell r="E488">
            <v>11.38</v>
          </cell>
        </row>
        <row r="489">
          <cell r="E489">
            <v>8.75</v>
          </cell>
        </row>
        <row r="490">
          <cell r="E490">
            <v>17.5</v>
          </cell>
        </row>
        <row r="491">
          <cell r="E491">
            <v>7.5</v>
          </cell>
        </row>
        <row r="492">
          <cell r="E492">
            <v>11.43</v>
          </cell>
        </row>
        <row r="493">
          <cell r="E493">
            <v>11</v>
          </cell>
        </row>
        <row r="494">
          <cell r="E494">
            <v>8.75</v>
          </cell>
        </row>
        <row r="495">
          <cell r="E495">
            <v>37.5</v>
          </cell>
        </row>
        <row r="496">
          <cell r="E496">
            <v>16.25</v>
          </cell>
        </row>
        <row r="497">
          <cell r="E497">
            <v>50</v>
          </cell>
        </row>
        <row r="498">
          <cell r="E498">
            <v>56.25</v>
          </cell>
        </row>
        <row r="499">
          <cell r="E499">
            <v>55</v>
          </cell>
        </row>
        <row r="500">
          <cell r="E500">
            <v>150</v>
          </cell>
        </row>
        <row r="501">
          <cell r="E501">
            <v>122.13</v>
          </cell>
        </row>
        <row r="504">
          <cell r="E504">
            <v>78</v>
          </cell>
        </row>
        <row r="505">
          <cell r="E505">
            <v>105</v>
          </cell>
        </row>
        <row r="506">
          <cell r="E506">
            <v>118.75</v>
          </cell>
        </row>
        <row r="507">
          <cell r="E507">
            <v>25</v>
          </cell>
        </row>
        <row r="508">
          <cell r="E508">
            <v>22.5</v>
          </cell>
        </row>
        <row r="509">
          <cell r="E509">
            <v>31.25</v>
          </cell>
        </row>
        <row r="510">
          <cell r="E510">
            <v>35</v>
          </cell>
        </row>
        <row r="511">
          <cell r="E511">
            <v>37.5</v>
          </cell>
        </row>
        <row r="512">
          <cell r="E512">
            <v>17.5</v>
          </cell>
        </row>
        <row r="513">
          <cell r="E513">
            <v>17.5</v>
          </cell>
        </row>
        <row r="514">
          <cell r="E514">
            <v>18.75</v>
          </cell>
        </row>
        <row r="515">
          <cell r="E515">
            <v>28.75</v>
          </cell>
        </row>
        <row r="516">
          <cell r="E516">
            <v>15</v>
          </cell>
        </row>
        <row r="517">
          <cell r="E517">
            <v>8.1300000000000008</v>
          </cell>
        </row>
        <row r="518">
          <cell r="E518">
            <v>7</v>
          </cell>
        </row>
        <row r="519">
          <cell r="E519">
            <v>4.5</v>
          </cell>
        </row>
        <row r="520">
          <cell r="E520">
            <v>5.63</v>
          </cell>
        </row>
        <row r="521">
          <cell r="E521">
            <v>3.29</v>
          </cell>
        </row>
        <row r="522">
          <cell r="E522">
            <v>16.350000000000001</v>
          </cell>
        </row>
        <row r="525">
          <cell r="E525">
            <v>2.08</v>
          </cell>
        </row>
        <row r="529">
          <cell r="E529">
            <v>13.87</v>
          </cell>
        </row>
        <row r="530">
          <cell r="E530">
            <v>6.54</v>
          </cell>
        </row>
        <row r="531">
          <cell r="E531">
            <v>1.97</v>
          </cell>
        </row>
        <row r="532">
          <cell r="E532">
            <v>3.94</v>
          </cell>
        </row>
        <row r="533">
          <cell r="E533">
            <v>8.33</v>
          </cell>
        </row>
        <row r="534">
          <cell r="E534">
            <v>2.91</v>
          </cell>
        </row>
        <row r="535">
          <cell r="E535">
            <v>7.38</v>
          </cell>
        </row>
        <row r="536">
          <cell r="E536">
            <v>9.24</v>
          </cell>
        </row>
        <row r="537">
          <cell r="E537">
            <v>8.44</v>
          </cell>
        </row>
        <row r="538">
          <cell r="E538">
            <v>13.19</v>
          </cell>
        </row>
        <row r="539">
          <cell r="E539">
            <v>11.46</v>
          </cell>
        </row>
        <row r="540">
          <cell r="E540">
            <v>17.989999999999998</v>
          </cell>
        </row>
        <row r="541">
          <cell r="E541">
            <v>9.31</v>
          </cell>
        </row>
        <row r="542">
          <cell r="E542">
            <v>10.18</v>
          </cell>
        </row>
        <row r="543">
          <cell r="E543">
            <v>0.38</v>
          </cell>
        </row>
        <row r="545">
          <cell r="E545">
            <v>2.81</v>
          </cell>
        </row>
        <row r="546">
          <cell r="E546">
            <v>0.55000000000000004</v>
          </cell>
        </row>
        <row r="547">
          <cell r="E547">
            <v>3.75</v>
          </cell>
        </row>
        <row r="550">
          <cell r="E550">
            <v>4.87</v>
          </cell>
        </row>
        <row r="553">
          <cell r="E553" t="str">
            <v>c/bdi</v>
          </cell>
        </row>
        <row r="554">
          <cell r="E554">
            <v>61.41</v>
          </cell>
        </row>
        <row r="555">
          <cell r="E555">
            <v>84.1</v>
          </cell>
        </row>
        <row r="557">
          <cell r="E557">
            <v>40.159999999999997</v>
          </cell>
        </row>
        <row r="558">
          <cell r="E558">
            <v>53.91</v>
          </cell>
        </row>
        <row r="559">
          <cell r="E559">
            <v>102.04</v>
          </cell>
        </row>
        <row r="560">
          <cell r="E560">
            <v>129.54</v>
          </cell>
        </row>
        <row r="565">
          <cell r="E565">
            <v>2.5</v>
          </cell>
        </row>
        <row r="567">
          <cell r="E567" t="str">
            <v>c/bdi</v>
          </cell>
        </row>
        <row r="568">
          <cell r="E568">
            <v>0.19</v>
          </cell>
        </row>
        <row r="571">
          <cell r="E571">
            <v>0.25</v>
          </cell>
        </row>
        <row r="572">
          <cell r="E572">
            <v>1.93</v>
          </cell>
        </row>
        <row r="573">
          <cell r="E573">
            <v>7.5</v>
          </cell>
        </row>
        <row r="574">
          <cell r="E574">
            <v>15</v>
          </cell>
        </row>
        <row r="575">
          <cell r="E575">
            <v>13.75</v>
          </cell>
        </row>
        <row r="577">
          <cell r="E577">
            <v>1250.6099999999999</v>
          </cell>
        </row>
        <row r="578">
          <cell r="E578">
            <v>1250.3599999999999</v>
          </cell>
        </row>
        <row r="582">
          <cell r="E582">
            <v>3.03</v>
          </cell>
        </row>
        <row r="583">
          <cell r="E583">
            <v>1.74</v>
          </cell>
        </row>
        <row r="584">
          <cell r="E584">
            <v>94.79</v>
          </cell>
        </row>
        <row r="585">
          <cell r="E585">
            <v>286.49</v>
          </cell>
        </row>
        <row r="588">
          <cell r="E588">
            <v>188.75</v>
          </cell>
        </row>
        <row r="589">
          <cell r="E589">
            <v>53.65</v>
          </cell>
        </row>
        <row r="590">
          <cell r="E590">
            <v>1822.91</v>
          </cell>
        </row>
        <row r="591">
          <cell r="E591">
            <v>541.66</v>
          </cell>
        </row>
        <row r="592">
          <cell r="E592">
            <v>94.79</v>
          </cell>
        </row>
        <row r="595">
          <cell r="E595">
            <v>1050</v>
          </cell>
        </row>
        <row r="596">
          <cell r="E596">
            <v>22.5</v>
          </cell>
        </row>
        <row r="597">
          <cell r="E597">
            <v>1683.1</v>
          </cell>
        </row>
        <row r="602">
          <cell r="E602">
            <v>0.1</v>
          </cell>
        </row>
        <row r="603">
          <cell r="E603">
            <v>0.06</v>
          </cell>
        </row>
        <row r="604">
          <cell r="E604">
            <v>0.04</v>
          </cell>
        </row>
        <row r="605">
          <cell r="E605">
            <v>1.0900000000000001</v>
          </cell>
        </row>
        <row r="606">
          <cell r="E606">
            <v>0.63</v>
          </cell>
        </row>
        <row r="607">
          <cell r="E607">
            <v>0.54</v>
          </cell>
        </row>
        <row r="608">
          <cell r="E608">
            <v>600</v>
          </cell>
        </row>
        <row r="609">
          <cell r="E609">
            <v>0.75</v>
          </cell>
        </row>
        <row r="610">
          <cell r="E610">
            <v>187.5</v>
          </cell>
        </row>
        <row r="613">
          <cell r="E613">
            <v>4</v>
          </cell>
        </row>
        <row r="614">
          <cell r="E614">
            <v>27.55</v>
          </cell>
        </row>
        <row r="615">
          <cell r="E615">
            <v>1.1100000000000001</v>
          </cell>
        </row>
        <row r="616">
          <cell r="E616">
            <v>5</v>
          </cell>
        </row>
        <row r="617">
          <cell r="E617">
            <v>4.16</v>
          </cell>
        </row>
        <row r="618">
          <cell r="E618">
            <v>24.04</v>
          </cell>
        </row>
        <row r="619">
          <cell r="E619">
            <v>111.11</v>
          </cell>
        </row>
        <row r="620">
          <cell r="E620">
            <v>52.63</v>
          </cell>
        </row>
        <row r="621">
          <cell r="E621">
            <v>948</v>
          </cell>
        </row>
        <row r="622">
          <cell r="E622">
            <v>1190.67</v>
          </cell>
        </row>
        <row r="623">
          <cell r="E623">
            <v>96</v>
          </cell>
        </row>
        <row r="624">
          <cell r="E624">
            <v>201.33</v>
          </cell>
        </row>
        <row r="625">
          <cell r="E625">
            <v>75</v>
          </cell>
        </row>
        <row r="626">
          <cell r="E626">
            <v>177.33</v>
          </cell>
        </row>
        <row r="627">
          <cell r="E627">
            <v>402.67</v>
          </cell>
        </row>
        <row r="628">
          <cell r="E628">
            <v>333</v>
          </cell>
        </row>
        <row r="629">
          <cell r="E629">
            <v>333</v>
          </cell>
        </row>
        <row r="630">
          <cell r="E630">
            <v>183.15</v>
          </cell>
        </row>
        <row r="631">
          <cell r="E631">
            <v>1</v>
          </cell>
        </row>
        <row r="632">
          <cell r="E632">
            <v>1</v>
          </cell>
        </row>
        <row r="633">
          <cell r="E633">
            <v>1</v>
          </cell>
        </row>
        <row r="634">
          <cell r="E634">
            <v>125.33</v>
          </cell>
        </row>
        <row r="635">
          <cell r="E635">
            <v>201.33</v>
          </cell>
        </row>
        <row r="636">
          <cell r="E636">
            <v>214.67</v>
          </cell>
        </row>
        <row r="637">
          <cell r="E637">
            <v>201.33</v>
          </cell>
        </row>
        <row r="638">
          <cell r="E638">
            <v>201.33</v>
          </cell>
        </row>
        <row r="639">
          <cell r="E639">
            <v>201.33</v>
          </cell>
        </row>
        <row r="640">
          <cell r="E640">
            <v>201.33</v>
          </cell>
        </row>
        <row r="641">
          <cell r="E641">
            <v>201.33</v>
          </cell>
        </row>
        <row r="644">
          <cell r="E644">
            <v>9942.58</v>
          </cell>
        </row>
        <row r="645">
          <cell r="E645">
            <v>4339</v>
          </cell>
        </row>
        <row r="646">
          <cell r="E646">
            <v>4452</v>
          </cell>
        </row>
        <row r="647">
          <cell r="E647">
            <v>3644</v>
          </cell>
        </row>
        <row r="648">
          <cell r="E648">
            <v>3818</v>
          </cell>
        </row>
        <row r="651">
          <cell r="E651">
            <v>26.25</v>
          </cell>
        </row>
        <row r="652">
          <cell r="E652">
            <v>27.36</v>
          </cell>
        </row>
        <row r="653">
          <cell r="E653">
            <v>54.73</v>
          </cell>
        </row>
        <row r="654">
          <cell r="E654">
            <v>70.86</v>
          </cell>
        </row>
        <row r="655">
          <cell r="E655">
            <v>109.49</v>
          </cell>
        </row>
        <row r="656">
          <cell r="E656">
            <v>130.01</v>
          </cell>
        </row>
        <row r="657">
          <cell r="E657">
            <v>157.38</v>
          </cell>
        </row>
        <row r="658">
          <cell r="E658">
            <v>171.08</v>
          </cell>
        </row>
        <row r="659">
          <cell r="E659">
            <v>26.25</v>
          </cell>
        </row>
        <row r="660">
          <cell r="E660">
            <v>41.06</v>
          </cell>
        </row>
        <row r="661">
          <cell r="E661">
            <v>82.11</v>
          </cell>
        </row>
        <row r="662">
          <cell r="E662">
            <v>123.18</v>
          </cell>
        </row>
        <row r="663">
          <cell r="E663">
            <v>164.23</v>
          </cell>
        </row>
        <row r="664">
          <cell r="E664">
            <v>195</v>
          </cell>
        </row>
        <row r="665">
          <cell r="E665">
            <v>236.08</v>
          </cell>
        </row>
        <row r="666">
          <cell r="E666">
            <v>256.60000000000002</v>
          </cell>
        </row>
        <row r="667">
          <cell r="E667">
            <v>26.25</v>
          </cell>
        </row>
        <row r="668">
          <cell r="E668">
            <v>68.75</v>
          </cell>
        </row>
        <row r="669">
          <cell r="E669">
            <v>136.25</v>
          </cell>
        </row>
        <row r="670">
          <cell r="E670">
            <v>205</v>
          </cell>
        </row>
        <row r="671">
          <cell r="E671">
            <v>273.75</v>
          </cell>
        </row>
        <row r="672">
          <cell r="E672">
            <v>325</v>
          </cell>
        </row>
        <row r="673">
          <cell r="E673">
            <v>393.75</v>
          </cell>
        </row>
        <row r="674">
          <cell r="E674">
            <v>427.5</v>
          </cell>
        </row>
        <row r="675">
          <cell r="E675">
            <v>26.25</v>
          </cell>
        </row>
        <row r="676">
          <cell r="E676">
            <v>68.75</v>
          </cell>
        </row>
        <row r="677">
          <cell r="E677">
            <v>136.25</v>
          </cell>
        </row>
        <row r="678">
          <cell r="E678">
            <v>205</v>
          </cell>
        </row>
        <row r="679">
          <cell r="E679">
            <v>273.75</v>
          </cell>
        </row>
        <row r="680">
          <cell r="E680">
            <v>325</v>
          </cell>
        </row>
        <row r="681">
          <cell r="E681">
            <v>393.75</v>
          </cell>
        </row>
        <row r="682">
          <cell r="E682">
            <v>427.5</v>
          </cell>
        </row>
        <row r="683">
          <cell r="E683">
            <v>24.98</v>
          </cell>
        </row>
        <row r="684">
          <cell r="E684">
            <v>187.34</v>
          </cell>
        </row>
        <row r="685">
          <cell r="E685">
            <v>3.33</v>
          </cell>
        </row>
        <row r="686">
          <cell r="E686">
            <v>3.33</v>
          </cell>
        </row>
        <row r="687">
          <cell r="E687">
            <v>3.33</v>
          </cell>
        </row>
        <row r="688">
          <cell r="E688">
            <v>3.75</v>
          </cell>
        </row>
        <row r="689">
          <cell r="E689">
            <v>3.75</v>
          </cell>
        </row>
        <row r="690">
          <cell r="E690">
            <v>6.25</v>
          </cell>
        </row>
        <row r="691">
          <cell r="E691">
            <v>6.25</v>
          </cell>
        </row>
        <row r="694">
          <cell r="E694">
            <v>3.75</v>
          </cell>
        </row>
        <row r="695">
          <cell r="E695">
            <v>1000</v>
          </cell>
        </row>
        <row r="696">
          <cell r="E696">
            <v>0.38</v>
          </cell>
        </row>
        <row r="697">
          <cell r="E697">
            <v>2.5</v>
          </cell>
        </row>
        <row r="698">
          <cell r="E698">
            <v>150</v>
          </cell>
        </row>
        <row r="699">
          <cell r="E699">
            <v>201.93</v>
          </cell>
        </row>
        <row r="700">
          <cell r="E700">
            <v>1000</v>
          </cell>
        </row>
        <row r="701">
          <cell r="E701">
            <v>27.5</v>
          </cell>
        </row>
        <row r="702">
          <cell r="E702">
            <v>125</v>
          </cell>
        </row>
        <row r="703">
          <cell r="E703">
            <v>262.5</v>
          </cell>
        </row>
        <row r="706">
          <cell r="E706">
            <v>2.11</v>
          </cell>
        </row>
        <row r="707">
          <cell r="E707">
            <v>47.5</v>
          </cell>
        </row>
        <row r="708">
          <cell r="E708">
            <v>37.5</v>
          </cell>
        </row>
        <row r="709">
          <cell r="E709">
            <v>21.25</v>
          </cell>
        </row>
        <row r="710">
          <cell r="E710">
            <v>375</v>
          </cell>
        </row>
        <row r="711">
          <cell r="E711">
            <v>343.75</v>
          </cell>
        </row>
        <row r="712">
          <cell r="E712">
            <v>312.5</v>
          </cell>
        </row>
        <row r="713">
          <cell r="E713">
            <v>87.63</v>
          </cell>
        </row>
        <row r="714">
          <cell r="E714">
            <v>0.57999999999999996</v>
          </cell>
        </row>
        <row r="715">
          <cell r="E715">
            <v>0.57999999999999996</v>
          </cell>
        </row>
        <row r="716">
          <cell r="E716">
            <v>0.57999999999999996</v>
          </cell>
        </row>
        <row r="718">
          <cell r="E718">
            <v>0.57999999999999996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F10">
            <v>0.8</v>
          </cell>
        </row>
        <row r="12">
          <cell r="A12">
            <v>2.11</v>
          </cell>
          <cell r="F12">
            <v>0.1</v>
          </cell>
        </row>
        <row r="13">
          <cell r="A13">
            <v>2.59</v>
          </cell>
        </row>
        <row r="14">
          <cell r="A14">
            <v>0.63</v>
          </cell>
        </row>
        <row r="15">
          <cell r="A15">
            <v>2.2000000000000002</v>
          </cell>
        </row>
        <row r="16">
          <cell r="A16">
            <v>0.5</v>
          </cell>
          <cell r="F16">
            <v>0.2</v>
          </cell>
        </row>
        <row r="21">
          <cell r="N21">
            <v>290.38437181507879</v>
          </cell>
          <cell r="P21">
            <v>85.459371065078784</v>
          </cell>
        </row>
        <row r="22">
          <cell r="N22">
            <v>133.60474754067704</v>
          </cell>
          <cell r="P22">
            <v>42.139747790677049</v>
          </cell>
        </row>
        <row r="23">
          <cell r="N23">
            <v>114.1515373339458</v>
          </cell>
          <cell r="P23">
            <v>37.80778673394579</v>
          </cell>
        </row>
        <row r="26">
          <cell r="N26">
            <v>94.164194901878531</v>
          </cell>
          <cell r="P26">
            <v>25.177588562592817</v>
          </cell>
        </row>
        <row r="27">
          <cell r="N27">
            <v>64.848834786054383</v>
          </cell>
          <cell r="P27">
            <v>21.535692089625812</v>
          </cell>
        </row>
        <row r="28">
          <cell r="N28">
            <v>40.577919612318155</v>
          </cell>
          <cell r="P28">
            <v>16.072847380175304</v>
          </cell>
        </row>
        <row r="29">
          <cell r="N29">
            <v>94.580279728142301</v>
          </cell>
          <cell r="P29">
            <v>19.714743853142309</v>
          </cell>
        </row>
        <row r="30">
          <cell r="N30">
            <v>1.016992142649882</v>
          </cell>
          <cell r="P30">
            <v>0.74355448639988198</v>
          </cell>
        </row>
        <row r="31">
          <cell r="N31">
            <v>73.830445761869171</v>
          </cell>
          <cell r="P31">
            <v>17.10794476186917</v>
          </cell>
        </row>
        <row r="32">
          <cell r="N32">
            <v>86.355168164530241</v>
          </cell>
        </row>
        <row r="33">
          <cell r="N33">
            <v>114.96516305045743</v>
          </cell>
          <cell r="P33">
            <v>21.152829300457448</v>
          </cell>
        </row>
        <row r="34">
          <cell r="N34">
            <v>90.788342298191594</v>
          </cell>
          <cell r="P34">
            <v>20.389007923191585</v>
          </cell>
        </row>
        <row r="35">
          <cell r="N35">
            <v>68.035766453577878</v>
          </cell>
          <cell r="P35">
            <v>19.625183745244541</v>
          </cell>
        </row>
        <row r="36">
          <cell r="N36">
            <v>11.570883307907778</v>
          </cell>
          <cell r="P36">
            <v>8.7771321079077786</v>
          </cell>
        </row>
        <row r="37">
          <cell r="N37">
            <v>95.350129098237545</v>
          </cell>
          <cell r="P37">
            <v>21.635128098237537</v>
          </cell>
        </row>
        <row r="38">
          <cell r="N38">
            <v>87.837742953866439</v>
          </cell>
          <cell r="P38">
            <v>17.396741953866435</v>
          </cell>
        </row>
        <row r="39">
          <cell r="N39">
            <v>9.4804934293339596</v>
          </cell>
          <cell r="P39">
            <v>8.4367777348895139</v>
          </cell>
        </row>
        <row r="40">
          <cell r="N40">
            <v>9.8250963185466489</v>
          </cell>
          <cell r="P40">
            <v>8.3072829435466495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Orçamento Analítico"/>
      <sheetName val="Composições"/>
      <sheetName val="Cronograma"/>
      <sheetName val="LSO"/>
      <sheetName val="BDI"/>
      <sheetName val="BDI (MATERIAL)"/>
      <sheetName val="IA"/>
      <sheetName val="CM"/>
      <sheetName val="M_deCálculo"/>
      <sheetName val="Res_M_deCálculo"/>
      <sheetName val="DistPolos"/>
      <sheetName val="Insumos"/>
      <sheetName val="CPU-04-17"/>
      <sheetName val="INS-04-17"/>
    </sheetNames>
    <sheetDataSet>
      <sheetData sheetId="0">
        <row r="1">
          <cell r="A1" t="str">
            <v>TJ/PI – Departamento de Engenharia – Projeto Básico – Revisão nº ____ em ___/___/_____</v>
          </cell>
        </row>
      </sheetData>
      <sheetData sheetId="1">
        <row r="9">
          <cell r="A9" t="str">
            <v>REFORMA ESTRUTURAL E MELHORIAS NO PRÉDIO DO FÓRUM DA COMARCA DE SÃO RAIMUNDO NONATO-PI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>
            <v>956.99999999999989</v>
          </cell>
        </row>
        <row r="61">
          <cell r="F61">
            <v>0.16</v>
          </cell>
        </row>
        <row r="153">
          <cell r="F153">
            <v>49.05</v>
          </cell>
        </row>
        <row r="288">
          <cell r="F288" t="e">
            <v>#N/A</v>
          </cell>
        </row>
        <row r="522">
          <cell r="F522">
            <v>59.98</v>
          </cell>
        </row>
        <row r="567">
          <cell r="F567" t="e">
            <v>#N/A</v>
          </cell>
        </row>
        <row r="578">
          <cell r="F578" t="e">
            <v>#N/A</v>
          </cell>
        </row>
        <row r="1060">
          <cell r="F1060" t="e">
            <v>#N/A</v>
          </cell>
        </row>
        <row r="1134">
          <cell r="F1134" t="e">
            <v>#N/A</v>
          </cell>
        </row>
        <row r="1290">
          <cell r="F1290" t="e">
            <v>#N/A</v>
          </cell>
        </row>
        <row r="1404">
          <cell r="F1404" t="e">
            <v>#N/A</v>
          </cell>
        </row>
        <row r="1405">
          <cell r="F1405" t="e">
            <v>#N/A</v>
          </cell>
        </row>
        <row r="1406">
          <cell r="F1406" t="e">
            <v>#N/A</v>
          </cell>
        </row>
        <row r="1407">
          <cell r="F1407" t="e">
            <v>#N/A</v>
          </cell>
        </row>
        <row r="1408">
          <cell r="F1408" t="e">
            <v>#N/A</v>
          </cell>
        </row>
        <row r="1409">
          <cell r="F1409" t="e">
            <v>#N/A</v>
          </cell>
        </row>
        <row r="1410">
          <cell r="F1410" t="e">
            <v>#N/A</v>
          </cell>
        </row>
        <row r="1413">
          <cell r="F1413" t="e">
            <v>#N/A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"/>
      <sheetName val="Venda"/>
      <sheetName val="Custo"/>
      <sheetName val="Composições"/>
      <sheetName val="Comp aux"/>
      <sheetName val="Insumos"/>
      <sheetName val="Instalações"/>
      <sheetName val="BDI"/>
      <sheetName val="LS Com aliment e vale transp"/>
      <sheetName val="Demonstra L.S."/>
      <sheetName val="Jornada"/>
      <sheetName val="Composiçõ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"/>
      <sheetName val="Orçamento"/>
      <sheetName val="Cronograma"/>
      <sheetName val="LSO"/>
      <sheetName val="BDI"/>
      <sheetName val="IA"/>
      <sheetName val="CM"/>
      <sheetName val="Composições"/>
      <sheetName val="M_deCálculo"/>
      <sheetName val="Res_M_deCálculo"/>
      <sheetName val="DistPolos"/>
      <sheetName val="Insumos"/>
      <sheetName val="CPU-01-16"/>
      <sheetName val="INS-01-16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35">
          <cell r="F535">
            <v>22.46</v>
          </cell>
        </row>
        <row r="1373">
          <cell r="F1373">
            <v>130.15</v>
          </cell>
        </row>
      </sheetData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ÇÃO TP 15"/>
      <sheetName val="INSUMOS"/>
    </sheetNames>
    <sheetDataSet>
      <sheetData sheetId="0" refreshError="1"/>
      <sheetData sheetId="1" refreshError="1">
        <row r="18">
          <cell r="C18">
            <v>2.2999999999999998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CAÇÃO"/>
      <sheetName val="FUNDAÇÕES"/>
      <sheetName val="ESTRUTURA"/>
      <sheetName val="ALVENARIA"/>
      <sheetName val="PAVIMENTAÇÃO"/>
      <sheetName val="REVESTIMENTO"/>
      <sheetName val="ESQUADRIAS"/>
      <sheetName val="COBERTURA TERMOACUSTICA"/>
      <sheetName val="COBERTURA ACESS"/>
      <sheetName val="COBERTURA"/>
      <sheetName val="PINTURA"/>
      <sheetName val="DIVERSOS"/>
      <sheetName val="INST_ELET"/>
      <sheetName val="INST_CABEAMENTO"/>
      <sheetName val="Plan1"/>
    </sheetNames>
    <sheetDataSet>
      <sheetData sheetId="0">
        <row r="9">
          <cell r="E9">
            <v>8.09</v>
          </cell>
        </row>
      </sheetData>
      <sheetData sheetId="1" refreshError="1">
        <row r="19">
          <cell r="F19">
            <v>257.95999999999998</v>
          </cell>
        </row>
        <row r="48">
          <cell r="E48">
            <v>8.09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Quantitativos"/>
      <sheetName val="Orçamento"/>
      <sheetName val="Composições"/>
      <sheetName val="Cronograma"/>
      <sheetName val="Insumos (não imprimir)"/>
      <sheetName val="Insumos _não imprimir_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C2">
            <v>126</v>
          </cell>
        </row>
        <row r="3">
          <cell r="C3">
            <v>30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CAMENTO"/>
      <sheetName val="RESUMO"/>
      <sheetName val="COMPOSICOES"/>
      <sheetName val="COMPOSICOES PROPRIAS"/>
      <sheetName val="CURVA ABC SERVICOS"/>
      <sheetName val="CRONOGRAMA"/>
      <sheetName val="BDI"/>
      <sheetName val="ENCARGOS SOCIAIS"/>
      <sheetName val="S-I-09-20"/>
      <sheetName val="S-C-09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outlinePr summaryBelow="0"/>
  </sheetPr>
  <dimension ref="A1:BH1296"/>
  <sheetViews>
    <sheetView view="pageBreakPreview" zoomScale="70" zoomScaleSheetLayoutView="70" workbookViewId="0">
      <pane xSplit="20" ySplit="21" topLeftCell="U138" activePane="bottomRight" state="frozen"/>
      <selection pane="topRight" activeCell="R1" sqref="R1"/>
      <selection pane="bottomLeft" activeCell="A22" sqref="A22"/>
      <selection pane="bottomRight" activeCell="U197" sqref="U197"/>
    </sheetView>
  </sheetViews>
  <sheetFormatPr defaultColWidth="9.140625" defaultRowHeight="15"/>
  <cols>
    <col min="1" max="1" width="12" style="2" customWidth="1"/>
    <col min="2" max="2" width="14.85546875" style="2" customWidth="1"/>
    <col min="3" max="3" width="55.7109375" style="2" customWidth="1"/>
    <col min="4" max="4" width="17.28515625" style="2" bestFit="1" customWidth="1"/>
    <col min="5" max="5" width="6.5703125" style="2" bestFit="1" customWidth="1"/>
    <col min="6" max="6" width="11.28515625" style="2" customWidth="1"/>
    <col min="7" max="7" width="12.42578125" style="2" customWidth="1"/>
    <col min="8" max="8" width="13.42578125" style="2" customWidth="1"/>
    <col min="9" max="9" width="17.28515625" style="2" customWidth="1"/>
    <col min="10" max="10" width="14.140625" style="2" customWidth="1"/>
    <col min="11" max="11" width="13.7109375" style="2" customWidth="1"/>
    <col min="12" max="12" width="16.140625" style="2" customWidth="1"/>
    <col min="13" max="13" width="13.85546875" style="2" customWidth="1"/>
    <col min="14" max="14" width="13.5703125" style="2" customWidth="1"/>
    <col min="15" max="15" width="18.7109375" style="2" customWidth="1"/>
    <col min="16" max="16" width="12.140625" style="2" customWidth="1"/>
    <col min="17" max="17" width="16.42578125" style="2" customWidth="1"/>
    <col min="18" max="18" width="11.7109375" style="2" customWidth="1"/>
    <col min="19" max="19" width="16.42578125" style="2" customWidth="1"/>
    <col min="20" max="20" width="12.7109375" style="2" customWidth="1"/>
    <col min="21" max="21" width="18.7109375" style="2" customWidth="1"/>
    <col min="22" max="22" width="17.28515625" style="2" customWidth="1"/>
    <col min="23" max="23" width="40.7109375" style="2" customWidth="1"/>
    <col min="24" max="24" width="14.28515625" style="2" customWidth="1"/>
    <col min="25" max="25" width="10" style="340" customWidth="1"/>
    <col min="26" max="26" width="13.140625" style="340" customWidth="1"/>
    <col min="27" max="27" width="11.5703125" style="2" customWidth="1"/>
    <col min="28" max="28" width="94.85546875" style="2" customWidth="1"/>
    <col min="29" max="29" width="20.140625" style="2" customWidth="1"/>
    <col min="30" max="30" width="22.5703125" style="2" customWidth="1"/>
    <col min="31" max="31" width="17.5703125" style="2" customWidth="1"/>
    <col min="32" max="59" width="9.140625" style="2" customWidth="1"/>
    <col min="60" max="60" width="13.140625" style="2" customWidth="1"/>
    <col min="61" max="65" width="9.140625" style="2" customWidth="1"/>
    <col min="66" max="16384" width="9.140625" style="2"/>
  </cols>
  <sheetData>
    <row r="1" spans="1:27" hidden="1"/>
    <row r="2" spans="1:27" hidden="1">
      <c r="C2" s="220" t="s">
        <v>3454</v>
      </c>
    </row>
    <row r="3" spans="1:27" hidden="1">
      <c r="C3" s="220" t="s">
        <v>3455</v>
      </c>
    </row>
    <row r="4" spans="1:27" hidden="1">
      <c r="C4" s="220" t="s">
        <v>3456</v>
      </c>
    </row>
    <row r="5" spans="1:27" hidden="1">
      <c r="C5" s="220" t="s">
        <v>3457</v>
      </c>
    </row>
    <row r="6" spans="1:27" hidden="1">
      <c r="C6" s="220" t="s">
        <v>3458</v>
      </c>
    </row>
    <row r="7" spans="1:27" hidden="1">
      <c r="C7" s="583" t="s">
        <v>3465</v>
      </c>
      <c r="D7" s="583"/>
      <c r="E7" s="583"/>
    </row>
    <row r="8" spans="1:27" ht="23.25" hidden="1" customHeight="1">
      <c r="C8" s="583"/>
      <c r="D8" s="583"/>
      <c r="E8" s="583"/>
    </row>
    <row r="9" spans="1:27" hidden="1">
      <c r="C9" s="220" t="s">
        <v>3474</v>
      </c>
    </row>
    <row r="10" spans="1:27" hidden="1">
      <c r="C10" s="220"/>
    </row>
    <row r="11" spans="1:27" ht="25.5" customHeight="1">
      <c r="A11" s="598" t="s">
        <v>3466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600"/>
      <c r="V11" s="467"/>
      <c r="W11" s="467"/>
    </row>
    <row r="12" spans="1:27" ht="25.5" customHeight="1">
      <c r="A12" s="595" t="s">
        <v>3853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7"/>
      <c r="V12" s="468"/>
      <c r="W12" s="468"/>
    </row>
    <row r="13" spans="1:27" ht="15" customHeight="1">
      <c r="A13" s="588" t="s">
        <v>1829</v>
      </c>
      <c r="B13" s="590" t="s">
        <v>3467</v>
      </c>
      <c r="C13" s="590"/>
      <c r="D13" s="590"/>
      <c r="E13" s="481"/>
      <c r="F13" s="481"/>
      <c r="G13" s="482"/>
      <c r="H13" s="482"/>
      <c r="I13" s="483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18" t="s">
        <v>8</v>
      </c>
      <c r="Y13" s="331"/>
      <c r="Z13" s="331"/>
      <c r="AA13" s="18"/>
    </row>
    <row r="14" spans="1:27" ht="28.5" customHeight="1">
      <c r="A14" s="589"/>
      <c r="B14" s="583"/>
      <c r="C14" s="583"/>
      <c r="D14" s="583"/>
      <c r="E14" s="404"/>
      <c r="F14" s="404"/>
      <c r="G14" s="225"/>
      <c r="H14" s="226"/>
      <c r="I14" s="227"/>
      <c r="J14" s="470"/>
      <c r="K14" s="470"/>
      <c r="L14" s="470"/>
      <c r="M14" s="470"/>
      <c r="N14" s="470"/>
      <c r="O14" s="470"/>
      <c r="P14" s="470"/>
      <c r="Q14" s="470"/>
      <c r="R14" s="504" t="s">
        <v>3857</v>
      </c>
      <c r="S14" s="18">
        <v>938.47500000000002</v>
      </c>
      <c r="T14" s="470"/>
      <c r="U14" s="470"/>
      <c r="V14" s="470"/>
      <c r="W14" s="470"/>
      <c r="X14" s="41">
        <v>0.2681</v>
      </c>
      <c r="Y14" s="332"/>
      <c r="Z14" s="332"/>
      <c r="AA14" s="41"/>
    </row>
    <row r="15" spans="1:27" ht="36" customHeight="1">
      <c r="A15" s="589" t="s">
        <v>1830</v>
      </c>
      <c r="B15" s="591" t="s">
        <v>3019</v>
      </c>
      <c r="C15" s="591"/>
      <c r="D15" s="591"/>
      <c r="E15" s="404"/>
      <c r="F15" s="404"/>
      <c r="G15" s="225"/>
      <c r="H15" s="226"/>
      <c r="I15" s="227"/>
      <c r="J15" s="470"/>
      <c r="K15" s="470"/>
      <c r="L15" s="470"/>
      <c r="M15" s="470"/>
      <c r="N15" s="470"/>
      <c r="O15" s="470"/>
      <c r="P15" s="470"/>
      <c r="Q15" s="470"/>
      <c r="R15" s="504" t="s">
        <v>3858</v>
      </c>
      <c r="S15" s="18">
        <v>1045.4690000000001</v>
      </c>
      <c r="T15" s="470"/>
      <c r="U15" s="470"/>
      <c r="V15" s="470"/>
      <c r="W15" s="470"/>
      <c r="X15" s="41">
        <v>0.18679999999999999</v>
      </c>
      <c r="Y15" s="332">
        <v>0.15</v>
      </c>
      <c r="Z15" s="332"/>
      <c r="AA15" s="41"/>
    </row>
    <row r="16" spans="1:27" ht="22.5" customHeight="1">
      <c r="A16" s="589"/>
      <c r="B16" s="591"/>
      <c r="C16" s="591"/>
      <c r="D16" s="591"/>
      <c r="E16" s="405"/>
      <c r="F16" s="405"/>
      <c r="G16" s="225"/>
      <c r="H16" s="224"/>
      <c r="I16" s="227"/>
      <c r="J16" s="470"/>
      <c r="K16" s="470"/>
      <c r="L16" s="470"/>
      <c r="M16" s="470"/>
      <c r="N16" s="470"/>
      <c r="O16" s="470"/>
      <c r="P16" s="470"/>
      <c r="Q16" s="470"/>
      <c r="R16" s="470" t="s">
        <v>3861</v>
      </c>
      <c r="S16" s="508">
        <f>(S15-S14)/S14+1</f>
        <v>1.1140083646341139</v>
      </c>
      <c r="T16" s="470"/>
      <c r="U16" s="470"/>
      <c r="V16" s="470"/>
      <c r="W16" s="470"/>
    </row>
    <row r="17" spans="1:28" ht="27.75" customHeight="1">
      <c r="A17" s="17"/>
      <c r="B17" s="591" t="s">
        <v>2561</v>
      </c>
      <c r="C17" s="591"/>
      <c r="D17" s="591"/>
      <c r="E17" s="403"/>
      <c r="F17" s="403"/>
      <c r="G17" s="225"/>
      <c r="H17" s="226"/>
      <c r="I17" s="227"/>
      <c r="J17" s="470"/>
      <c r="K17" s="470"/>
      <c r="L17" s="470"/>
      <c r="M17" s="470"/>
      <c r="N17" s="470"/>
      <c r="O17" s="470"/>
      <c r="P17" s="470"/>
      <c r="Q17" s="470"/>
      <c r="R17" s="470"/>
      <c r="S17" s="505"/>
      <c r="T17" s="470"/>
      <c r="U17" s="470"/>
      <c r="V17" s="470"/>
      <c r="W17" s="470"/>
    </row>
    <row r="18" spans="1:28" ht="27.6" customHeight="1">
      <c r="A18" s="17" t="s">
        <v>1831</v>
      </c>
      <c r="B18" s="592">
        <f>1896.13+1204.29</f>
        <v>3100.42</v>
      </c>
      <c r="C18" s="593"/>
      <c r="D18" s="594"/>
      <c r="E18" s="403"/>
      <c r="F18" s="403"/>
      <c r="G18" s="225"/>
      <c r="H18" s="225"/>
      <c r="I18" s="225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</row>
    <row r="19" spans="1:28" ht="35.25" customHeight="1">
      <c r="A19" s="585" t="s">
        <v>3856</v>
      </c>
      <c r="B19" s="586"/>
      <c r="C19" s="586"/>
      <c r="D19" s="586"/>
      <c r="E19" s="586"/>
      <c r="F19" s="586"/>
      <c r="G19" s="586"/>
      <c r="H19" s="586"/>
      <c r="I19" s="587"/>
      <c r="J19" s="571" t="s">
        <v>3862</v>
      </c>
      <c r="K19" s="572"/>
      <c r="L19" s="572"/>
      <c r="M19" s="572"/>
      <c r="N19" s="572"/>
      <c r="O19" s="573"/>
      <c r="P19" s="571" t="s">
        <v>3854</v>
      </c>
      <c r="Q19" s="572"/>
      <c r="R19" s="572"/>
      <c r="S19" s="572"/>
      <c r="T19" s="572"/>
      <c r="U19" s="573"/>
      <c r="V19" s="441"/>
      <c r="W19" s="441"/>
    </row>
    <row r="20" spans="1:28" ht="15" customHeight="1">
      <c r="A20" s="575" t="s">
        <v>0</v>
      </c>
      <c r="B20" s="575" t="s">
        <v>1</v>
      </c>
      <c r="C20" s="575" t="s">
        <v>2</v>
      </c>
      <c r="D20" s="575" t="s">
        <v>3</v>
      </c>
      <c r="E20" s="575" t="s">
        <v>4</v>
      </c>
      <c r="F20" s="575" t="s">
        <v>1769</v>
      </c>
      <c r="G20" s="575" t="s">
        <v>5</v>
      </c>
      <c r="H20" s="576"/>
      <c r="I20" s="577" t="s">
        <v>6</v>
      </c>
      <c r="J20" s="571" t="s">
        <v>3855</v>
      </c>
      <c r="K20" s="572"/>
      <c r="L20" s="573"/>
      <c r="M20" s="571" t="s">
        <v>3852</v>
      </c>
      <c r="N20" s="572"/>
      <c r="O20" s="573"/>
      <c r="P20" s="601" t="s">
        <v>3775</v>
      </c>
      <c r="Q20" s="581"/>
      <c r="R20" s="580" t="s">
        <v>3777</v>
      </c>
      <c r="S20" s="581"/>
      <c r="T20" s="580" t="s">
        <v>3798</v>
      </c>
      <c r="U20" s="581"/>
      <c r="V20" s="442"/>
      <c r="W20" s="442"/>
    </row>
    <row r="21" spans="1:28">
      <c r="A21" s="576"/>
      <c r="B21" s="576"/>
      <c r="C21" s="576"/>
      <c r="D21" s="576"/>
      <c r="E21" s="576"/>
      <c r="F21" s="576"/>
      <c r="G21" s="3" t="s">
        <v>7</v>
      </c>
      <c r="H21" s="3" t="s">
        <v>9</v>
      </c>
      <c r="I21" s="578"/>
      <c r="J21" s="495" t="s">
        <v>7</v>
      </c>
      <c r="K21" s="495" t="s">
        <v>9</v>
      </c>
      <c r="L21" s="495" t="s">
        <v>368</v>
      </c>
      <c r="M21" s="495" t="s">
        <v>7</v>
      </c>
      <c r="N21" s="495" t="s">
        <v>9</v>
      </c>
      <c r="O21" s="495" t="s">
        <v>368</v>
      </c>
      <c r="P21" s="491" t="s">
        <v>1769</v>
      </c>
      <c r="Q21" s="444" t="s">
        <v>3776</v>
      </c>
      <c r="R21" s="444" t="s">
        <v>1769</v>
      </c>
      <c r="S21" s="444" t="s">
        <v>3776</v>
      </c>
      <c r="T21" s="444" t="s">
        <v>1769</v>
      </c>
      <c r="U21" s="444" t="s">
        <v>3776</v>
      </c>
      <c r="V21" s="443"/>
      <c r="W21" s="443"/>
    </row>
    <row r="22" spans="1:28" s="55" customFormat="1" ht="15" customHeight="1">
      <c r="A22" s="129">
        <v>1</v>
      </c>
      <c r="B22" s="229"/>
      <c r="C22" s="229" t="s">
        <v>10</v>
      </c>
      <c r="D22" s="230"/>
      <c r="E22" s="230"/>
      <c r="F22" s="230"/>
      <c r="G22" s="230"/>
      <c r="H22" s="230"/>
      <c r="I22" s="445">
        <f>ROUND(SUM(I23:I32),2)</f>
        <v>519064.14</v>
      </c>
      <c r="J22" s="440"/>
      <c r="K22" s="440"/>
      <c r="L22" s="440">
        <v>185157.82</v>
      </c>
      <c r="M22" s="440"/>
      <c r="N22" s="440"/>
      <c r="O22" s="440">
        <f>ROUND(SUM(O23:O33),2)</f>
        <v>371984.96</v>
      </c>
      <c r="P22" s="492"/>
      <c r="Q22" s="440">
        <f>ROUND(SUM(Q23:Q33),2)</f>
        <v>394993.95</v>
      </c>
      <c r="R22" s="440"/>
      <c r="S22" s="440">
        <f>ROUND(SUM(S23:S33),2)</f>
        <v>0</v>
      </c>
      <c r="T22" s="440"/>
      <c r="U22" s="440">
        <f>O22+Q22-S22+L22</f>
        <v>952136.73</v>
      </c>
      <c r="V22" s="330"/>
      <c r="W22" s="330"/>
      <c r="X22" s="54">
        <f>I22/I1279</f>
        <v>4.7512299206014817E-2</v>
      </c>
      <c r="Y22" s="345"/>
      <c r="Z22" s="345"/>
      <c r="AA22" s="54"/>
    </row>
    <row r="23" spans="1:28" s="38" customFormat="1" ht="45">
      <c r="A23" s="449" t="s">
        <v>649</v>
      </c>
      <c r="B23" s="448">
        <v>93565</v>
      </c>
      <c r="C23" s="449" t="s">
        <v>11</v>
      </c>
      <c r="D23" s="447" t="s">
        <v>12</v>
      </c>
      <c r="E23" s="447" t="s">
        <v>13</v>
      </c>
      <c r="F23" s="450">
        <v>1</v>
      </c>
      <c r="G23" s="450">
        <f>Y23-(Y23*$Y$15)</f>
        <v>12013.0245</v>
      </c>
      <c r="H23" s="450">
        <f t="shared" ref="H23:H32" si="0">ROUND(G23*(1+$X$14),2)</f>
        <v>15233.72</v>
      </c>
      <c r="I23" s="451">
        <f t="shared" ref="I23:I32" si="1">ROUND(H23*F23,2)</f>
        <v>15233.72</v>
      </c>
      <c r="J23" s="452">
        <v>12013.0245</v>
      </c>
      <c r="K23" s="452">
        <v>15233.72</v>
      </c>
      <c r="L23" s="452">
        <v>15233.72</v>
      </c>
      <c r="M23" s="452"/>
      <c r="N23" s="452"/>
      <c r="O23" s="452"/>
      <c r="P23" s="493">
        <v>3</v>
      </c>
      <c r="Q23" s="452">
        <f>ROUND(P23*H23*$S$16,2)</f>
        <v>50911.47</v>
      </c>
      <c r="R23" s="452"/>
      <c r="S23" s="452">
        <f>ROUND(R23*P23,2)</f>
        <v>0</v>
      </c>
      <c r="T23" s="452">
        <f t="shared" ref="T23:T33" si="2">F23+P23-R23</f>
        <v>4</v>
      </c>
      <c r="U23" s="452">
        <f>O23+Q23-S23+L23</f>
        <v>66145.19</v>
      </c>
      <c r="V23" s="453"/>
      <c r="W23" s="453"/>
      <c r="X23" s="42" t="e">
        <f>IF(B23&lt;&gt;0,VLOOKUP(B23,#REF!,4,FALSE),"")</f>
        <v>#REF!</v>
      </c>
      <c r="Y23" s="336">
        <v>14132.97</v>
      </c>
      <c r="Z23" s="336">
        <f>F23*G23</f>
        <v>12013.0245</v>
      </c>
      <c r="AA23" s="42"/>
      <c r="AB23" s="39" t="e">
        <f>IF(B23&lt;&gt;0,VLOOKUP(B23,#REF!,2,FALSE),"")</f>
        <v>#REF!</v>
      </c>
    </row>
    <row r="24" spans="1:28" s="38" customFormat="1" ht="30">
      <c r="A24" s="449" t="s">
        <v>650</v>
      </c>
      <c r="B24" s="448">
        <v>93565</v>
      </c>
      <c r="C24" s="449" t="s">
        <v>14</v>
      </c>
      <c r="D24" s="447" t="s">
        <v>12</v>
      </c>
      <c r="E24" s="447" t="s">
        <v>13</v>
      </c>
      <c r="F24" s="450">
        <v>12</v>
      </c>
      <c r="G24" s="450">
        <f t="shared" ref="G24:G92" si="3">Y24-(Y24*$Y$15)</f>
        <v>12013.0245</v>
      </c>
      <c r="H24" s="450">
        <f t="shared" si="0"/>
        <v>15233.72</v>
      </c>
      <c r="I24" s="451">
        <f t="shared" si="1"/>
        <v>182804.64</v>
      </c>
      <c r="J24" s="452">
        <v>12013.0245</v>
      </c>
      <c r="K24" s="452">
        <v>15233.72</v>
      </c>
      <c r="L24" s="452">
        <v>60934.879999999997</v>
      </c>
      <c r="M24" s="452">
        <v>13382.61</v>
      </c>
      <c r="N24" s="452">
        <v>16970.490000000002</v>
      </c>
      <c r="O24" s="452">
        <v>135763.92000000001</v>
      </c>
      <c r="P24" s="493">
        <v>8</v>
      </c>
      <c r="Q24" s="452">
        <f t="shared" ref="Q24:Q32" si="4">ROUND(P24*N24,2)</f>
        <v>135763.92000000001</v>
      </c>
      <c r="R24" s="452"/>
      <c r="S24" s="452">
        <f t="shared" ref="S24:S32" si="5">ROUND(R24*N24,2)</f>
        <v>0</v>
      </c>
      <c r="T24" s="452">
        <f t="shared" si="2"/>
        <v>20</v>
      </c>
      <c r="U24" s="452">
        <f t="shared" ref="U24:U33" si="6">O24+Q24-S24+L24</f>
        <v>332462.72000000003</v>
      </c>
      <c r="V24" s="453"/>
      <c r="W24" s="453"/>
      <c r="X24" s="42" t="e">
        <f>IF(B24&lt;&gt;0,VLOOKUP(B24,#REF!,4,FALSE),"")</f>
        <v>#REF!</v>
      </c>
      <c r="Y24" s="336" t="s">
        <v>3195</v>
      </c>
      <c r="Z24" s="336">
        <f t="shared" ref="Z24:Z92" si="7">F24*G24</f>
        <v>144156.29399999999</v>
      </c>
      <c r="AA24" s="42"/>
      <c r="AB24" s="39" t="e">
        <f>IF(B24&lt;&gt;0,VLOOKUP(B24,#REF!,2,FALSE),"")</f>
        <v>#REF!</v>
      </c>
    </row>
    <row r="25" spans="1:28" s="23" customFormat="1">
      <c r="A25" s="19" t="s">
        <v>651</v>
      </c>
      <c r="B25" s="21" t="str">
        <f>'COMPOSIÇÃO DE CUSTOS'!G1841</f>
        <v>COMP-1</v>
      </c>
      <c r="C25" s="19" t="s">
        <v>15</v>
      </c>
      <c r="D25" s="21" t="s">
        <v>1914</v>
      </c>
      <c r="E25" s="21" t="s">
        <v>17</v>
      </c>
      <c r="F25" s="22">
        <v>3</v>
      </c>
      <c r="G25" s="22">
        <f t="shared" si="3"/>
        <v>198.84899999999999</v>
      </c>
      <c r="H25" s="22">
        <f t="shared" si="0"/>
        <v>252.16</v>
      </c>
      <c r="I25" s="147">
        <f t="shared" si="1"/>
        <v>756.48</v>
      </c>
      <c r="J25" s="148">
        <v>198.84899999999999</v>
      </c>
      <c r="K25" s="148">
        <v>252.16</v>
      </c>
      <c r="L25" s="148">
        <v>756.48</v>
      </c>
      <c r="M25" s="148"/>
      <c r="N25" s="148"/>
      <c r="O25" s="148"/>
      <c r="P25" s="494"/>
      <c r="Q25" s="148">
        <f t="shared" si="4"/>
        <v>0</v>
      </c>
      <c r="R25" s="148"/>
      <c r="S25" s="148">
        <f t="shared" si="5"/>
        <v>0</v>
      </c>
      <c r="T25" s="148">
        <f t="shared" si="2"/>
        <v>3</v>
      </c>
      <c r="U25" s="148">
        <f t="shared" si="6"/>
        <v>756.48</v>
      </c>
      <c r="V25" s="379"/>
      <c r="W25" s="379"/>
      <c r="X25" s="31">
        <f>'COMPOSIÇÃO DE CUSTOS'!G1844</f>
        <v>233.94</v>
      </c>
      <c r="Y25" s="346">
        <v>233.94</v>
      </c>
      <c r="Z25" s="334">
        <f t="shared" si="7"/>
        <v>596.54700000000003</v>
      </c>
      <c r="AA25" s="31"/>
      <c r="AB25" s="32"/>
    </row>
    <row r="26" spans="1:28" ht="30">
      <c r="A26" s="19" t="s">
        <v>652</v>
      </c>
      <c r="B26" s="20">
        <v>91677</v>
      </c>
      <c r="C26" s="19" t="s">
        <v>18</v>
      </c>
      <c r="D26" s="21" t="s">
        <v>12</v>
      </c>
      <c r="E26" s="21" t="s">
        <v>19</v>
      </c>
      <c r="F26" s="22">
        <f>12*44</f>
        <v>528</v>
      </c>
      <c r="G26" s="22">
        <f t="shared" si="3"/>
        <v>66.588999999999999</v>
      </c>
      <c r="H26" s="22">
        <f t="shared" si="0"/>
        <v>84.44</v>
      </c>
      <c r="I26" s="147">
        <f t="shared" si="1"/>
        <v>44584.32</v>
      </c>
      <c r="J26" s="148">
        <v>66.588999999999999</v>
      </c>
      <c r="K26" s="148">
        <v>84.44</v>
      </c>
      <c r="L26" s="148">
        <v>14861.44</v>
      </c>
      <c r="M26" s="148">
        <v>74.180000000000007</v>
      </c>
      <c r="N26" s="148">
        <v>94.07</v>
      </c>
      <c r="O26" s="148">
        <v>33112.639999999999</v>
      </c>
      <c r="P26" s="494"/>
      <c r="Q26" s="148">
        <f t="shared" si="4"/>
        <v>0</v>
      </c>
      <c r="R26" s="148"/>
      <c r="S26" s="148">
        <f t="shared" si="5"/>
        <v>0</v>
      </c>
      <c r="T26" s="148">
        <f t="shared" si="2"/>
        <v>528</v>
      </c>
      <c r="U26" s="148">
        <f t="shared" si="6"/>
        <v>47974.080000000002</v>
      </c>
      <c r="V26" s="379"/>
      <c r="W26" s="379"/>
      <c r="X26" s="33" t="e">
        <f>IF(B26&lt;&gt;0,VLOOKUP(B26,#REF!,4,FALSE),"")</f>
        <v>#REF!</v>
      </c>
      <c r="Y26" s="337" t="s">
        <v>3192</v>
      </c>
      <c r="Z26" s="337">
        <f t="shared" si="7"/>
        <v>35158.991999999998</v>
      </c>
      <c r="AA26" s="33"/>
      <c r="AB26" s="30" t="e">
        <f>IF(B26&lt;&gt;0,VLOOKUP(B26,#REF!,2,FALSE),"")</f>
        <v>#REF!</v>
      </c>
    </row>
    <row r="27" spans="1:28" ht="30">
      <c r="A27" s="449" t="s">
        <v>653</v>
      </c>
      <c r="B27" s="448">
        <v>94295</v>
      </c>
      <c r="C27" s="449" t="s">
        <v>20</v>
      </c>
      <c r="D27" s="447" t="s">
        <v>12</v>
      </c>
      <c r="E27" s="447" t="s">
        <v>13</v>
      </c>
      <c r="F27" s="450">
        <v>12</v>
      </c>
      <c r="G27" s="450">
        <f t="shared" si="3"/>
        <v>4931.2920000000004</v>
      </c>
      <c r="H27" s="450">
        <f t="shared" si="0"/>
        <v>6253.37</v>
      </c>
      <c r="I27" s="451">
        <f t="shared" si="1"/>
        <v>75040.44</v>
      </c>
      <c r="J27" s="452">
        <v>4931.2920000000004</v>
      </c>
      <c r="K27" s="452">
        <v>6253.37</v>
      </c>
      <c r="L27" s="452">
        <v>25013.48</v>
      </c>
      <c r="M27" s="452">
        <v>5493.5</v>
      </c>
      <c r="N27" s="452">
        <v>6966.31</v>
      </c>
      <c r="O27" s="452">
        <v>55730.48</v>
      </c>
      <c r="P27" s="493">
        <v>8</v>
      </c>
      <c r="Q27" s="452">
        <f t="shared" si="4"/>
        <v>55730.48</v>
      </c>
      <c r="R27" s="452"/>
      <c r="S27" s="452">
        <f t="shared" si="5"/>
        <v>0</v>
      </c>
      <c r="T27" s="452">
        <f t="shared" si="2"/>
        <v>20</v>
      </c>
      <c r="U27" s="452">
        <f t="shared" si="6"/>
        <v>136474.44</v>
      </c>
      <c r="V27" s="379"/>
      <c r="W27" s="379"/>
      <c r="X27" s="33" t="e">
        <f>IF(B27&lt;&gt;0,VLOOKUP(B27,#REF!,4,FALSE),"")</f>
        <v>#REF!</v>
      </c>
      <c r="Y27" s="337" t="s">
        <v>3196</v>
      </c>
      <c r="Z27" s="334">
        <f t="shared" si="7"/>
        <v>59175.504000000001</v>
      </c>
      <c r="AA27" s="33"/>
      <c r="AB27" s="30" t="e">
        <f>IF(B27&lt;&gt;0,VLOOKUP(B27,#REF!,2,FALSE),"")</f>
        <v>#REF!</v>
      </c>
    </row>
    <row r="28" spans="1:28" ht="30">
      <c r="A28" s="449" t="s">
        <v>654</v>
      </c>
      <c r="B28" s="448">
        <v>93564</v>
      </c>
      <c r="C28" s="449" t="s">
        <v>21</v>
      </c>
      <c r="D28" s="447" t="s">
        <v>12</v>
      </c>
      <c r="E28" s="447" t="s">
        <v>13</v>
      </c>
      <c r="F28" s="450">
        <v>12</v>
      </c>
      <c r="G28" s="450">
        <f t="shared" si="3"/>
        <v>2162.587</v>
      </c>
      <c r="H28" s="450">
        <f t="shared" si="0"/>
        <v>2742.38</v>
      </c>
      <c r="I28" s="451">
        <f t="shared" si="1"/>
        <v>32908.559999999998</v>
      </c>
      <c r="J28" s="452">
        <v>2162.587</v>
      </c>
      <c r="K28" s="452">
        <v>2742.38</v>
      </c>
      <c r="L28" s="452">
        <v>10969.52</v>
      </c>
      <c r="M28" s="452">
        <v>2409.14</v>
      </c>
      <c r="N28" s="452">
        <v>3055.03</v>
      </c>
      <c r="O28" s="452">
        <v>24440.240000000002</v>
      </c>
      <c r="P28" s="493">
        <v>8</v>
      </c>
      <c r="Q28" s="452">
        <f t="shared" si="4"/>
        <v>24440.240000000002</v>
      </c>
      <c r="R28" s="452"/>
      <c r="S28" s="452">
        <f t="shared" si="5"/>
        <v>0</v>
      </c>
      <c r="T28" s="452">
        <f t="shared" si="2"/>
        <v>20</v>
      </c>
      <c r="U28" s="452">
        <f t="shared" si="6"/>
        <v>59850</v>
      </c>
      <c r="V28" s="379"/>
      <c r="W28" s="379"/>
      <c r="X28" s="33" t="e">
        <f>IF(B28&lt;&gt;0,VLOOKUP(B28,#REF!,4,FALSE),"")</f>
        <v>#REF!</v>
      </c>
      <c r="Y28" s="337" t="s">
        <v>3194</v>
      </c>
      <c r="Z28" s="334">
        <f t="shared" si="7"/>
        <v>25951.044000000002</v>
      </c>
      <c r="AA28" s="33"/>
      <c r="AB28" s="30" t="e">
        <f>IF(B28&lt;&gt;0,VLOOKUP(B28,#REF!,2,FALSE),"")</f>
        <v>#REF!</v>
      </c>
    </row>
    <row r="29" spans="1:28">
      <c r="A29" s="456" t="s">
        <v>3621</v>
      </c>
      <c r="B29" s="448">
        <v>93563</v>
      </c>
      <c r="C29" s="449" t="s">
        <v>3622</v>
      </c>
      <c r="D29" s="447" t="s">
        <v>12</v>
      </c>
      <c r="E29" s="447" t="s">
        <v>13</v>
      </c>
      <c r="F29" s="450">
        <v>12</v>
      </c>
      <c r="G29" s="450">
        <f t="shared" si="3"/>
        <v>2145.4935</v>
      </c>
      <c r="H29" s="450">
        <f t="shared" si="0"/>
        <v>2720.7</v>
      </c>
      <c r="I29" s="451">
        <f t="shared" si="1"/>
        <v>32648.400000000001</v>
      </c>
      <c r="J29" s="452">
        <v>2145.4935</v>
      </c>
      <c r="K29" s="452">
        <v>2720.7</v>
      </c>
      <c r="L29" s="452">
        <v>10882.8</v>
      </c>
      <c r="M29" s="452">
        <v>2390.1</v>
      </c>
      <c r="N29" s="452">
        <v>3030.89</v>
      </c>
      <c r="O29" s="452">
        <v>24247.119999999999</v>
      </c>
      <c r="P29" s="493">
        <v>8</v>
      </c>
      <c r="Q29" s="452">
        <f t="shared" si="4"/>
        <v>24247.119999999999</v>
      </c>
      <c r="R29" s="452"/>
      <c r="S29" s="452">
        <f t="shared" si="5"/>
        <v>0</v>
      </c>
      <c r="T29" s="452">
        <f t="shared" si="2"/>
        <v>20</v>
      </c>
      <c r="U29" s="452">
        <f t="shared" si="6"/>
        <v>59377.039999999994</v>
      </c>
      <c r="V29" s="379"/>
      <c r="W29" s="379"/>
      <c r="X29" s="33" t="e">
        <f>IF(B29&lt;&gt;0,VLOOKUP(B29,#REF!,4,FALSE),"")</f>
        <v>#REF!</v>
      </c>
      <c r="Y29" s="337" t="s">
        <v>3193</v>
      </c>
      <c r="Z29" s="334">
        <f t="shared" si="7"/>
        <v>25745.921999999999</v>
      </c>
      <c r="AA29" s="33"/>
      <c r="AB29" s="30" t="e">
        <f>IF(B29&lt;&gt;0,VLOOKUP(B29,#REF!,2,FALSE),"")</f>
        <v>#REF!</v>
      </c>
    </row>
    <row r="30" spans="1:28">
      <c r="A30" s="19" t="s">
        <v>3005</v>
      </c>
      <c r="B30" s="20">
        <v>11867</v>
      </c>
      <c r="C30" s="19" t="s">
        <v>3026</v>
      </c>
      <c r="D30" s="21" t="s">
        <v>44</v>
      </c>
      <c r="E30" s="21" t="s">
        <v>13</v>
      </c>
      <c r="F30" s="22">
        <v>2</v>
      </c>
      <c r="G30" s="22">
        <f t="shared" si="3"/>
        <v>4488</v>
      </c>
      <c r="H30" s="22">
        <f t="shared" si="0"/>
        <v>5691.23</v>
      </c>
      <c r="I30" s="147">
        <f t="shared" si="1"/>
        <v>11382.46</v>
      </c>
      <c r="J30" s="148">
        <v>4488</v>
      </c>
      <c r="K30" s="148">
        <v>5691.23</v>
      </c>
      <c r="L30" s="148">
        <v>11382.46</v>
      </c>
      <c r="M30" s="148"/>
      <c r="N30" s="148"/>
      <c r="O30" s="148"/>
      <c r="P30" s="494"/>
      <c r="Q30" s="148"/>
      <c r="R30" s="148"/>
      <c r="S30" s="148">
        <f t="shared" si="5"/>
        <v>0</v>
      </c>
      <c r="T30" s="148">
        <f t="shared" si="2"/>
        <v>2</v>
      </c>
      <c r="U30" s="148">
        <f t="shared" si="6"/>
        <v>11382.46</v>
      </c>
      <c r="V30" s="379"/>
      <c r="W30" s="379"/>
      <c r="X30" s="33" t="e">
        <f>IF(B30&lt;&gt;0,VLOOKUP(B30,#REF!,2,FALSE),"")</f>
        <v>#REF!</v>
      </c>
      <c r="Y30" s="337">
        <v>5280</v>
      </c>
      <c r="Z30" s="334">
        <f t="shared" si="7"/>
        <v>8976</v>
      </c>
      <c r="AA30" s="33"/>
      <c r="AB30" s="30" t="e">
        <f>IF(B30&lt;&gt;0,VLOOKUP(B30,#REF!,2,FALSE),"")</f>
        <v>#REF!</v>
      </c>
    </row>
    <row r="31" spans="1:28">
      <c r="A31" s="449" t="s">
        <v>3025</v>
      </c>
      <c r="B31" s="448">
        <v>971988</v>
      </c>
      <c r="C31" s="449" t="s">
        <v>3427</v>
      </c>
      <c r="D31" s="447" t="s">
        <v>1914</v>
      </c>
      <c r="E31" s="447" t="s">
        <v>13</v>
      </c>
      <c r="F31" s="450">
        <v>12</v>
      </c>
      <c r="G31" s="450">
        <f t="shared" si="3"/>
        <v>1502.0605</v>
      </c>
      <c r="H31" s="450">
        <f t="shared" si="0"/>
        <v>1904.76</v>
      </c>
      <c r="I31" s="451">
        <f t="shared" si="1"/>
        <v>22857.119999999999</v>
      </c>
      <c r="J31" s="452">
        <v>1502.0605</v>
      </c>
      <c r="K31" s="452">
        <v>1904.76</v>
      </c>
      <c r="L31" s="452">
        <v>7619.04</v>
      </c>
      <c r="M31" s="452">
        <v>1673.31</v>
      </c>
      <c r="N31" s="452">
        <v>2121.92</v>
      </c>
      <c r="O31" s="452">
        <v>16975.36</v>
      </c>
      <c r="P31" s="493">
        <v>8</v>
      </c>
      <c r="Q31" s="452">
        <f t="shared" si="4"/>
        <v>16975.36</v>
      </c>
      <c r="R31" s="452"/>
      <c r="S31" s="452">
        <f t="shared" si="5"/>
        <v>0</v>
      </c>
      <c r="T31" s="452">
        <f t="shared" si="2"/>
        <v>20</v>
      </c>
      <c r="U31" s="452">
        <f t="shared" si="6"/>
        <v>41569.760000000002</v>
      </c>
      <c r="V31" s="379"/>
      <c r="W31" s="379"/>
      <c r="X31" s="33">
        <f>'COMPOSIÇÃO DE CUSTOS'!G2575</f>
        <v>1502.06</v>
      </c>
      <c r="Y31" s="337">
        <v>1767.13</v>
      </c>
      <c r="Z31" s="334">
        <f t="shared" si="7"/>
        <v>18024.726000000002</v>
      </c>
      <c r="AA31" s="33"/>
      <c r="AB31" s="30"/>
    </row>
    <row r="32" spans="1:28" s="38" customFormat="1" ht="30">
      <c r="A32" s="449" t="s">
        <v>3430</v>
      </c>
      <c r="B32" s="448">
        <v>88326</v>
      </c>
      <c r="C32" s="449" t="s">
        <v>22</v>
      </c>
      <c r="D32" s="447" t="s">
        <v>12</v>
      </c>
      <c r="E32" s="447" t="s">
        <v>19</v>
      </c>
      <c r="F32" s="450">
        <v>5280</v>
      </c>
      <c r="G32" s="450">
        <f t="shared" si="3"/>
        <v>15.061999999999999</v>
      </c>
      <c r="H32" s="450">
        <f t="shared" si="0"/>
        <v>19.100000000000001</v>
      </c>
      <c r="I32" s="451">
        <f t="shared" si="1"/>
        <v>100848</v>
      </c>
      <c r="J32" s="452">
        <v>15.061999999999999</v>
      </c>
      <c r="K32" s="452">
        <v>19.100000000000001</v>
      </c>
      <c r="L32" s="452">
        <v>27504</v>
      </c>
      <c r="M32" s="452">
        <v>16.78</v>
      </c>
      <c r="N32" s="452">
        <v>21.28</v>
      </c>
      <c r="O32" s="452">
        <v>81715.199999999997</v>
      </c>
      <c r="P32" s="493">
        <f>360*20-F32</f>
        <v>1920</v>
      </c>
      <c r="Q32" s="452">
        <f t="shared" si="4"/>
        <v>40857.599999999999</v>
      </c>
      <c r="R32" s="452"/>
      <c r="S32" s="452">
        <f t="shared" si="5"/>
        <v>0</v>
      </c>
      <c r="T32" s="452">
        <f t="shared" si="2"/>
        <v>7200</v>
      </c>
      <c r="U32" s="452">
        <f t="shared" si="6"/>
        <v>150076.79999999999</v>
      </c>
      <c r="V32" s="453"/>
      <c r="W32" s="453"/>
      <c r="X32" s="42" t="e">
        <f>IF(B32&lt;&gt;0,VLOOKUP(B32,#REF!,4,FALSE),"")</f>
        <v>#REF!</v>
      </c>
      <c r="Y32" s="336" t="s">
        <v>1875</v>
      </c>
      <c r="Z32" s="336">
        <f t="shared" si="7"/>
        <v>79527.360000000001</v>
      </c>
      <c r="AA32" s="42"/>
      <c r="AB32" s="39" t="e">
        <f>IF(B32&lt;&gt;0,VLOOKUP(B32,#REF!,2,FALSE),"")</f>
        <v>#REF!</v>
      </c>
    </row>
    <row r="33" spans="1:28" s="38" customFormat="1">
      <c r="A33" s="449" t="s">
        <v>3813</v>
      </c>
      <c r="B33" s="448">
        <v>100321</v>
      </c>
      <c r="C33" s="449" t="s">
        <v>3796</v>
      </c>
      <c r="D33" s="447" t="s">
        <v>12</v>
      </c>
      <c r="E33" s="447" t="s">
        <v>13</v>
      </c>
      <c r="F33" s="450"/>
      <c r="G33" s="450">
        <f>(V33-(V33*$Y$15))*$S$16</f>
        <v>3027.3472521148674</v>
      </c>
      <c r="H33" s="450">
        <f>ROUND(G33*(1+$X$14),2)</f>
        <v>3838.98</v>
      </c>
      <c r="I33" s="451"/>
      <c r="J33" s="452"/>
      <c r="K33" s="452"/>
      <c r="L33" s="452"/>
      <c r="M33" s="452"/>
      <c r="N33" s="452"/>
      <c r="O33" s="452"/>
      <c r="P33" s="493">
        <v>12</v>
      </c>
      <c r="Q33" s="452">
        <f>ROUND(P33*H33,2)</f>
        <v>46067.76</v>
      </c>
      <c r="R33" s="452"/>
      <c r="S33" s="452">
        <f>ROUND(R33*P33,2)</f>
        <v>0</v>
      </c>
      <c r="T33" s="452">
        <f t="shared" si="2"/>
        <v>12</v>
      </c>
      <c r="U33" s="452">
        <f t="shared" si="6"/>
        <v>46067.76</v>
      </c>
      <c r="V33" s="453">
        <v>3197.09</v>
      </c>
      <c r="W33" s="453"/>
      <c r="X33" s="42"/>
      <c r="Y33" s="336"/>
      <c r="Z33" s="336"/>
      <c r="AA33" s="42"/>
      <c r="AB33" s="39"/>
    </row>
    <row r="34" spans="1:28" ht="24" customHeight="1">
      <c r="A34" s="19"/>
      <c r="B34" s="20"/>
      <c r="C34" s="19"/>
      <c r="D34" s="21"/>
      <c r="E34" s="21"/>
      <c r="F34" s="22"/>
      <c r="G34" s="22"/>
      <c r="H34" s="22"/>
      <c r="I34" s="147"/>
      <c r="J34" s="148"/>
      <c r="K34" s="148"/>
      <c r="L34" s="148"/>
      <c r="M34" s="148"/>
      <c r="N34" s="148"/>
      <c r="O34" s="148"/>
      <c r="P34" s="494"/>
      <c r="Q34" s="148"/>
      <c r="R34" s="148"/>
      <c r="S34" s="148"/>
      <c r="T34" s="148"/>
      <c r="U34" s="148"/>
      <c r="V34" s="379"/>
      <c r="W34" s="379"/>
      <c r="Z34" s="334">
        <f t="shared" si="7"/>
        <v>0</v>
      </c>
    </row>
    <row r="35" spans="1:28" s="23" customFormat="1" ht="15" customHeight="1">
      <c r="A35" s="229" t="s">
        <v>655</v>
      </c>
      <c r="B35" s="229"/>
      <c r="C35" s="229" t="s">
        <v>23</v>
      </c>
      <c r="D35" s="230"/>
      <c r="E35" s="230"/>
      <c r="F35" s="230"/>
      <c r="G35" s="22"/>
      <c r="H35" s="230"/>
      <c r="I35" s="445">
        <f>ROUND(SUM(I37:I51),2)</f>
        <v>266860.89</v>
      </c>
      <c r="J35" s="440"/>
      <c r="K35" s="440"/>
      <c r="L35" s="440">
        <v>266860.89</v>
      </c>
      <c r="M35" s="440"/>
      <c r="N35" s="440"/>
      <c r="O35" s="440"/>
      <c r="P35" s="492"/>
      <c r="Q35" s="440">
        <f>ROUND(SUM(Q37:Q51),2)</f>
        <v>196248.39</v>
      </c>
      <c r="R35" s="440"/>
      <c r="S35" s="440">
        <f>ROUND(SUM(S37:S51),2)</f>
        <v>0</v>
      </c>
      <c r="T35" s="148"/>
      <c r="U35" s="440">
        <f>O35+Q35-S35+L35</f>
        <v>463109.28</v>
      </c>
      <c r="V35" s="330"/>
      <c r="W35" s="330"/>
      <c r="Y35" s="347"/>
      <c r="Z35" s="334">
        <f t="shared" si="7"/>
        <v>0</v>
      </c>
    </row>
    <row r="36" spans="1:28" s="23" customFormat="1" ht="15" customHeight="1">
      <c r="A36" s="229" t="s">
        <v>656</v>
      </c>
      <c r="B36" s="229"/>
      <c r="C36" s="229" t="s">
        <v>24</v>
      </c>
      <c r="D36" s="230"/>
      <c r="E36" s="230"/>
      <c r="F36" s="230"/>
      <c r="G36" s="22"/>
      <c r="H36" s="230"/>
      <c r="I36" s="445"/>
      <c r="J36" s="440"/>
      <c r="K36" s="440"/>
      <c r="L36" s="440"/>
      <c r="M36" s="440"/>
      <c r="N36" s="440"/>
      <c r="O36" s="440"/>
      <c r="P36" s="492"/>
      <c r="Q36" s="440"/>
      <c r="R36" s="440"/>
      <c r="S36" s="440"/>
      <c r="T36" s="148"/>
      <c r="U36" s="148"/>
      <c r="V36" s="330"/>
      <c r="W36" s="330"/>
      <c r="Y36" s="347"/>
      <c r="Z36" s="334">
        <f t="shared" si="7"/>
        <v>0</v>
      </c>
    </row>
    <row r="37" spans="1:28" s="23" customFormat="1" ht="27" customHeight="1">
      <c r="A37" s="19" t="s">
        <v>657</v>
      </c>
      <c r="B37" s="20">
        <v>51</v>
      </c>
      <c r="C37" s="19" t="s">
        <v>25</v>
      </c>
      <c r="D37" s="21" t="s">
        <v>44</v>
      </c>
      <c r="E37" s="21" t="s">
        <v>26</v>
      </c>
      <c r="F37" s="22">
        <v>8</v>
      </c>
      <c r="G37" s="22">
        <f t="shared" si="3"/>
        <v>261.28149999999999</v>
      </c>
      <c r="H37" s="22">
        <f t="shared" ref="H37:H46" si="8">ROUND(G37*(1+$X$14),2)</f>
        <v>331.33</v>
      </c>
      <c r="I37" s="147">
        <f t="shared" ref="I37:I46" si="9">ROUND(H37*F37,2)</f>
        <v>2650.64</v>
      </c>
      <c r="J37" s="148">
        <v>261.28149999999999</v>
      </c>
      <c r="K37" s="148">
        <v>331.33</v>
      </c>
      <c r="L37" s="148">
        <v>2650.64</v>
      </c>
      <c r="M37" s="148"/>
      <c r="N37" s="148"/>
      <c r="O37" s="148"/>
      <c r="P37" s="494"/>
      <c r="Q37" s="148">
        <f>ROUND(P37*N37,2)</f>
        <v>0</v>
      </c>
      <c r="R37" s="148"/>
      <c r="S37" s="148">
        <f>ROUND(R37*N37,2)</f>
        <v>0</v>
      </c>
      <c r="T37" s="148">
        <f t="shared" ref="T37:T49" si="10">F37+P37-R37</f>
        <v>8</v>
      </c>
      <c r="U37" s="148">
        <f t="shared" ref="U37:U51" si="11">O37+Q37-S37+L37</f>
        <v>2650.64</v>
      </c>
      <c r="V37" s="379"/>
      <c r="W37" s="379"/>
      <c r="X37" s="31">
        <f>'COMPOSIÇÃO DE CUSTOS'!G1855</f>
        <v>261.27999999999997</v>
      </c>
      <c r="Y37" s="346">
        <v>307.39</v>
      </c>
      <c r="Z37" s="334">
        <f t="shared" si="7"/>
        <v>2090.252</v>
      </c>
      <c r="AA37" s="31"/>
    </row>
    <row r="38" spans="1:28" s="23" customFormat="1" ht="48" customHeight="1">
      <c r="A38" s="19" t="s">
        <v>658</v>
      </c>
      <c r="B38" s="20">
        <v>101508</v>
      </c>
      <c r="C38" s="19" t="s">
        <v>3008</v>
      </c>
      <c r="D38" s="21" t="s">
        <v>12</v>
      </c>
      <c r="E38" s="21" t="s">
        <v>17</v>
      </c>
      <c r="F38" s="22">
        <v>1</v>
      </c>
      <c r="G38" s="22">
        <f t="shared" si="3"/>
        <v>1647.7335</v>
      </c>
      <c r="H38" s="22">
        <f t="shared" si="8"/>
        <v>2089.4899999999998</v>
      </c>
      <c r="I38" s="147">
        <f t="shared" si="9"/>
        <v>2089.4899999999998</v>
      </c>
      <c r="J38" s="148">
        <v>1647.7335</v>
      </c>
      <c r="K38" s="148">
        <v>2089.4899999999998</v>
      </c>
      <c r="L38" s="148">
        <v>2089.4899999999998</v>
      </c>
      <c r="M38" s="148"/>
      <c r="N38" s="148"/>
      <c r="O38" s="148"/>
      <c r="P38" s="494"/>
      <c r="Q38" s="148">
        <f>ROUND(P38*N38,2)</f>
        <v>0</v>
      </c>
      <c r="R38" s="148"/>
      <c r="S38" s="148">
        <f>ROUND(R38*N38,2)</f>
        <v>0</v>
      </c>
      <c r="T38" s="148">
        <f t="shared" si="10"/>
        <v>1</v>
      </c>
      <c r="U38" s="148">
        <f t="shared" si="11"/>
        <v>2089.4899999999998</v>
      </c>
      <c r="V38" s="379"/>
      <c r="W38" s="379"/>
      <c r="X38" s="32" t="e">
        <f>IF(B38&lt;&gt;0,VLOOKUP(B38,#REF!,4,FALSE),"")</f>
        <v>#REF!</v>
      </c>
      <c r="Y38" s="346" t="s">
        <v>3255</v>
      </c>
      <c r="Z38" s="334">
        <f t="shared" si="7"/>
        <v>1647.7335</v>
      </c>
      <c r="AA38" s="32"/>
      <c r="AB38" s="23" t="e">
        <f>IF(B38&lt;&gt;0,VLOOKUP(B38,#REF!,2,FALSE),"")</f>
        <v>#REF!</v>
      </c>
    </row>
    <row r="39" spans="1:28" s="38" customFormat="1" ht="24" customHeight="1">
      <c r="A39" s="449" t="s">
        <v>659</v>
      </c>
      <c r="B39" s="448">
        <v>98459</v>
      </c>
      <c r="C39" s="449" t="s">
        <v>3006</v>
      </c>
      <c r="D39" s="447" t="s">
        <v>12</v>
      </c>
      <c r="E39" s="447" t="s">
        <v>26</v>
      </c>
      <c r="F39" s="450">
        <f>342.5+342.5</f>
        <v>685</v>
      </c>
      <c r="G39" s="450">
        <f t="shared" si="3"/>
        <v>79.9255</v>
      </c>
      <c r="H39" s="450">
        <f t="shared" si="8"/>
        <v>101.35</v>
      </c>
      <c r="I39" s="451">
        <f t="shared" si="9"/>
        <v>69424.75</v>
      </c>
      <c r="J39" s="452">
        <v>79.9255</v>
      </c>
      <c r="K39" s="452">
        <v>101.35</v>
      </c>
      <c r="L39" s="452">
        <v>69424.75</v>
      </c>
      <c r="M39" s="452"/>
      <c r="N39" s="452"/>
      <c r="O39" s="452"/>
      <c r="P39" s="493">
        <f>771.46-F39</f>
        <v>86.460000000000036</v>
      </c>
      <c r="Q39" s="452">
        <f>ROUND(P39*H39*$S$16,2)</f>
        <v>9761.74</v>
      </c>
      <c r="R39" s="452"/>
      <c r="S39" s="452">
        <f>ROUND(R39*P39,2)</f>
        <v>0</v>
      </c>
      <c r="T39" s="452">
        <f t="shared" si="10"/>
        <v>771.46</v>
      </c>
      <c r="U39" s="452">
        <f t="shared" si="11"/>
        <v>79186.490000000005</v>
      </c>
      <c r="V39" s="453">
        <f>353*2.1</f>
        <v>741.30000000000007</v>
      </c>
      <c r="W39" s="453"/>
      <c r="X39" s="39" t="e">
        <f>IF(B39&lt;&gt;0,VLOOKUP(B39,#REF!,4,FALSE),"")</f>
        <v>#REF!</v>
      </c>
      <c r="Y39" s="336" t="s">
        <v>3204</v>
      </c>
      <c r="Z39" s="336">
        <f t="shared" si="7"/>
        <v>54748.967499999999</v>
      </c>
      <c r="AA39" s="39"/>
      <c r="AB39" s="38" t="e">
        <f>IF(B39&lt;&gt;0,VLOOKUP(B39,#REF!,2,FALSE),"")</f>
        <v>#REF!</v>
      </c>
    </row>
    <row r="40" spans="1:28" s="29" customFormat="1" ht="51" customHeight="1">
      <c r="A40" s="19" t="s">
        <v>660</v>
      </c>
      <c r="B40" s="20">
        <v>93213</v>
      </c>
      <c r="C40" s="19" t="s">
        <v>1516</v>
      </c>
      <c r="D40" s="21" t="s">
        <v>12</v>
      </c>
      <c r="E40" s="21" t="s">
        <v>26</v>
      </c>
      <c r="F40" s="22">
        <v>47.63</v>
      </c>
      <c r="G40" s="22">
        <f t="shared" si="3"/>
        <v>733.63499999999999</v>
      </c>
      <c r="H40" s="22">
        <f t="shared" si="8"/>
        <v>930.32</v>
      </c>
      <c r="I40" s="147">
        <f t="shared" si="9"/>
        <v>44311.14</v>
      </c>
      <c r="J40" s="148">
        <v>733.63499999999999</v>
      </c>
      <c r="K40" s="148">
        <v>930.32</v>
      </c>
      <c r="L40" s="148">
        <v>44311.14</v>
      </c>
      <c r="M40" s="148"/>
      <c r="N40" s="148"/>
      <c r="O40" s="148"/>
      <c r="P40" s="494"/>
      <c r="Q40" s="148">
        <f t="shared" ref="Q40:Q45" si="12">ROUND(P40*N40,2)</f>
        <v>0</v>
      </c>
      <c r="R40" s="148"/>
      <c r="S40" s="148">
        <f t="shared" ref="S40:S45" si="13">ROUND(R40*N40,2)</f>
        <v>0</v>
      </c>
      <c r="T40" s="148">
        <f t="shared" si="10"/>
        <v>47.63</v>
      </c>
      <c r="U40" s="148">
        <f t="shared" si="11"/>
        <v>44311.14</v>
      </c>
      <c r="V40" s="379"/>
      <c r="W40" s="379"/>
      <c r="X40" s="40" t="e">
        <f>IF(B40&lt;&gt;0,VLOOKUP(B40,#REF!,4,FALSE),"")</f>
        <v>#REF!</v>
      </c>
      <c r="Y40" s="348" t="s">
        <v>3201</v>
      </c>
      <c r="Z40" s="334">
        <f t="shared" si="7"/>
        <v>34943.035049999999</v>
      </c>
      <c r="AA40" s="40"/>
      <c r="AB40" s="29" t="e">
        <f>IF(B40&lt;&gt;0,VLOOKUP(B40,#REF!,2,FALSE),"")</f>
        <v>#REF!</v>
      </c>
    </row>
    <row r="41" spans="1:28" ht="45.75" customHeight="1">
      <c r="A41" s="19" t="s">
        <v>661</v>
      </c>
      <c r="B41" s="20">
        <v>93211</v>
      </c>
      <c r="C41" s="19" t="s">
        <v>1517</v>
      </c>
      <c r="D41" s="21" t="s">
        <v>12</v>
      </c>
      <c r="E41" s="21" t="s">
        <v>26</v>
      </c>
      <c r="F41" s="22">
        <v>47.63</v>
      </c>
      <c r="G41" s="22">
        <f t="shared" si="3"/>
        <v>439.858</v>
      </c>
      <c r="H41" s="22">
        <f t="shared" si="8"/>
        <v>557.78</v>
      </c>
      <c r="I41" s="147">
        <f t="shared" si="9"/>
        <v>26567.06</v>
      </c>
      <c r="J41" s="148">
        <v>439.858</v>
      </c>
      <c r="K41" s="148">
        <v>557.78</v>
      </c>
      <c r="L41" s="148">
        <v>26567.06</v>
      </c>
      <c r="M41" s="148"/>
      <c r="N41" s="148"/>
      <c r="O41" s="148"/>
      <c r="P41" s="494"/>
      <c r="Q41" s="148">
        <f t="shared" si="12"/>
        <v>0</v>
      </c>
      <c r="R41" s="148"/>
      <c r="S41" s="148">
        <f t="shared" si="13"/>
        <v>0</v>
      </c>
      <c r="T41" s="148">
        <f t="shared" si="10"/>
        <v>47.63</v>
      </c>
      <c r="U41" s="148">
        <f t="shared" si="11"/>
        <v>26567.06</v>
      </c>
      <c r="V41" s="379"/>
      <c r="W41" s="379"/>
      <c r="X41" s="30" t="e">
        <f>IF(B41&lt;&gt;0,VLOOKUP(B41,#REF!,4,FALSE),"")</f>
        <v>#REF!</v>
      </c>
      <c r="Y41" s="337" t="s">
        <v>3200</v>
      </c>
      <c r="Z41" s="334">
        <f t="shared" si="7"/>
        <v>20950.436540000002</v>
      </c>
      <c r="AA41" s="30"/>
      <c r="AB41" s="2" t="e">
        <f>IF(B41&lt;&gt;0,VLOOKUP(B41,#REF!,2,FALSE),"")</f>
        <v>#REF!</v>
      </c>
    </row>
    <row r="42" spans="1:28" ht="45.75" customHeight="1">
      <c r="A42" s="19" t="s">
        <v>662</v>
      </c>
      <c r="B42" s="20">
        <v>93206</v>
      </c>
      <c r="C42" s="19" t="s">
        <v>1518</v>
      </c>
      <c r="D42" s="21" t="s">
        <v>12</v>
      </c>
      <c r="E42" s="21" t="s">
        <v>26</v>
      </c>
      <c r="F42" s="22">
        <v>17.86</v>
      </c>
      <c r="G42" s="22">
        <f t="shared" si="3"/>
        <v>810.06700000000001</v>
      </c>
      <c r="H42" s="22">
        <f t="shared" si="8"/>
        <v>1027.25</v>
      </c>
      <c r="I42" s="147">
        <f t="shared" si="9"/>
        <v>18346.689999999999</v>
      </c>
      <c r="J42" s="148">
        <v>810.06700000000001</v>
      </c>
      <c r="K42" s="148">
        <v>1027.25</v>
      </c>
      <c r="L42" s="148">
        <v>18346.689999999999</v>
      </c>
      <c r="M42" s="148"/>
      <c r="N42" s="148"/>
      <c r="O42" s="148"/>
      <c r="P42" s="494"/>
      <c r="Q42" s="148">
        <f t="shared" si="12"/>
        <v>0</v>
      </c>
      <c r="R42" s="148"/>
      <c r="S42" s="148">
        <f t="shared" si="13"/>
        <v>0</v>
      </c>
      <c r="T42" s="148">
        <f t="shared" si="10"/>
        <v>17.86</v>
      </c>
      <c r="U42" s="148">
        <f t="shared" si="11"/>
        <v>18346.689999999999</v>
      </c>
      <c r="V42" s="379"/>
      <c r="W42" s="379"/>
      <c r="X42" s="30" t="e">
        <f>IF(B42&lt;&gt;0,VLOOKUP(B42,#REF!,4,FALSE),"")</f>
        <v>#REF!</v>
      </c>
      <c r="Y42" s="337" t="s">
        <v>3198</v>
      </c>
      <c r="Z42" s="334">
        <f t="shared" si="7"/>
        <v>14467.796619999999</v>
      </c>
      <c r="AA42" s="30"/>
      <c r="AB42" s="2" t="e">
        <f>IF(B42&lt;&gt;0,VLOOKUP(B42,#REF!,2,FALSE),"")</f>
        <v>#REF!</v>
      </c>
    </row>
    <row r="43" spans="1:28" ht="34.5" customHeight="1">
      <c r="A43" s="19" t="s">
        <v>663</v>
      </c>
      <c r="B43" s="20">
        <v>93209</v>
      </c>
      <c r="C43" s="19" t="s">
        <v>1519</v>
      </c>
      <c r="D43" s="21" t="s">
        <v>12</v>
      </c>
      <c r="E43" s="21" t="s">
        <v>26</v>
      </c>
      <c r="F43" s="22">
        <v>53.58</v>
      </c>
      <c r="G43" s="22">
        <f t="shared" si="3"/>
        <v>671.44049999999993</v>
      </c>
      <c r="H43" s="22">
        <f t="shared" si="8"/>
        <v>851.45</v>
      </c>
      <c r="I43" s="147">
        <f t="shared" si="9"/>
        <v>45620.69</v>
      </c>
      <c r="J43" s="148">
        <v>671.44049999999993</v>
      </c>
      <c r="K43" s="148">
        <v>851.45</v>
      </c>
      <c r="L43" s="148">
        <v>45620.69</v>
      </c>
      <c r="M43" s="148"/>
      <c r="N43" s="148"/>
      <c r="O43" s="148"/>
      <c r="P43" s="494"/>
      <c r="Q43" s="148">
        <f t="shared" si="12"/>
        <v>0</v>
      </c>
      <c r="R43" s="148"/>
      <c r="S43" s="148">
        <f t="shared" si="13"/>
        <v>0</v>
      </c>
      <c r="T43" s="148">
        <f t="shared" si="10"/>
        <v>53.58</v>
      </c>
      <c r="U43" s="148">
        <f t="shared" si="11"/>
        <v>45620.69</v>
      </c>
      <c r="V43" s="379"/>
      <c r="W43" s="379"/>
      <c r="X43" s="30" t="e">
        <f>IF(B43&lt;&gt;0,VLOOKUP(B43,#REF!,4,FALSE),"")</f>
        <v>#REF!</v>
      </c>
      <c r="Y43" s="337" t="s">
        <v>3199</v>
      </c>
      <c r="Z43" s="334">
        <f t="shared" si="7"/>
        <v>35975.781989999996</v>
      </c>
      <c r="AA43" s="30"/>
      <c r="AB43" s="2" t="e">
        <f>IF(B43&lt;&gt;0,VLOOKUP(B43,#REF!,2,FALSE),"")</f>
        <v>#REF!</v>
      </c>
    </row>
    <row r="44" spans="1:28" ht="47.25" customHeight="1">
      <c r="A44" s="19" t="s">
        <v>664</v>
      </c>
      <c r="B44" s="20">
        <v>93582</v>
      </c>
      <c r="C44" s="19" t="s">
        <v>1520</v>
      </c>
      <c r="D44" s="21" t="s">
        <v>12</v>
      </c>
      <c r="E44" s="21" t="s">
        <v>26</v>
      </c>
      <c r="F44" s="22">
        <v>60.4</v>
      </c>
      <c r="G44" s="22">
        <f t="shared" si="3"/>
        <v>195.66149999999999</v>
      </c>
      <c r="H44" s="22">
        <f t="shared" si="8"/>
        <v>248.12</v>
      </c>
      <c r="I44" s="147">
        <f t="shared" si="9"/>
        <v>14986.45</v>
      </c>
      <c r="J44" s="148">
        <v>195.66149999999999</v>
      </c>
      <c r="K44" s="148">
        <v>248.12</v>
      </c>
      <c r="L44" s="148">
        <v>14986.45</v>
      </c>
      <c r="M44" s="148"/>
      <c r="N44" s="148"/>
      <c r="O44" s="148"/>
      <c r="P44" s="494"/>
      <c r="Q44" s="148">
        <f t="shared" si="12"/>
        <v>0</v>
      </c>
      <c r="R44" s="148"/>
      <c r="S44" s="148">
        <f t="shared" si="13"/>
        <v>0</v>
      </c>
      <c r="T44" s="148">
        <f t="shared" si="10"/>
        <v>60.4</v>
      </c>
      <c r="U44" s="148">
        <f t="shared" si="11"/>
        <v>14986.45</v>
      </c>
      <c r="V44" s="379"/>
      <c r="W44" s="379"/>
      <c r="X44" s="30" t="e">
        <f>IF(B44&lt;&gt;0,VLOOKUP(B44,#REF!,4,FALSE),"")</f>
        <v>#REF!</v>
      </c>
      <c r="Y44" s="337" t="s">
        <v>3202</v>
      </c>
      <c r="Z44" s="334">
        <f t="shared" si="7"/>
        <v>11817.954599999999</v>
      </c>
      <c r="AA44" s="30"/>
      <c r="AB44" s="2" t="e">
        <f>IF(B44&lt;&gt;0,VLOOKUP(B44,#REF!,2,FALSE),"")</f>
        <v>#REF!</v>
      </c>
    </row>
    <row r="45" spans="1:28" ht="47.25" customHeight="1">
      <c r="A45" s="19" t="s">
        <v>665</v>
      </c>
      <c r="B45" s="20">
        <v>93583</v>
      </c>
      <c r="C45" s="19" t="s">
        <v>1521</v>
      </c>
      <c r="D45" s="21" t="s">
        <v>12</v>
      </c>
      <c r="E45" s="21" t="s">
        <v>26</v>
      </c>
      <c r="F45" s="22">
        <v>10.35</v>
      </c>
      <c r="G45" s="22">
        <f t="shared" si="3"/>
        <v>323.1105</v>
      </c>
      <c r="H45" s="22">
        <f t="shared" si="8"/>
        <v>409.74</v>
      </c>
      <c r="I45" s="147">
        <f t="shared" si="9"/>
        <v>4240.8100000000004</v>
      </c>
      <c r="J45" s="148">
        <v>323.1105</v>
      </c>
      <c r="K45" s="148">
        <v>409.74</v>
      </c>
      <c r="L45" s="148">
        <v>4240.8100000000004</v>
      </c>
      <c r="M45" s="148"/>
      <c r="N45" s="148"/>
      <c r="O45" s="148"/>
      <c r="P45" s="494"/>
      <c r="Q45" s="148">
        <f t="shared" si="12"/>
        <v>0</v>
      </c>
      <c r="R45" s="148"/>
      <c r="S45" s="148">
        <f t="shared" si="13"/>
        <v>0</v>
      </c>
      <c r="T45" s="148">
        <f t="shared" si="10"/>
        <v>10.35</v>
      </c>
      <c r="U45" s="148">
        <f t="shared" si="11"/>
        <v>4240.8100000000004</v>
      </c>
      <c r="V45" s="379"/>
      <c r="W45" s="379"/>
      <c r="X45" s="30" t="e">
        <f>IF(B45&lt;&gt;0,VLOOKUP(B45,#REF!,4,FALSE),"")</f>
        <v>#REF!</v>
      </c>
      <c r="Y45" s="337" t="s">
        <v>3203</v>
      </c>
      <c r="Z45" s="334">
        <f t="shared" si="7"/>
        <v>3344.193675</v>
      </c>
      <c r="AA45" s="30"/>
      <c r="AB45" s="2" t="e">
        <f>IF(B45&lt;&gt;0,VLOOKUP(B45,#REF!,2,FALSE),"")</f>
        <v>#REF!</v>
      </c>
    </row>
    <row r="46" spans="1:28" s="38" customFormat="1" ht="41.25" customHeight="1">
      <c r="A46" s="449" t="s">
        <v>2674</v>
      </c>
      <c r="B46" s="448">
        <v>97635</v>
      </c>
      <c r="C46" s="449" t="s">
        <v>3007</v>
      </c>
      <c r="D46" s="447" t="s">
        <v>12</v>
      </c>
      <c r="E46" s="447" t="s">
        <v>26</v>
      </c>
      <c r="F46" s="450">
        <f>ROUND(1724.57/2+602.14,2)</f>
        <v>1464.43</v>
      </c>
      <c r="G46" s="450">
        <f t="shared" si="3"/>
        <v>8.7635000000000005</v>
      </c>
      <c r="H46" s="450">
        <f t="shared" si="8"/>
        <v>11.11</v>
      </c>
      <c r="I46" s="451">
        <f t="shared" si="9"/>
        <v>16269.82</v>
      </c>
      <c r="J46" s="452">
        <v>8.7635000000000005</v>
      </c>
      <c r="K46" s="452">
        <v>11.11</v>
      </c>
      <c r="L46" s="452">
        <v>16269.82</v>
      </c>
      <c r="M46" s="452"/>
      <c r="N46" s="452"/>
      <c r="O46" s="452"/>
      <c r="P46" s="493">
        <f>1583.33-F46</f>
        <v>118.89999999999986</v>
      </c>
      <c r="Q46" s="452">
        <f>ROUND(P46*H46*$S$16,2)</f>
        <v>1471.58</v>
      </c>
      <c r="R46" s="452"/>
      <c r="S46" s="452">
        <f>ROUND(R46*P46,2)</f>
        <v>0</v>
      </c>
      <c r="T46" s="452">
        <f t="shared" si="10"/>
        <v>1583.33</v>
      </c>
      <c r="U46" s="452">
        <f t="shared" si="11"/>
        <v>17741.400000000001</v>
      </c>
      <c r="V46" s="453"/>
      <c r="W46" s="453"/>
      <c r="X46" s="39" t="e">
        <f>IF(B46&lt;&gt;0,VLOOKUP(B46,#REF!,4,FALSE),"")</f>
        <v>#REF!</v>
      </c>
      <c r="Y46" s="336" t="s">
        <v>3177</v>
      </c>
      <c r="Z46" s="336">
        <f t="shared" si="7"/>
        <v>12833.532305000001</v>
      </c>
      <c r="AA46" s="39"/>
      <c r="AB46" s="38" t="e">
        <f>IF(B46&lt;&gt;0,VLOOKUP(B46,#REF!,2,FALSE),"")</f>
        <v>#REF!</v>
      </c>
    </row>
    <row r="47" spans="1:28" s="38" customFormat="1" ht="83.25" customHeight="1">
      <c r="A47" s="449" t="s">
        <v>3804</v>
      </c>
      <c r="B47" s="448">
        <v>101860</v>
      </c>
      <c r="C47" s="449" t="s">
        <v>3803</v>
      </c>
      <c r="D47" s="447" t="s">
        <v>12</v>
      </c>
      <c r="E47" s="447"/>
      <c r="F47" s="450"/>
      <c r="G47" s="450">
        <f>(V47-(V47*$Y$15))*$S$16</f>
        <v>24.316574583233436</v>
      </c>
      <c r="H47" s="450">
        <f>ROUND(G47*(1+$X$14),2)</f>
        <v>30.84</v>
      </c>
      <c r="I47" s="451"/>
      <c r="J47" s="452"/>
      <c r="K47" s="452"/>
      <c r="L47" s="452"/>
      <c r="M47" s="452"/>
      <c r="N47" s="452"/>
      <c r="O47" s="452"/>
      <c r="P47" s="493">
        <v>310.25</v>
      </c>
      <c r="Q47" s="452">
        <f>ROUND(P47*H47,2)</f>
        <v>9568.11</v>
      </c>
      <c r="R47" s="452"/>
      <c r="S47" s="452"/>
      <c r="T47" s="452">
        <f t="shared" si="10"/>
        <v>310.25</v>
      </c>
      <c r="U47" s="452">
        <f t="shared" si="11"/>
        <v>9568.11</v>
      </c>
      <c r="V47" s="453">
        <v>25.68</v>
      </c>
      <c r="W47" s="453"/>
      <c r="X47" s="39"/>
      <c r="Y47" s="336"/>
      <c r="Z47" s="336"/>
      <c r="AA47" s="39"/>
    </row>
    <row r="48" spans="1:28" s="38" customFormat="1" ht="55.5" customHeight="1">
      <c r="A48" s="449" t="s">
        <v>3840</v>
      </c>
      <c r="B48" s="448">
        <v>4740</v>
      </c>
      <c r="C48" s="449" t="s">
        <v>3849</v>
      </c>
      <c r="D48" s="447" t="s">
        <v>44</v>
      </c>
      <c r="E48" s="447" t="s">
        <v>3844</v>
      </c>
      <c r="F48" s="450"/>
      <c r="G48" s="450">
        <f>(V48-(V48*$Y$15))*$S$16</f>
        <v>6.7135714094674883</v>
      </c>
      <c r="H48" s="450">
        <f>ROUND(G48*(1+$X$14),2)</f>
        <v>8.51</v>
      </c>
      <c r="I48" s="451"/>
      <c r="J48" s="452"/>
      <c r="K48" s="452"/>
      <c r="L48" s="452"/>
      <c r="M48" s="452"/>
      <c r="N48" s="452"/>
      <c r="O48" s="452"/>
      <c r="P48" s="493">
        <f>(2*(56+15)*12)*10</f>
        <v>17040</v>
      </c>
      <c r="Q48" s="452">
        <f>ROUND(P48*H48,2)</f>
        <v>145010.4</v>
      </c>
      <c r="R48" s="452"/>
      <c r="S48" s="452"/>
      <c r="T48" s="452">
        <f t="shared" si="10"/>
        <v>17040</v>
      </c>
      <c r="U48" s="452">
        <f t="shared" si="11"/>
        <v>145010.4</v>
      </c>
      <c r="V48" s="453">
        <f>COMP!G47</f>
        <v>7.09</v>
      </c>
      <c r="W48" s="453"/>
      <c r="X48" s="39"/>
      <c r="Y48" s="336"/>
      <c r="Z48" s="336"/>
      <c r="AA48" s="39"/>
    </row>
    <row r="49" spans="1:28" s="38" customFormat="1" ht="41.25" customHeight="1">
      <c r="A49" s="556" t="s">
        <v>3841</v>
      </c>
      <c r="B49" s="557">
        <v>97062</v>
      </c>
      <c r="C49" s="556" t="s">
        <v>3850</v>
      </c>
      <c r="D49" s="558" t="s">
        <v>12</v>
      </c>
      <c r="E49" s="558" t="s">
        <v>26</v>
      </c>
      <c r="F49" s="559"/>
      <c r="G49" s="559">
        <f>(V49-(V49*$Y$15))*$S$16</f>
        <v>4.3273654924212153</v>
      </c>
      <c r="H49" s="559">
        <f>ROUND(G49*(1+$X$14),2)</f>
        <v>5.49</v>
      </c>
      <c r="I49" s="560"/>
      <c r="J49" s="561"/>
      <c r="K49" s="561"/>
      <c r="L49" s="561"/>
      <c r="M49" s="561"/>
      <c r="N49" s="561"/>
      <c r="O49" s="561"/>
      <c r="P49" s="562">
        <f>(2*(15+56+6)*12)*3</f>
        <v>5544</v>
      </c>
      <c r="Q49" s="561">
        <f>ROUND(P49*H49,2)</f>
        <v>30436.560000000001</v>
      </c>
      <c r="R49" s="561"/>
      <c r="S49" s="561"/>
      <c r="T49" s="561">
        <f t="shared" si="10"/>
        <v>5544</v>
      </c>
      <c r="U49" s="561">
        <f t="shared" si="11"/>
        <v>30436.560000000001</v>
      </c>
      <c r="V49" s="453">
        <v>4.57</v>
      </c>
      <c r="W49" s="453"/>
      <c r="X49" s="39"/>
      <c r="Y49" s="336"/>
      <c r="Z49" s="336"/>
      <c r="AA49" s="39"/>
    </row>
    <row r="50" spans="1:28" s="23" customFormat="1" ht="15" customHeight="1">
      <c r="A50" s="229" t="s">
        <v>666</v>
      </c>
      <c r="B50" s="229"/>
      <c r="C50" s="229" t="s">
        <v>28</v>
      </c>
      <c r="D50" s="230"/>
      <c r="E50" s="230"/>
      <c r="F50" s="230"/>
      <c r="G50" s="22"/>
      <c r="H50" s="230"/>
      <c r="I50" s="445"/>
      <c r="J50" s="440"/>
      <c r="K50" s="440"/>
      <c r="L50" s="440"/>
      <c r="M50" s="440"/>
      <c r="N50" s="440"/>
      <c r="O50" s="440"/>
      <c r="P50" s="492"/>
      <c r="Q50" s="440"/>
      <c r="R50" s="440"/>
      <c r="S50" s="440"/>
      <c r="T50" s="148"/>
      <c r="U50" s="148"/>
      <c r="V50" s="330"/>
      <c r="W50" s="330"/>
      <c r="X50" s="32"/>
      <c r="Y50" s="346"/>
      <c r="Z50" s="334">
        <f t="shared" si="7"/>
        <v>0</v>
      </c>
      <c r="AA50" s="32"/>
    </row>
    <row r="51" spans="1:28" s="267" customFormat="1" ht="45">
      <c r="A51" s="19" t="s">
        <v>667</v>
      </c>
      <c r="B51" s="21" t="str">
        <f>'COMPOSIÇÃO DE CUSTOS'!G2190</f>
        <v>73992/1</v>
      </c>
      <c r="C51" s="19" t="s">
        <v>29</v>
      </c>
      <c r="D51" s="21" t="s">
        <v>1914</v>
      </c>
      <c r="E51" s="21" t="s">
        <v>26</v>
      </c>
      <c r="F51" s="22">
        <f>1011.81+602.15</f>
        <v>1613.96</v>
      </c>
      <c r="G51" s="22">
        <f t="shared" si="3"/>
        <v>10.922499999999999</v>
      </c>
      <c r="H51" s="22">
        <f>ROUND(G51*(1+$X$14),2)</f>
        <v>13.85</v>
      </c>
      <c r="I51" s="147">
        <f>ROUND(H51*F51,2)</f>
        <v>22353.35</v>
      </c>
      <c r="J51" s="148">
        <v>10.922499999999999</v>
      </c>
      <c r="K51" s="148">
        <v>13.85</v>
      </c>
      <c r="L51" s="148">
        <v>22353.35</v>
      </c>
      <c r="M51" s="148"/>
      <c r="N51" s="148"/>
      <c r="O51" s="148"/>
      <c r="P51" s="494"/>
      <c r="Q51" s="148">
        <f>ROUND(P51*N51,2)</f>
        <v>0</v>
      </c>
      <c r="R51" s="148"/>
      <c r="S51" s="148">
        <f>ROUND(R51*N51,2)</f>
        <v>0</v>
      </c>
      <c r="T51" s="148">
        <f>F51+P51-R51</f>
        <v>1613.96</v>
      </c>
      <c r="U51" s="148">
        <f t="shared" si="11"/>
        <v>22353.35</v>
      </c>
      <c r="V51" s="379"/>
      <c r="W51" s="379"/>
      <c r="X51" s="268">
        <f>'COMPOSIÇÃO DE CUSTOS'!G2198</f>
        <v>10.92</v>
      </c>
      <c r="Y51" s="335">
        <v>12.85</v>
      </c>
      <c r="Z51" s="334">
        <f t="shared" si="7"/>
        <v>17628.4781</v>
      </c>
      <c r="AA51" s="268"/>
    </row>
    <row r="52" spans="1:28" ht="27" customHeight="1">
      <c r="A52" s="19"/>
      <c r="B52" s="21"/>
      <c r="C52" s="19"/>
      <c r="D52" s="21"/>
      <c r="E52" s="21"/>
      <c r="F52" s="22"/>
      <c r="G52" s="22"/>
      <c r="H52" s="22"/>
      <c r="I52" s="147"/>
      <c r="J52" s="148"/>
      <c r="K52" s="148"/>
      <c r="L52" s="148"/>
      <c r="M52" s="148"/>
      <c r="N52" s="148"/>
      <c r="O52" s="148"/>
      <c r="P52" s="494"/>
      <c r="Q52" s="148"/>
      <c r="R52" s="148"/>
      <c r="S52" s="148"/>
      <c r="T52" s="148"/>
      <c r="U52" s="148"/>
      <c r="V52" s="379"/>
      <c r="W52" s="379"/>
      <c r="Z52" s="334">
        <f t="shared" si="7"/>
        <v>0</v>
      </c>
    </row>
    <row r="53" spans="1:28" s="23" customFormat="1" ht="15" customHeight="1">
      <c r="A53" s="229" t="s">
        <v>668</v>
      </c>
      <c r="B53" s="229"/>
      <c r="C53" s="229" t="s">
        <v>30</v>
      </c>
      <c r="D53" s="230"/>
      <c r="E53" s="230"/>
      <c r="F53" s="230"/>
      <c r="G53" s="22"/>
      <c r="H53" s="230"/>
      <c r="I53" s="445">
        <f>ROUND(SUM(I55:I64),2)</f>
        <v>38231.629999999997</v>
      </c>
      <c r="J53" s="440"/>
      <c r="K53" s="440"/>
      <c r="L53" s="440">
        <f>ROUND(SUM(L55:L64),2)</f>
        <v>38231.629999999997</v>
      </c>
      <c r="M53" s="440"/>
      <c r="N53" s="440"/>
      <c r="O53" s="440"/>
      <c r="P53" s="492"/>
      <c r="Q53" s="440">
        <f>ROUND(SUM(Q55:Q64),2)</f>
        <v>86555.82</v>
      </c>
      <c r="R53" s="440"/>
      <c r="S53" s="440">
        <f>ROUND(SUM(S55:S64),2)</f>
        <v>0</v>
      </c>
      <c r="T53" s="148"/>
      <c r="U53" s="440">
        <f t="shared" ref="U53:U64" si="14">O53+Q53-S53+L53</f>
        <v>124787.45000000001</v>
      </c>
      <c r="V53" s="330"/>
      <c r="W53" s="330"/>
      <c r="Y53" s="347"/>
      <c r="Z53" s="334">
        <f t="shared" si="7"/>
        <v>0</v>
      </c>
    </row>
    <row r="54" spans="1:28" ht="15" customHeight="1">
      <c r="A54" s="229" t="s">
        <v>669</v>
      </c>
      <c r="B54" s="229"/>
      <c r="C54" s="229" t="s">
        <v>31</v>
      </c>
      <c r="D54" s="230"/>
      <c r="E54" s="230"/>
      <c r="F54" s="230"/>
      <c r="G54" s="22"/>
      <c r="H54" s="230"/>
      <c r="I54" s="445"/>
      <c r="J54" s="440"/>
      <c r="K54" s="440"/>
      <c r="L54" s="440"/>
      <c r="M54" s="440"/>
      <c r="N54" s="440"/>
      <c r="O54" s="440"/>
      <c r="P54" s="492"/>
      <c r="Q54" s="440"/>
      <c r="R54" s="440"/>
      <c r="S54" s="440"/>
      <c r="T54" s="148"/>
      <c r="U54" s="148"/>
      <c r="V54" s="330"/>
      <c r="W54" s="330"/>
      <c r="Z54" s="334">
        <f t="shared" si="7"/>
        <v>0</v>
      </c>
    </row>
    <row r="55" spans="1:28" s="267" customFormat="1" ht="51.75" customHeight="1">
      <c r="A55" s="19" t="s">
        <v>670</v>
      </c>
      <c r="B55" s="20">
        <v>98525</v>
      </c>
      <c r="C55" s="19" t="s">
        <v>32</v>
      </c>
      <c r="D55" s="21" t="s">
        <v>12</v>
      </c>
      <c r="E55" s="21" t="s">
        <v>26</v>
      </c>
      <c r="F55" s="22">
        <v>1011.81</v>
      </c>
      <c r="G55" s="22">
        <f t="shared" si="3"/>
        <v>0.2465</v>
      </c>
      <c r="H55" s="22">
        <f>ROUND(G55*(1+$X$14),2)</f>
        <v>0.31</v>
      </c>
      <c r="I55" s="147">
        <f>ROUND(H55*F55,2)</f>
        <v>313.66000000000003</v>
      </c>
      <c r="J55" s="148">
        <v>0.2465</v>
      </c>
      <c r="K55" s="148">
        <v>0.31</v>
      </c>
      <c r="L55" s="148">
        <v>313.66000000000003</v>
      </c>
      <c r="M55" s="148"/>
      <c r="N55" s="148"/>
      <c r="O55" s="148"/>
      <c r="P55" s="494"/>
      <c r="Q55" s="148">
        <f>ROUND(P55*N55,2)</f>
        <v>0</v>
      </c>
      <c r="R55" s="148"/>
      <c r="S55" s="148">
        <f>ROUND(R55*N55,2)</f>
        <v>0</v>
      </c>
      <c r="T55" s="148">
        <f>F55+P55-R55</f>
        <v>1011.81</v>
      </c>
      <c r="U55" s="148">
        <f t="shared" si="14"/>
        <v>313.66000000000003</v>
      </c>
      <c r="V55" s="379"/>
      <c r="W55" s="379"/>
      <c r="X55" s="268" t="e">
        <f>IF(B55&lt;&gt;0,VLOOKUP(B55,#REF!,4,FALSE),"")</f>
        <v>#REF!</v>
      </c>
      <c r="Y55" s="335" t="s">
        <v>1895</v>
      </c>
      <c r="Z55" s="334">
        <f t="shared" si="7"/>
        <v>249.41116499999998</v>
      </c>
      <c r="AA55" s="268"/>
      <c r="AB55" s="267" t="e">
        <f>IF(B55&lt;&gt;0,VLOOKUP(B55,#REF!,2,FALSE),"")</f>
        <v>#REF!</v>
      </c>
    </row>
    <row r="56" spans="1:28" ht="15" customHeight="1">
      <c r="A56" s="229" t="s">
        <v>671</v>
      </c>
      <c r="B56" s="229"/>
      <c r="C56" s="229" t="s">
        <v>33</v>
      </c>
      <c r="D56" s="230"/>
      <c r="E56" s="230"/>
      <c r="F56" s="230"/>
      <c r="G56" s="22"/>
      <c r="H56" s="230"/>
      <c r="I56" s="445"/>
      <c r="J56" s="440"/>
      <c r="K56" s="440"/>
      <c r="L56" s="440"/>
      <c r="M56" s="440"/>
      <c r="N56" s="440"/>
      <c r="O56" s="440"/>
      <c r="P56" s="492"/>
      <c r="Q56" s="440"/>
      <c r="R56" s="440"/>
      <c r="S56" s="440"/>
      <c r="T56" s="148"/>
      <c r="U56" s="148"/>
      <c r="V56" s="330"/>
      <c r="W56" s="330"/>
      <c r="X56" s="33"/>
      <c r="Y56" s="337"/>
      <c r="Z56" s="334">
        <f t="shared" si="7"/>
        <v>0</v>
      </c>
      <c r="AA56" s="33"/>
    </row>
    <row r="57" spans="1:28" ht="30">
      <c r="A57" s="19" t="s">
        <v>672</v>
      </c>
      <c r="B57" s="20">
        <v>79480</v>
      </c>
      <c r="C57" s="19" t="s">
        <v>34</v>
      </c>
      <c r="D57" s="21" t="s">
        <v>1914</v>
      </c>
      <c r="E57" s="21" t="s">
        <v>35</v>
      </c>
      <c r="F57" s="22">
        <v>982.96</v>
      </c>
      <c r="G57" s="22">
        <f t="shared" si="3"/>
        <v>2.0995000000000004</v>
      </c>
      <c r="H57" s="22">
        <f>ROUND(G57*(1+$X$14),2)</f>
        <v>2.66</v>
      </c>
      <c r="I57" s="147">
        <f>ROUND(H57*F57,2)</f>
        <v>2614.67</v>
      </c>
      <c r="J57" s="148">
        <v>2.0995000000000004</v>
      </c>
      <c r="K57" s="148">
        <v>2.66</v>
      </c>
      <c r="L57" s="148">
        <v>2614.67</v>
      </c>
      <c r="M57" s="148"/>
      <c r="N57" s="148"/>
      <c r="O57" s="148"/>
      <c r="P57" s="494"/>
      <c r="Q57" s="148">
        <f>ROUND(P57*N57,2)</f>
        <v>0</v>
      </c>
      <c r="R57" s="148"/>
      <c r="S57" s="148">
        <f>ROUND(R57*N57,2)</f>
        <v>0</v>
      </c>
      <c r="T57" s="148">
        <f>F57+P57-R57</f>
        <v>982.96</v>
      </c>
      <c r="U57" s="148">
        <f t="shared" si="14"/>
        <v>2614.67</v>
      </c>
      <c r="V57" s="379"/>
      <c r="W57" s="379"/>
      <c r="X57" s="33">
        <f>'COMPOSIÇÃO DE CUSTOS'!G11</f>
        <v>2.1</v>
      </c>
      <c r="Y57" s="337">
        <v>2.4700000000000002</v>
      </c>
      <c r="Z57" s="334">
        <f t="shared" si="7"/>
        <v>2063.7245200000002</v>
      </c>
      <c r="AA57" s="33"/>
      <c r="AB57" s="2" t="e">
        <f>IF(B57&lt;&gt;0,VLOOKUP(B57,#REF!,2,FALSE),"")</f>
        <v>#REF!</v>
      </c>
    </row>
    <row r="58" spans="1:28" ht="15" customHeight="1">
      <c r="A58" s="229" t="s">
        <v>673</v>
      </c>
      <c r="B58" s="229"/>
      <c r="C58" s="229" t="s">
        <v>36</v>
      </c>
      <c r="D58" s="230"/>
      <c r="E58" s="230"/>
      <c r="F58" s="230"/>
      <c r="G58" s="22"/>
      <c r="H58" s="230"/>
      <c r="I58" s="445"/>
      <c r="J58" s="440"/>
      <c r="K58" s="440"/>
      <c r="L58" s="440"/>
      <c r="M58" s="440"/>
      <c r="N58" s="440"/>
      <c r="O58" s="440"/>
      <c r="P58" s="492"/>
      <c r="Q58" s="440"/>
      <c r="R58" s="440"/>
      <c r="S58" s="440"/>
      <c r="T58" s="148"/>
      <c r="U58" s="148"/>
      <c r="V58" s="330"/>
      <c r="W58" s="330"/>
      <c r="X58" s="33"/>
      <c r="Y58" s="337"/>
      <c r="Z58" s="334">
        <f t="shared" si="7"/>
        <v>0</v>
      </c>
      <c r="AA58" s="33"/>
    </row>
    <row r="59" spans="1:28" ht="30">
      <c r="A59" s="19" t="s">
        <v>674</v>
      </c>
      <c r="B59" s="20">
        <v>93382</v>
      </c>
      <c r="C59" s="19" t="s">
        <v>1522</v>
      </c>
      <c r="D59" s="21" t="s">
        <v>12</v>
      </c>
      <c r="E59" s="21" t="s">
        <v>35</v>
      </c>
      <c r="F59" s="22">
        <v>848.71</v>
      </c>
      <c r="G59" s="22">
        <f t="shared" si="3"/>
        <v>20.612500000000001</v>
      </c>
      <c r="H59" s="22">
        <f>ROUND(G59*(1+$X$14),2)</f>
        <v>26.14</v>
      </c>
      <c r="I59" s="147">
        <f>ROUND(H59*F59,2)</f>
        <v>22185.279999999999</v>
      </c>
      <c r="J59" s="148">
        <v>20.612500000000001</v>
      </c>
      <c r="K59" s="148">
        <v>26.14</v>
      </c>
      <c r="L59" s="148">
        <v>22185.279999999999</v>
      </c>
      <c r="M59" s="148"/>
      <c r="N59" s="148"/>
      <c r="O59" s="148"/>
      <c r="P59" s="494"/>
      <c r="Q59" s="148">
        <f>ROUND(P59*N59,2)</f>
        <v>0</v>
      </c>
      <c r="R59" s="148"/>
      <c r="S59" s="148">
        <f>ROUND(R59*N59,2)</f>
        <v>0</v>
      </c>
      <c r="T59" s="148">
        <f>F59+P59-R59</f>
        <v>848.71</v>
      </c>
      <c r="U59" s="148">
        <f t="shared" si="14"/>
        <v>22185.279999999999</v>
      </c>
      <c r="V59" s="379"/>
      <c r="W59" s="379"/>
      <c r="X59" s="33" t="e">
        <f>IF(B59&lt;&gt;0,VLOOKUP(B59,#REF!,4,FALSE),"")</f>
        <v>#REF!</v>
      </c>
      <c r="Y59" s="337" t="s">
        <v>3306</v>
      </c>
      <c r="Z59" s="334">
        <f t="shared" si="7"/>
        <v>17494.034875000001</v>
      </c>
      <c r="AA59" s="33"/>
      <c r="AB59" s="2" t="e">
        <f>IF(B59&lt;&gt;0,VLOOKUP(B59,#REF!,2,FALSE),"")</f>
        <v>#REF!</v>
      </c>
    </row>
    <row r="60" spans="1:28" s="38" customFormat="1" ht="45">
      <c r="A60" s="449" t="s">
        <v>675</v>
      </c>
      <c r="B60" s="448">
        <v>97083</v>
      </c>
      <c r="C60" s="449" t="s">
        <v>1523</v>
      </c>
      <c r="D60" s="447" t="s">
        <v>12</v>
      </c>
      <c r="E60" s="447" t="s">
        <v>26</v>
      </c>
      <c r="F60" s="450">
        <v>65.680999999999997</v>
      </c>
      <c r="G60" s="450">
        <f t="shared" si="3"/>
        <v>1.87</v>
      </c>
      <c r="H60" s="450">
        <f>ROUND(G60*(1+$X$14),2)</f>
        <v>2.37</v>
      </c>
      <c r="I60" s="451">
        <f>ROUND(H60*F60,2)</f>
        <v>155.66</v>
      </c>
      <c r="J60" s="452">
        <v>1.87</v>
      </c>
      <c r="K60" s="452">
        <v>2.37</v>
      </c>
      <c r="L60" s="452">
        <v>155.66</v>
      </c>
      <c r="M60" s="452"/>
      <c r="N60" s="452"/>
      <c r="O60" s="452"/>
      <c r="P60" s="493">
        <f>P61-F60</f>
        <v>407.49309999999997</v>
      </c>
      <c r="Q60" s="452">
        <f>ROUND(P60*H60*$S$16,2)</f>
        <v>1075.8599999999999</v>
      </c>
      <c r="R60" s="452"/>
      <c r="S60" s="452">
        <f>ROUND(R60*P60,2)</f>
        <v>0</v>
      </c>
      <c r="T60" s="452">
        <f>F60+P60-R60</f>
        <v>473.17409999999995</v>
      </c>
      <c r="U60" s="452">
        <f t="shared" si="14"/>
        <v>1231.52</v>
      </c>
      <c r="V60" s="453"/>
      <c r="W60" s="453"/>
      <c r="X60" s="42" t="e">
        <f>IF(B60&lt;&gt;0,VLOOKUP(B60,#REF!,4,FALSE),"")</f>
        <v>#REF!</v>
      </c>
      <c r="Y60" s="336" t="s">
        <v>1840</v>
      </c>
      <c r="Z60" s="336">
        <f t="shared" si="7"/>
        <v>122.82347</v>
      </c>
      <c r="AA60" s="42"/>
      <c r="AB60" s="38" t="e">
        <f>IF(B60&lt;&gt;0,VLOOKUP(B60,#REF!,2,FALSE),"")</f>
        <v>#REF!</v>
      </c>
    </row>
    <row r="61" spans="1:28" s="38" customFormat="1" ht="29.25" customHeight="1">
      <c r="A61" s="449" t="s">
        <v>3789</v>
      </c>
      <c r="B61" s="448">
        <v>77</v>
      </c>
      <c r="C61" s="449" t="s">
        <v>3790</v>
      </c>
      <c r="D61" s="447" t="s">
        <v>44</v>
      </c>
      <c r="E61" s="447" t="s">
        <v>35</v>
      </c>
      <c r="F61" s="450"/>
      <c r="G61" s="450">
        <f>(V61-(V61*$Y$15))*$S$16</f>
        <v>71.624053795785713</v>
      </c>
      <c r="H61" s="450">
        <f>ROUND(G61*(1+$X$14),2)</f>
        <v>90.83</v>
      </c>
      <c r="I61" s="451"/>
      <c r="J61" s="452"/>
      <c r="K61" s="452"/>
      <c r="L61" s="452"/>
      <c r="M61" s="452"/>
      <c r="N61" s="452"/>
      <c r="O61" s="452"/>
      <c r="P61" s="493">
        <f>56.05*14.07*0.6</f>
        <v>473.17409999999995</v>
      </c>
      <c r="Q61" s="452">
        <f>ROUND(P61*H61,2)</f>
        <v>42978.400000000001</v>
      </c>
      <c r="R61" s="452"/>
      <c r="S61" s="452"/>
      <c r="T61" s="452">
        <f>F61+P61-R61</f>
        <v>473.17409999999995</v>
      </c>
      <c r="U61" s="452">
        <f t="shared" si="14"/>
        <v>42978.400000000001</v>
      </c>
      <c r="V61" s="453">
        <f>'PLANILHA ORÇA - EJUD'!W29</f>
        <v>75.64</v>
      </c>
      <c r="W61" s="453"/>
      <c r="X61" s="42"/>
      <c r="Y61" s="336"/>
      <c r="Z61" s="336"/>
      <c r="AA61" s="42"/>
    </row>
    <row r="62" spans="1:28" ht="15" customHeight="1">
      <c r="A62" s="229" t="s">
        <v>676</v>
      </c>
      <c r="B62" s="229"/>
      <c r="C62" s="229" t="s">
        <v>37</v>
      </c>
      <c r="D62" s="230"/>
      <c r="E62" s="230"/>
      <c r="F62" s="230"/>
      <c r="G62" s="22"/>
      <c r="H62" s="230"/>
      <c r="I62" s="445"/>
      <c r="J62" s="440"/>
      <c r="K62" s="440"/>
      <c r="L62" s="440"/>
      <c r="M62" s="440"/>
      <c r="N62" s="440"/>
      <c r="O62" s="440"/>
      <c r="P62" s="492"/>
      <c r="Q62" s="440"/>
      <c r="R62" s="440"/>
      <c r="S62" s="440"/>
      <c r="T62" s="148"/>
      <c r="U62" s="148"/>
      <c r="V62" s="330"/>
      <c r="W62" s="330"/>
      <c r="X62" s="33"/>
      <c r="Y62" s="337"/>
      <c r="Z62" s="334">
        <f t="shared" si="7"/>
        <v>0</v>
      </c>
      <c r="AA62" s="33"/>
    </row>
    <row r="63" spans="1:28" s="38" customFormat="1" ht="45">
      <c r="A63" s="449" t="s">
        <v>677</v>
      </c>
      <c r="B63" s="448">
        <v>72895</v>
      </c>
      <c r="C63" s="449" t="s">
        <v>38</v>
      </c>
      <c r="D63" s="447" t="s">
        <v>1914</v>
      </c>
      <c r="E63" s="447" t="s">
        <v>35</v>
      </c>
      <c r="F63" s="450">
        <v>614.91300000000001</v>
      </c>
      <c r="G63" s="450">
        <f t="shared" si="3"/>
        <v>15.8355</v>
      </c>
      <c r="H63" s="450">
        <f>ROUND(G63*(1+$X$14),2)</f>
        <v>20.079999999999998</v>
      </c>
      <c r="I63" s="451">
        <f>ROUND(H63*F63,2)</f>
        <v>12347.45</v>
      </c>
      <c r="J63" s="452">
        <v>15.8355</v>
      </c>
      <c r="K63" s="452">
        <v>20.079999999999998</v>
      </c>
      <c r="L63" s="452">
        <v>12347.45</v>
      </c>
      <c r="M63" s="452"/>
      <c r="N63" s="452"/>
      <c r="O63" s="452"/>
      <c r="P63" s="493">
        <f>1.2*1583.33</f>
        <v>1899.9959999999999</v>
      </c>
      <c r="Q63" s="452">
        <f>ROUND(P63*H63*$S$16,2)</f>
        <v>42501.56</v>
      </c>
      <c r="R63" s="452"/>
      <c r="S63" s="452">
        <f>ROUND(R63*P63,2)</f>
        <v>0</v>
      </c>
      <c r="T63" s="452">
        <f>F63+P63-R63</f>
        <v>2514.9089999999997</v>
      </c>
      <c r="U63" s="452">
        <f t="shared" si="14"/>
        <v>54849.009999999995</v>
      </c>
      <c r="V63" s="453"/>
      <c r="W63" s="453"/>
      <c r="X63" s="42">
        <f>'COMPOSIÇÃO DE CUSTOS'!G16</f>
        <v>15.84</v>
      </c>
      <c r="Y63" s="336">
        <v>18.63</v>
      </c>
      <c r="Z63" s="336">
        <f t="shared" si="7"/>
        <v>9737.4548114999998</v>
      </c>
      <c r="AA63" s="42"/>
      <c r="AB63" s="38" t="e">
        <f>IF(B63&lt;&gt;0,VLOOKUP(B63,#REF!,2,FALSE),"")</f>
        <v>#REF!</v>
      </c>
    </row>
    <row r="64" spans="1:28" ht="45">
      <c r="A64" s="19" t="s">
        <v>678</v>
      </c>
      <c r="B64" s="20">
        <v>83344</v>
      </c>
      <c r="C64" s="19" t="s">
        <v>39</v>
      </c>
      <c r="D64" s="21" t="s">
        <v>1914</v>
      </c>
      <c r="E64" s="21" t="s">
        <v>35</v>
      </c>
      <c r="F64" s="22">
        <v>614.91300000000001</v>
      </c>
      <c r="G64" s="22">
        <f t="shared" si="3"/>
        <v>0.79049999999999998</v>
      </c>
      <c r="H64" s="22">
        <f>ROUND(G64*(1+$X$14),2)</f>
        <v>1</v>
      </c>
      <c r="I64" s="147">
        <f>ROUND(H64*F64,2)</f>
        <v>614.91</v>
      </c>
      <c r="J64" s="148">
        <v>0.79049999999999998</v>
      </c>
      <c r="K64" s="148">
        <v>1</v>
      </c>
      <c r="L64" s="148">
        <v>614.91</v>
      </c>
      <c r="M64" s="148"/>
      <c r="N64" s="148"/>
      <c r="O64" s="148"/>
      <c r="P64" s="494"/>
      <c r="Q64" s="148">
        <f>ROUND(P64*N64,2)</f>
        <v>0</v>
      </c>
      <c r="R64" s="148"/>
      <c r="S64" s="148">
        <f>ROUND(R64*N64,2)</f>
        <v>0</v>
      </c>
      <c r="T64" s="148">
        <f>F64+P64-R64</f>
        <v>614.91300000000001</v>
      </c>
      <c r="U64" s="148">
        <f t="shared" si="14"/>
        <v>614.91</v>
      </c>
      <c r="V64" s="379"/>
      <c r="W64" s="379"/>
      <c r="X64" s="33">
        <f>'COMPOSIÇÃO DE CUSTOS'!G22</f>
        <v>0.79</v>
      </c>
      <c r="Y64" s="337">
        <v>0.92999999999999994</v>
      </c>
      <c r="Z64" s="334">
        <f t="shared" si="7"/>
        <v>486.08872650000001</v>
      </c>
      <c r="AA64" s="33"/>
      <c r="AB64" s="2" t="e">
        <f>IF(B64&lt;&gt;0,VLOOKUP(B64,#REF!,2,FALSE),"")</f>
        <v>#REF!</v>
      </c>
    </row>
    <row r="65" spans="1:28" ht="29.25" customHeight="1">
      <c r="A65" s="19"/>
      <c r="B65" s="20"/>
      <c r="C65" s="19"/>
      <c r="D65" s="21"/>
      <c r="E65" s="21"/>
      <c r="F65" s="22"/>
      <c r="G65" s="22"/>
      <c r="H65" s="22"/>
      <c r="I65" s="147"/>
      <c r="J65" s="148"/>
      <c r="K65" s="148"/>
      <c r="L65" s="148"/>
      <c r="M65" s="148"/>
      <c r="N65" s="148"/>
      <c r="O65" s="148"/>
      <c r="P65" s="494"/>
      <c r="Q65" s="148"/>
      <c r="R65" s="148"/>
      <c r="S65" s="148"/>
      <c r="T65" s="148"/>
      <c r="U65" s="148"/>
      <c r="V65" s="379"/>
      <c r="W65" s="379"/>
      <c r="X65" s="27"/>
      <c r="Z65" s="334">
        <f t="shared" si="7"/>
        <v>0</v>
      </c>
      <c r="AA65" s="27"/>
    </row>
    <row r="66" spans="1:28" s="23" customFormat="1" ht="15" customHeight="1">
      <c r="A66" s="229" t="s">
        <v>679</v>
      </c>
      <c r="B66" s="229"/>
      <c r="C66" s="229" t="s">
        <v>40</v>
      </c>
      <c r="D66" s="230"/>
      <c r="E66" s="230"/>
      <c r="F66" s="230"/>
      <c r="G66" s="22"/>
      <c r="H66" s="230"/>
      <c r="I66" s="445">
        <f>ROUND(SUM(I68:I100),2)</f>
        <v>371269.86</v>
      </c>
      <c r="J66" s="440"/>
      <c r="K66" s="440"/>
      <c r="L66" s="440">
        <f>ROUND(SUM(L68:L100),2)</f>
        <v>439494.15</v>
      </c>
      <c r="M66" s="440"/>
      <c r="N66" s="440"/>
      <c r="O66" s="440"/>
      <c r="P66" s="492"/>
      <c r="Q66" s="440">
        <f>ROUND(SUM(Q68:Q132),2)</f>
        <v>325069.03999999998</v>
      </c>
      <c r="R66" s="440"/>
      <c r="S66" s="440">
        <f>ROUND(SUM(S68:S132),2)</f>
        <v>84568.87</v>
      </c>
      <c r="T66" s="148"/>
      <c r="U66" s="440">
        <f>O66+Q66-S66+L66</f>
        <v>679994.32000000007</v>
      </c>
      <c r="V66" s="330"/>
      <c r="W66" s="330"/>
      <c r="Y66" s="347"/>
      <c r="Z66" s="334">
        <f t="shared" si="7"/>
        <v>0</v>
      </c>
    </row>
    <row r="67" spans="1:28" s="55" customFormat="1" ht="15" customHeight="1">
      <c r="A67" s="229" t="s">
        <v>680</v>
      </c>
      <c r="B67" s="229"/>
      <c r="C67" s="229" t="s">
        <v>41</v>
      </c>
      <c r="D67" s="230"/>
      <c r="E67" s="230"/>
      <c r="F67" s="230"/>
      <c r="G67" s="22"/>
      <c r="H67" s="230"/>
      <c r="I67" s="445"/>
      <c r="J67" s="440"/>
      <c r="K67" s="440"/>
      <c r="L67" s="440"/>
      <c r="M67" s="440"/>
      <c r="N67" s="440"/>
      <c r="O67" s="440"/>
      <c r="P67" s="492"/>
      <c r="Q67" s="440"/>
      <c r="R67" s="440"/>
      <c r="S67" s="440"/>
      <c r="T67" s="148"/>
      <c r="U67" s="148"/>
      <c r="V67" s="330"/>
      <c r="W67" s="330"/>
      <c r="Y67" s="349"/>
      <c r="Z67" s="334">
        <f t="shared" si="7"/>
        <v>0</v>
      </c>
    </row>
    <row r="68" spans="1:28" s="267" customFormat="1" ht="45">
      <c r="A68" s="19" t="s">
        <v>681</v>
      </c>
      <c r="B68" s="20">
        <v>94097</v>
      </c>
      <c r="C68" s="19" t="s">
        <v>1524</v>
      </c>
      <c r="D68" s="21" t="s">
        <v>1914</v>
      </c>
      <c r="E68" s="21" t="s">
        <v>26</v>
      </c>
      <c r="F68" s="22">
        <v>267.5</v>
      </c>
      <c r="G68" s="22">
        <f t="shared" si="3"/>
        <v>3.5529999999999999</v>
      </c>
      <c r="H68" s="22">
        <f t="shared" ref="H68:H75" si="15">ROUND(G68*(1+$X$14),2)</f>
        <v>4.51</v>
      </c>
      <c r="I68" s="147">
        <f t="shared" ref="I68:I75" si="16">ROUND(H68*F68,2)</f>
        <v>1206.43</v>
      </c>
      <c r="J68" s="148">
        <v>3.5529999999999999</v>
      </c>
      <c r="K68" s="148">
        <v>4.51</v>
      </c>
      <c r="L68" s="148">
        <v>1206.43</v>
      </c>
      <c r="M68" s="148"/>
      <c r="N68" s="148"/>
      <c r="O68" s="148"/>
      <c r="P68" s="494"/>
      <c r="Q68" s="148">
        <f>ROUND(P68*N68,2)</f>
        <v>0</v>
      </c>
      <c r="R68" s="148"/>
      <c r="S68" s="148">
        <f>ROUND(R68*N68,2)</f>
        <v>0</v>
      </c>
      <c r="T68" s="148">
        <f t="shared" ref="T68:T75" si="17">F68+P68-R68</f>
        <v>267.5</v>
      </c>
      <c r="U68" s="148">
        <f t="shared" ref="U68:U101" si="18">O68+Q68-S68+L68</f>
        <v>1206.43</v>
      </c>
      <c r="V68" s="379"/>
      <c r="W68" s="379"/>
      <c r="X68" s="266">
        <f>'COMPOSIÇÃO DE CUSTOS'!G30</f>
        <v>3.54</v>
      </c>
      <c r="Y68" s="350">
        <v>4.18</v>
      </c>
      <c r="Z68" s="334">
        <f t="shared" si="7"/>
        <v>950.42750000000001</v>
      </c>
      <c r="AA68" s="266"/>
      <c r="AB68" s="267" t="e">
        <f>IF(B68&lt;&gt;0,VLOOKUP(B68,#REF!,2,FALSE),"")</f>
        <v>#REF!</v>
      </c>
    </row>
    <row r="69" spans="1:28" s="267" customFormat="1" ht="45">
      <c r="A69" s="19" t="s">
        <v>682</v>
      </c>
      <c r="B69" s="20">
        <v>83534</v>
      </c>
      <c r="C69" s="19" t="s">
        <v>42</v>
      </c>
      <c r="D69" s="21" t="s">
        <v>1914</v>
      </c>
      <c r="E69" s="21" t="s">
        <v>35</v>
      </c>
      <c r="F69" s="22">
        <v>13.38</v>
      </c>
      <c r="G69" s="22">
        <f t="shared" si="3"/>
        <v>477.23250000000007</v>
      </c>
      <c r="H69" s="22">
        <f t="shared" si="15"/>
        <v>605.17999999999995</v>
      </c>
      <c r="I69" s="147">
        <f t="shared" si="16"/>
        <v>8097.31</v>
      </c>
      <c r="J69" s="148">
        <v>477.23250000000007</v>
      </c>
      <c r="K69" s="148">
        <v>605.17999999999995</v>
      </c>
      <c r="L69" s="148">
        <v>8097.31</v>
      </c>
      <c r="M69" s="148"/>
      <c r="N69" s="148"/>
      <c r="O69" s="148"/>
      <c r="P69" s="494"/>
      <c r="Q69" s="148">
        <f t="shared" ref="Q69:Q98" si="19">ROUND(P69*N69,2)</f>
        <v>0</v>
      </c>
      <c r="R69" s="148"/>
      <c r="S69" s="148">
        <f t="shared" ref="S69:S106" si="20">ROUND(R69*N69,2)</f>
        <v>0</v>
      </c>
      <c r="T69" s="148">
        <f t="shared" si="17"/>
        <v>13.38</v>
      </c>
      <c r="U69" s="148">
        <f t="shared" si="18"/>
        <v>8097.31</v>
      </c>
      <c r="V69" s="379"/>
      <c r="W69" s="379"/>
      <c r="X69" s="266">
        <f>'COMPOSIÇÃO DE CUSTOS'!G38</f>
        <v>477.22999999999996</v>
      </c>
      <c r="Y69" s="350">
        <v>561.45000000000005</v>
      </c>
      <c r="Z69" s="334">
        <f t="shared" si="7"/>
        <v>6385.3708500000012</v>
      </c>
      <c r="AA69" s="266"/>
      <c r="AB69" s="267" t="e">
        <f>IF(B69&lt;&gt;0,VLOOKUP(B69,#REF!,2,FALSE),"")</f>
        <v>#REF!</v>
      </c>
    </row>
    <row r="70" spans="1:28" s="267" customFormat="1" ht="30">
      <c r="A70" s="19" t="s">
        <v>683</v>
      </c>
      <c r="B70" s="21" t="s">
        <v>2045</v>
      </c>
      <c r="C70" s="19" t="s">
        <v>43</v>
      </c>
      <c r="D70" s="21" t="s">
        <v>1914</v>
      </c>
      <c r="E70" s="21" t="s">
        <v>26</v>
      </c>
      <c r="F70" s="22">
        <v>206</v>
      </c>
      <c r="G70" s="22">
        <f t="shared" si="3"/>
        <v>96.72999999999999</v>
      </c>
      <c r="H70" s="22">
        <f t="shared" si="15"/>
        <v>122.66</v>
      </c>
      <c r="I70" s="147">
        <f t="shared" si="16"/>
        <v>25267.96</v>
      </c>
      <c r="J70" s="148">
        <v>127.2</v>
      </c>
      <c r="K70" s="148">
        <v>161.30000000000001</v>
      </c>
      <c r="L70" s="148">
        <v>33227.800000000003</v>
      </c>
      <c r="M70" s="148"/>
      <c r="N70" s="148"/>
      <c r="O70" s="148"/>
      <c r="P70" s="494"/>
      <c r="Q70" s="148">
        <f t="shared" si="19"/>
        <v>0</v>
      </c>
      <c r="R70" s="148"/>
      <c r="S70" s="148">
        <f t="shared" si="20"/>
        <v>0</v>
      </c>
      <c r="T70" s="148">
        <f t="shared" si="17"/>
        <v>206</v>
      </c>
      <c r="U70" s="148">
        <f t="shared" si="18"/>
        <v>33227.800000000003</v>
      </c>
      <c r="V70" s="379"/>
      <c r="W70" s="379"/>
      <c r="X70" s="266">
        <f>'COMPOSIÇÃO DE CUSTOS'!G47</f>
        <v>96.72999999999999</v>
      </c>
      <c r="Y70" s="350">
        <v>113.8</v>
      </c>
      <c r="Z70" s="334">
        <f t="shared" si="7"/>
        <v>19926.379999999997</v>
      </c>
      <c r="AA70" s="266"/>
    </row>
    <row r="71" spans="1:28" s="267" customFormat="1" ht="45">
      <c r="A71" s="19" t="s">
        <v>3390</v>
      </c>
      <c r="B71" s="20">
        <v>96543</v>
      </c>
      <c r="C71" s="19" t="s">
        <v>3197</v>
      </c>
      <c r="D71" s="21" t="s">
        <v>12</v>
      </c>
      <c r="E71" s="21" t="s">
        <v>45</v>
      </c>
      <c r="F71" s="22">
        <v>101</v>
      </c>
      <c r="G71" s="22">
        <f t="shared" si="3"/>
        <v>15.308500000000002</v>
      </c>
      <c r="H71" s="22">
        <f t="shared" si="15"/>
        <v>19.41</v>
      </c>
      <c r="I71" s="147">
        <f>ROUND(H71*F71,2)</f>
        <v>1960.41</v>
      </c>
      <c r="J71" s="148">
        <v>15.308500000000002</v>
      </c>
      <c r="K71" s="148">
        <v>19.41</v>
      </c>
      <c r="L71" s="148">
        <v>1960.41</v>
      </c>
      <c r="M71" s="148"/>
      <c r="N71" s="148"/>
      <c r="O71" s="148"/>
      <c r="P71" s="494"/>
      <c r="Q71" s="148">
        <f t="shared" si="19"/>
        <v>0</v>
      </c>
      <c r="R71" s="148"/>
      <c r="S71" s="148">
        <f t="shared" si="20"/>
        <v>0</v>
      </c>
      <c r="T71" s="148">
        <f t="shared" si="17"/>
        <v>101</v>
      </c>
      <c r="U71" s="148">
        <f t="shared" si="18"/>
        <v>1960.41</v>
      </c>
      <c r="V71" s="379"/>
      <c r="W71" s="379"/>
      <c r="X71" s="267" t="e">
        <f>IF(B71&lt;&gt;0,VLOOKUP(B71,#REF!,4,FALSE),"")</f>
        <v>#REF!</v>
      </c>
      <c r="Y71" s="350" t="s">
        <v>3100</v>
      </c>
      <c r="Z71" s="334">
        <f t="shared" si="7"/>
        <v>1546.1585000000002</v>
      </c>
      <c r="AB71" s="267" t="e">
        <f>IF(B71&lt;&gt;0,VLOOKUP(B71,#REF!,2,FALSE),"")</f>
        <v>#REF!</v>
      </c>
    </row>
    <row r="72" spans="1:28" s="267" customFormat="1" ht="45">
      <c r="A72" s="19" t="s">
        <v>3391</v>
      </c>
      <c r="B72" s="20">
        <v>96547</v>
      </c>
      <c r="C72" s="19" t="s">
        <v>1527</v>
      </c>
      <c r="D72" s="21" t="s">
        <v>12</v>
      </c>
      <c r="E72" s="21" t="s">
        <v>45</v>
      </c>
      <c r="F72" s="22">
        <v>3027</v>
      </c>
      <c r="G72" s="22">
        <f t="shared" si="3"/>
        <v>10.981999999999999</v>
      </c>
      <c r="H72" s="22">
        <f t="shared" si="15"/>
        <v>13.93</v>
      </c>
      <c r="I72" s="147">
        <f t="shared" si="16"/>
        <v>42166.11</v>
      </c>
      <c r="J72" s="148">
        <v>13.969999999999999</v>
      </c>
      <c r="K72" s="148">
        <v>17.72</v>
      </c>
      <c r="L72" s="148">
        <v>53638.44</v>
      </c>
      <c r="M72" s="148"/>
      <c r="N72" s="148"/>
      <c r="O72" s="148"/>
      <c r="P72" s="494"/>
      <c r="Q72" s="148">
        <f t="shared" si="19"/>
        <v>0</v>
      </c>
      <c r="R72" s="148"/>
      <c r="S72" s="148">
        <f t="shared" si="20"/>
        <v>0</v>
      </c>
      <c r="T72" s="148">
        <f t="shared" si="17"/>
        <v>3027</v>
      </c>
      <c r="U72" s="148">
        <f t="shared" si="18"/>
        <v>53638.44</v>
      </c>
      <c r="V72" s="379"/>
      <c r="W72" s="379"/>
      <c r="X72" s="267" t="e">
        <f>IF(B72&lt;&gt;0,VLOOKUP(B72,#REF!,4,FALSE),"")</f>
        <v>#REF!</v>
      </c>
      <c r="Y72" s="350" t="s">
        <v>3216</v>
      </c>
      <c r="Z72" s="334">
        <f t="shared" si="7"/>
        <v>33242.513999999996</v>
      </c>
      <c r="AB72" s="267" t="e">
        <f>IF(B72&lt;&gt;0,VLOOKUP(B72,#REF!,2,FALSE),"")</f>
        <v>#REF!</v>
      </c>
    </row>
    <row r="73" spans="1:28" s="267" customFormat="1" ht="45">
      <c r="A73" s="19" t="s">
        <v>3392</v>
      </c>
      <c r="B73" s="20">
        <v>96548</v>
      </c>
      <c r="C73" s="19" t="s">
        <v>1528</v>
      </c>
      <c r="D73" s="21" t="s">
        <v>12</v>
      </c>
      <c r="E73" s="21" t="s">
        <v>45</v>
      </c>
      <c r="F73" s="22">
        <v>1634</v>
      </c>
      <c r="G73" s="22">
        <f t="shared" si="3"/>
        <v>10.557</v>
      </c>
      <c r="H73" s="22">
        <f t="shared" si="15"/>
        <v>13.39</v>
      </c>
      <c r="I73" s="147">
        <f t="shared" si="16"/>
        <v>21879.26</v>
      </c>
      <c r="J73" s="148">
        <v>13.55</v>
      </c>
      <c r="K73" s="148">
        <v>17.18</v>
      </c>
      <c r="L73" s="148">
        <v>28072.12</v>
      </c>
      <c r="M73" s="148"/>
      <c r="N73" s="148"/>
      <c r="O73" s="148"/>
      <c r="P73" s="494"/>
      <c r="Q73" s="148">
        <f t="shared" si="19"/>
        <v>0</v>
      </c>
      <c r="R73" s="148"/>
      <c r="S73" s="148">
        <f t="shared" si="20"/>
        <v>0</v>
      </c>
      <c r="T73" s="148">
        <f t="shared" si="17"/>
        <v>1634</v>
      </c>
      <c r="U73" s="148">
        <f t="shared" si="18"/>
        <v>28072.12</v>
      </c>
      <c r="V73" s="379"/>
      <c r="W73" s="379"/>
      <c r="X73" s="267" t="e">
        <f>IF(B73&lt;&gt;0,VLOOKUP(B73,#REF!,4,FALSE),"")</f>
        <v>#REF!</v>
      </c>
      <c r="Y73" s="350" t="s">
        <v>3031</v>
      </c>
      <c r="Z73" s="334">
        <f t="shared" si="7"/>
        <v>17250.137999999999</v>
      </c>
      <c r="AB73" s="267" t="e">
        <f>IF(B73&lt;&gt;0,VLOOKUP(B73,#REF!,2,FALSE),"")</f>
        <v>#REF!</v>
      </c>
    </row>
    <row r="74" spans="1:28" s="267" customFormat="1" ht="45">
      <c r="A74" s="19" t="s">
        <v>3393</v>
      </c>
      <c r="B74" s="20">
        <v>94966</v>
      </c>
      <c r="C74" s="19" t="s">
        <v>1530</v>
      </c>
      <c r="D74" s="21" t="s">
        <v>12</v>
      </c>
      <c r="E74" s="21" t="s">
        <v>35</v>
      </c>
      <c r="F74" s="22">
        <v>101.03</v>
      </c>
      <c r="G74" s="22">
        <f t="shared" si="3"/>
        <v>360.38300000000004</v>
      </c>
      <c r="H74" s="22">
        <f t="shared" si="15"/>
        <v>457</v>
      </c>
      <c r="I74" s="147">
        <f t="shared" si="16"/>
        <v>46170.71</v>
      </c>
      <c r="J74" s="148">
        <v>417.1699999999999</v>
      </c>
      <c r="K74" s="148">
        <v>529.01</v>
      </c>
      <c r="L74" s="148">
        <v>53445.88</v>
      </c>
      <c r="M74" s="148"/>
      <c r="N74" s="148"/>
      <c r="O74" s="148"/>
      <c r="P74" s="494"/>
      <c r="Q74" s="148">
        <f t="shared" si="19"/>
        <v>0</v>
      </c>
      <c r="R74" s="148"/>
      <c r="S74" s="148">
        <f t="shared" si="20"/>
        <v>0</v>
      </c>
      <c r="T74" s="148">
        <f t="shared" si="17"/>
        <v>101.03</v>
      </c>
      <c r="U74" s="148">
        <f t="shared" si="18"/>
        <v>53445.88</v>
      </c>
      <c r="V74" s="379"/>
      <c r="W74" s="379"/>
      <c r="X74" s="267" t="e">
        <f>IF(B74&lt;&gt;0,VLOOKUP(B74,#REF!,4,FALSE),"")</f>
        <v>#REF!</v>
      </c>
      <c r="Y74" s="350" t="s">
        <v>3217</v>
      </c>
      <c r="Z74" s="334">
        <f t="shared" si="7"/>
        <v>36409.494490000005</v>
      </c>
      <c r="AB74" s="267" t="e">
        <f>IF(B74&lt;&gt;0,VLOOKUP(B74,#REF!,2,FALSE),"")</f>
        <v>#REF!</v>
      </c>
    </row>
    <row r="75" spans="1:28" s="267" customFormat="1" ht="30">
      <c r="A75" s="19" t="s">
        <v>3394</v>
      </c>
      <c r="B75" s="21" t="s">
        <v>46</v>
      </c>
      <c r="C75" s="19" t="s">
        <v>47</v>
      </c>
      <c r="D75" s="21" t="s">
        <v>1914</v>
      </c>
      <c r="E75" s="21" t="s">
        <v>35</v>
      </c>
      <c r="F75" s="22">
        <v>101.03</v>
      </c>
      <c r="G75" s="22">
        <f t="shared" si="3"/>
        <v>78.472000000000008</v>
      </c>
      <c r="H75" s="22">
        <f t="shared" si="15"/>
        <v>99.51</v>
      </c>
      <c r="I75" s="147">
        <f t="shared" si="16"/>
        <v>10053.5</v>
      </c>
      <c r="J75" s="148">
        <v>78.472000000000008</v>
      </c>
      <c r="K75" s="148">
        <v>99.51</v>
      </c>
      <c r="L75" s="148">
        <v>10053.5</v>
      </c>
      <c r="M75" s="148"/>
      <c r="N75" s="148"/>
      <c r="O75" s="148"/>
      <c r="P75" s="494"/>
      <c r="Q75" s="148">
        <f t="shared" si="19"/>
        <v>0</v>
      </c>
      <c r="R75" s="148"/>
      <c r="S75" s="148">
        <f t="shared" si="20"/>
        <v>0</v>
      </c>
      <c r="T75" s="148">
        <f t="shared" si="17"/>
        <v>101.03</v>
      </c>
      <c r="U75" s="148">
        <f t="shared" si="18"/>
        <v>10053.5</v>
      </c>
      <c r="V75" s="379"/>
      <c r="W75" s="379"/>
      <c r="X75" s="266">
        <f>'COMPOSIÇÃO DE CUSTOS'!G55</f>
        <v>78.470000000000013</v>
      </c>
      <c r="Y75" s="350">
        <v>92.320000000000007</v>
      </c>
      <c r="Z75" s="334">
        <f t="shared" si="7"/>
        <v>7928.0261600000013</v>
      </c>
      <c r="AA75" s="266"/>
    </row>
    <row r="76" spans="1:28" s="55" customFormat="1" ht="15" customHeight="1">
      <c r="A76" s="229" t="s">
        <v>684</v>
      </c>
      <c r="B76" s="229"/>
      <c r="C76" s="229" t="s">
        <v>48</v>
      </c>
      <c r="D76" s="230"/>
      <c r="E76" s="230"/>
      <c r="F76" s="230"/>
      <c r="G76" s="22"/>
      <c r="H76" s="230"/>
      <c r="I76" s="445"/>
      <c r="J76" s="440"/>
      <c r="K76" s="440"/>
      <c r="L76" s="440"/>
      <c r="M76" s="440"/>
      <c r="N76" s="440"/>
      <c r="O76" s="440"/>
      <c r="P76" s="492"/>
      <c r="Q76" s="148"/>
      <c r="R76" s="148"/>
      <c r="S76" s="148"/>
      <c r="T76" s="148"/>
      <c r="U76" s="148"/>
      <c r="V76" s="330"/>
      <c r="W76" s="330"/>
      <c r="X76" s="56"/>
      <c r="Y76" s="349"/>
      <c r="Z76" s="334">
        <f t="shared" si="7"/>
        <v>0</v>
      </c>
      <c r="AA76" s="56"/>
    </row>
    <row r="77" spans="1:28" s="267" customFormat="1" ht="45">
      <c r="A77" s="19" t="s">
        <v>685</v>
      </c>
      <c r="B77" s="20">
        <v>94097</v>
      </c>
      <c r="C77" s="19" t="s">
        <v>1524</v>
      </c>
      <c r="D77" s="21" t="s">
        <v>1914</v>
      </c>
      <c r="E77" s="21" t="s">
        <v>26</v>
      </c>
      <c r="F77" s="22">
        <v>55.38</v>
      </c>
      <c r="G77" s="22">
        <f t="shared" si="3"/>
        <v>3.5529999999999999</v>
      </c>
      <c r="H77" s="22">
        <f t="shared" ref="H77:H88" si="21">ROUND(G77*(1+$X$14),2)</f>
        <v>4.51</v>
      </c>
      <c r="I77" s="147">
        <f t="shared" ref="I77:I88" si="22">ROUND(H77*F77,2)</f>
        <v>249.76</v>
      </c>
      <c r="J77" s="148">
        <v>3.5529999999999999</v>
      </c>
      <c r="K77" s="148">
        <v>4.51</v>
      </c>
      <c r="L77" s="148">
        <v>249.76</v>
      </c>
      <c r="M77" s="148"/>
      <c r="N77" s="148"/>
      <c r="O77" s="148"/>
      <c r="P77" s="494"/>
      <c r="Q77" s="148">
        <f t="shared" si="19"/>
        <v>0</v>
      </c>
      <c r="R77" s="148"/>
      <c r="S77" s="148">
        <f t="shared" si="20"/>
        <v>0</v>
      </c>
      <c r="T77" s="148">
        <f t="shared" ref="T77:T88" si="23">F77+P77-R77</f>
        <v>55.38</v>
      </c>
      <c r="U77" s="148">
        <f t="shared" si="18"/>
        <v>249.76</v>
      </c>
      <c r="V77" s="379"/>
      <c r="W77" s="379"/>
      <c r="X77" s="268">
        <f>X68</f>
        <v>3.54</v>
      </c>
      <c r="Y77" s="335">
        <v>4.18</v>
      </c>
      <c r="Z77" s="334">
        <f t="shared" si="7"/>
        <v>196.76514</v>
      </c>
      <c r="AA77" s="268"/>
      <c r="AB77" s="267" t="e">
        <f>IF(B77&lt;&gt;0,VLOOKUP(B77,#REF!,2,FALSE),"")</f>
        <v>#REF!</v>
      </c>
    </row>
    <row r="78" spans="1:28" s="267" customFormat="1" ht="45">
      <c r="A78" s="19" t="s">
        <v>686</v>
      </c>
      <c r="B78" s="20">
        <v>83534</v>
      </c>
      <c r="C78" s="19" t="s">
        <v>49</v>
      </c>
      <c r="D78" s="21" t="s">
        <v>1914</v>
      </c>
      <c r="E78" s="21" t="s">
        <v>35</v>
      </c>
      <c r="F78" s="22">
        <v>2.77</v>
      </c>
      <c r="G78" s="22">
        <f t="shared" si="3"/>
        <v>477.23250000000007</v>
      </c>
      <c r="H78" s="22">
        <f t="shared" si="21"/>
        <v>605.17999999999995</v>
      </c>
      <c r="I78" s="147">
        <f t="shared" si="22"/>
        <v>1676.35</v>
      </c>
      <c r="J78" s="148">
        <v>477.23250000000007</v>
      </c>
      <c r="K78" s="148">
        <v>605.17999999999995</v>
      </c>
      <c r="L78" s="148">
        <v>1676.35</v>
      </c>
      <c r="M78" s="148"/>
      <c r="N78" s="148"/>
      <c r="O78" s="148"/>
      <c r="P78" s="494"/>
      <c r="Q78" s="148">
        <f t="shared" si="19"/>
        <v>0</v>
      </c>
      <c r="R78" s="148"/>
      <c r="S78" s="148">
        <f t="shared" si="20"/>
        <v>0</v>
      </c>
      <c r="T78" s="148">
        <f t="shared" si="23"/>
        <v>2.77</v>
      </c>
      <c r="U78" s="148">
        <f t="shared" si="18"/>
        <v>1676.35</v>
      </c>
      <c r="V78" s="379"/>
      <c r="W78" s="379"/>
      <c r="X78" s="268">
        <f>X69</f>
        <v>477.22999999999996</v>
      </c>
      <c r="Y78" s="335">
        <v>561.45000000000005</v>
      </c>
      <c r="Z78" s="334">
        <f t="shared" si="7"/>
        <v>1321.9340250000002</v>
      </c>
      <c r="AA78" s="268"/>
      <c r="AB78" s="267" t="e">
        <f>IF(B78&lt;&gt;0,VLOOKUP(B78,#REF!,2,FALSE),"")</f>
        <v>#REF!</v>
      </c>
    </row>
    <row r="79" spans="1:28" s="267" customFormat="1" ht="30">
      <c r="A79" s="19" t="s">
        <v>687</v>
      </c>
      <c r="B79" s="21" t="s">
        <v>2045</v>
      </c>
      <c r="C79" s="19" t="s">
        <v>43</v>
      </c>
      <c r="D79" s="21" t="s">
        <v>1914</v>
      </c>
      <c r="E79" s="21" t="s">
        <v>26</v>
      </c>
      <c r="F79" s="22">
        <v>332.27</v>
      </c>
      <c r="G79" s="22">
        <f t="shared" si="3"/>
        <v>96.72999999999999</v>
      </c>
      <c r="H79" s="22">
        <f t="shared" si="21"/>
        <v>122.66</v>
      </c>
      <c r="I79" s="147">
        <f t="shared" si="22"/>
        <v>40756.239999999998</v>
      </c>
      <c r="J79" s="148">
        <v>127.2</v>
      </c>
      <c r="K79" s="148">
        <v>161.30000000000001</v>
      </c>
      <c r="L79" s="148">
        <v>53595.15</v>
      </c>
      <c r="M79" s="148"/>
      <c r="N79" s="148"/>
      <c r="O79" s="148"/>
      <c r="P79" s="494"/>
      <c r="Q79" s="148">
        <f t="shared" si="19"/>
        <v>0</v>
      </c>
      <c r="R79" s="148"/>
      <c r="S79" s="148">
        <f t="shared" si="20"/>
        <v>0</v>
      </c>
      <c r="T79" s="148">
        <f t="shared" si="23"/>
        <v>332.27</v>
      </c>
      <c r="U79" s="148">
        <f t="shared" si="18"/>
        <v>53595.15</v>
      </c>
      <c r="V79" s="379"/>
      <c r="W79" s="379"/>
      <c r="X79" s="268">
        <f>X70</f>
        <v>96.72999999999999</v>
      </c>
      <c r="Y79" s="335">
        <v>113.8</v>
      </c>
      <c r="Z79" s="334">
        <f t="shared" si="7"/>
        <v>32140.477099999996</v>
      </c>
      <c r="AA79" s="268"/>
      <c r="AB79" s="267" t="e">
        <f>IF(B79&lt;&gt;0,VLOOKUP(B79,#REF!,2,FALSE),"")</f>
        <v>#REF!</v>
      </c>
    </row>
    <row r="80" spans="1:28" s="267" customFormat="1" ht="30">
      <c r="A80" s="19" t="s">
        <v>688</v>
      </c>
      <c r="B80" s="20">
        <v>96543</v>
      </c>
      <c r="C80" s="19" t="s">
        <v>1531</v>
      </c>
      <c r="D80" s="21" t="s">
        <v>12</v>
      </c>
      <c r="E80" s="21" t="s">
        <v>45</v>
      </c>
      <c r="F80" s="22">
        <v>458</v>
      </c>
      <c r="G80" s="22">
        <f t="shared" si="3"/>
        <v>15.308500000000002</v>
      </c>
      <c r="H80" s="22">
        <f t="shared" si="21"/>
        <v>19.41</v>
      </c>
      <c r="I80" s="147">
        <f t="shared" si="22"/>
        <v>8889.7800000000007</v>
      </c>
      <c r="J80" s="148">
        <v>15.308500000000002</v>
      </c>
      <c r="K80" s="148">
        <v>19.41</v>
      </c>
      <c r="L80" s="148">
        <v>8889.7800000000007</v>
      </c>
      <c r="M80" s="148"/>
      <c r="N80" s="148"/>
      <c r="O80" s="148"/>
      <c r="P80" s="494"/>
      <c r="Q80" s="148">
        <f t="shared" si="19"/>
        <v>0</v>
      </c>
      <c r="R80" s="148"/>
      <c r="S80" s="148">
        <f t="shared" si="20"/>
        <v>0</v>
      </c>
      <c r="T80" s="148">
        <f t="shared" si="23"/>
        <v>458</v>
      </c>
      <c r="U80" s="148">
        <f t="shared" si="18"/>
        <v>8889.7800000000007</v>
      </c>
      <c r="V80" s="379"/>
      <c r="W80" s="379"/>
      <c r="X80" s="267" t="e">
        <f>IF(B80&lt;&gt;0,VLOOKUP(B80,#REF!,4,FALSE),"")</f>
        <v>#REF!</v>
      </c>
      <c r="Y80" s="350" t="s">
        <v>3100</v>
      </c>
      <c r="Z80" s="334">
        <f t="shared" si="7"/>
        <v>7011.2930000000006</v>
      </c>
      <c r="AB80" s="267" t="e">
        <f>IF(B80&lt;&gt;0,VLOOKUP(B80,#REF!,2,FALSE),"")</f>
        <v>#REF!</v>
      </c>
    </row>
    <row r="81" spans="1:28" s="267" customFormat="1" ht="45">
      <c r="A81" s="19" t="s">
        <v>689</v>
      </c>
      <c r="B81" s="20">
        <v>96544</v>
      </c>
      <c r="C81" s="19" t="s">
        <v>1525</v>
      </c>
      <c r="D81" s="21" t="s">
        <v>12</v>
      </c>
      <c r="E81" s="21" t="s">
        <v>45</v>
      </c>
      <c r="F81" s="22">
        <v>601</v>
      </c>
      <c r="G81" s="22">
        <f t="shared" si="3"/>
        <v>14.866499999999998</v>
      </c>
      <c r="H81" s="22">
        <f t="shared" si="21"/>
        <v>18.850000000000001</v>
      </c>
      <c r="I81" s="147">
        <f t="shared" si="22"/>
        <v>11328.85</v>
      </c>
      <c r="J81" s="148">
        <v>14.866499999999998</v>
      </c>
      <c r="K81" s="148">
        <v>18.850000000000001</v>
      </c>
      <c r="L81" s="148">
        <v>11328.85</v>
      </c>
      <c r="M81" s="148"/>
      <c r="N81" s="148"/>
      <c r="O81" s="148"/>
      <c r="P81" s="494"/>
      <c r="Q81" s="148">
        <f t="shared" si="19"/>
        <v>0</v>
      </c>
      <c r="R81" s="148"/>
      <c r="S81" s="148">
        <f t="shared" si="20"/>
        <v>0</v>
      </c>
      <c r="T81" s="148">
        <f t="shared" si="23"/>
        <v>601</v>
      </c>
      <c r="U81" s="148">
        <f t="shared" si="18"/>
        <v>11328.85</v>
      </c>
      <c r="V81" s="379"/>
      <c r="W81" s="379"/>
      <c r="X81" s="267" t="e">
        <f>IF(B81&lt;&gt;0,VLOOKUP(B81,#REF!,4,FALSE),"")</f>
        <v>#REF!</v>
      </c>
      <c r="Y81" s="350" t="s">
        <v>3106</v>
      </c>
      <c r="Z81" s="334">
        <f t="shared" si="7"/>
        <v>8934.7664999999997</v>
      </c>
      <c r="AB81" s="267" t="e">
        <f>IF(B81&lt;&gt;0,VLOOKUP(B81,#REF!,2,FALSE),"")</f>
        <v>#REF!</v>
      </c>
    </row>
    <row r="82" spans="1:28" s="267" customFormat="1" ht="45">
      <c r="A82" s="19" t="s">
        <v>690</v>
      </c>
      <c r="B82" s="20">
        <v>96545</v>
      </c>
      <c r="C82" s="19" t="s">
        <v>1526</v>
      </c>
      <c r="D82" s="21" t="s">
        <v>12</v>
      </c>
      <c r="E82" s="21" t="s">
        <v>45</v>
      </c>
      <c r="F82" s="22">
        <v>8</v>
      </c>
      <c r="G82" s="22">
        <f t="shared" si="3"/>
        <v>14.2545</v>
      </c>
      <c r="H82" s="22">
        <f t="shared" si="21"/>
        <v>18.079999999999998</v>
      </c>
      <c r="I82" s="147">
        <f t="shared" si="22"/>
        <v>144.63999999999999</v>
      </c>
      <c r="J82" s="148">
        <v>14.2545</v>
      </c>
      <c r="K82" s="148">
        <v>18.079999999999998</v>
      </c>
      <c r="L82" s="148">
        <v>144.63999999999999</v>
      </c>
      <c r="M82" s="148"/>
      <c r="N82" s="148"/>
      <c r="O82" s="148"/>
      <c r="P82" s="494"/>
      <c r="Q82" s="148">
        <f t="shared" si="19"/>
        <v>0</v>
      </c>
      <c r="R82" s="148"/>
      <c r="S82" s="148">
        <f t="shared" si="20"/>
        <v>0</v>
      </c>
      <c r="T82" s="148">
        <f t="shared" si="23"/>
        <v>8</v>
      </c>
      <c r="U82" s="148">
        <f t="shared" si="18"/>
        <v>144.63999999999999</v>
      </c>
      <c r="V82" s="379"/>
      <c r="W82" s="379"/>
      <c r="X82" s="267" t="e">
        <f>IF(B82&lt;&gt;0,VLOOKUP(B82,#REF!,4,FALSE),"")</f>
        <v>#REF!</v>
      </c>
      <c r="Y82" s="350" t="s">
        <v>2644</v>
      </c>
      <c r="Z82" s="334">
        <f t="shared" si="7"/>
        <v>114.036</v>
      </c>
      <c r="AB82" s="267" t="e">
        <f>IF(B82&lt;&gt;0,VLOOKUP(B82,#REF!,2,FALSE),"")</f>
        <v>#REF!</v>
      </c>
    </row>
    <row r="83" spans="1:28" s="267" customFormat="1" ht="45">
      <c r="A83" s="19" t="s">
        <v>691</v>
      </c>
      <c r="B83" s="20">
        <v>96546</v>
      </c>
      <c r="C83" s="19" t="s">
        <v>1532</v>
      </c>
      <c r="D83" s="21" t="s">
        <v>12</v>
      </c>
      <c r="E83" s="21" t="s">
        <v>45</v>
      </c>
      <c r="F83" s="22">
        <v>557</v>
      </c>
      <c r="G83" s="22">
        <f t="shared" si="3"/>
        <v>12.894500000000001</v>
      </c>
      <c r="H83" s="22">
        <f t="shared" si="21"/>
        <v>16.350000000000001</v>
      </c>
      <c r="I83" s="147">
        <f t="shared" si="22"/>
        <v>9106.9500000000007</v>
      </c>
      <c r="J83" s="148">
        <v>12.894500000000001</v>
      </c>
      <c r="K83" s="148">
        <v>16.350000000000001</v>
      </c>
      <c r="L83" s="148">
        <v>9106.9500000000007</v>
      </c>
      <c r="M83" s="148"/>
      <c r="N83" s="148"/>
      <c r="O83" s="148"/>
      <c r="P83" s="494"/>
      <c r="Q83" s="148">
        <f t="shared" si="19"/>
        <v>0</v>
      </c>
      <c r="R83" s="148"/>
      <c r="S83" s="148">
        <f t="shared" si="20"/>
        <v>0</v>
      </c>
      <c r="T83" s="148">
        <f t="shared" si="23"/>
        <v>557</v>
      </c>
      <c r="U83" s="148">
        <f t="shared" si="18"/>
        <v>9106.9500000000007</v>
      </c>
      <c r="V83" s="379"/>
      <c r="W83" s="379"/>
      <c r="X83" s="267" t="e">
        <f>IF(B83&lt;&gt;0,VLOOKUP(B83,#REF!,4,FALSE),"")</f>
        <v>#REF!</v>
      </c>
      <c r="Y83" s="350" t="s">
        <v>3168</v>
      </c>
      <c r="Z83" s="334">
        <f t="shared" si="7"/>
        <v>7182.2365</v>
      </c>
      <c r="AB83" s="267" t="e">
        <f>IF(B83&lt;&gt;0,VLOOKUP(B83,#REF!,2,FALSE),"")</f>
        <v>#REF!</v>
      </c>
    </row>
    <row r="84" spans="1:28" s="267" customFormat="1" ht="45">
      <c r="A84" s="19" t="s">
        <v>692</v>
      </c>
      <c r="B84" s="20">
        <v>96547</v>
      </c>
      <c r="C84" s="19" t="s">
        <v>1527</v>
      </c>
      <c r="D84" s="21" t="s">
        <v>12</v>
      </c>
      <c r="E84" s="21" t="s">
        <v>45</v>
      </c>
      <c r="F84" s="22">
        <v>214</v>
      </c>
      <c r="G84" s="22">
        <f t="shared" si="3"/>
        <v>10.981999999999999</v>
      </c>
      <c r="H84" s="22">
        <f t="shared" si="21"/>
        <v>13.93</v>
      </c>
      <c r="I84" s="147">
        <f t="shared" si="22"/>
        <v>2981.02</v>
      </c>
      <c r="J84" s="148">
        <v>13.969999999999999</v>
      </c>
      <c r="K84" s="148">
        <v>17.72</v>
      </c>
      <c r="L84" s="148">
        <v>3792.08</v>
      </c>
      <c r="M84" s="148"/>
      <c r="N84" s="148"/>
      <c r="O84" s="148"/>
      <c r="P84" s="494"/>
      <c r="Q84" s="148">
        <f t="shared" si="19"/>
        <v>0</v>
      </c>
      <c r="R84" s="148"/>
      <c r="S84" s="148">
        <f t="shared" si="20"/>
        <v>0</v>
      </c>
      <c r="T84" s="148">
        <f t="shared" si="23"/>
        <v>214</v>
      </c>
      <c r="U84" s="148">
        <f t="shared" si="18"/>
        <v>3792.08</v>
      </c>
      <c r="V84" s="379"/>
      <c r="W84" s="379"/>
      <c r="X84" s="267" t="e">
        <f>IF(B84&lt;&gt;0,VLOOKUP(B84,#REF!,4,FALSE),"")</f>
        <v>#REF!</v>
      </c>
      <c r="Y84" s="350" t="s">
        <v>3216</v>
      </c>
      <c r="Z84" s="334">
        <f t="shared" si="7"/>
        <v>2350.1479999999997</v>
      </c>
      <c r="AB84" s="267" t="e">
        <f>IF(B84&lt;&gt;0,VLOOKUP(B84,#REF!,2,FALSE),"")</f>
        <v>#REF!</v>
      </c>
    </row>
    <row r="85" spans="1:28" s="267" customFormat="1" ht="45">
      <c r="A85" s="19" t="s">
        <v>693</v>
      </c>
      <c r="B85" s="20">
        <v>96548</v>
      </c>
      <c r="C85" s="19" t="s">
        <v>1528</v>
      </c>
      <c r="D85" s="21" t="s">
        <v>12</v>
      </c>
      <c r="E85" s="21" t="s">
        <v>45</v>
      </c>
      <c r="F85" s="22">
        <v>345</v>
      </c>
      <c r="G85" s="22">
        <f t="shared" si="3"/>
        <v>10.557</v>
      </c>
      <c r="H85" s="22">
        <f t="shared" si="21"/>
        <v>13.39</v>
      </c>
      <c r="I85" s="147">
        <f t="shared" si="22"/>
        <v>4619.55</v>
      </c>
      <c r="J85" s="148">
        <v>13.55</v>
      </c>
      <c r="K85" s="148">
        <v>17.18</v>
      </c>
      <c r="L85" s="148">
        <v>5927.1</v>
      </c>
      <c r="M85" s="148"/>
      <c r="N85" s="148"/>
      <c r="O85" s="148"/>
      <c r="P85" s="494"/>
      <c r="Q85" s="148">
        <f>ROUND(P85*N85,2)</f>
        <v>0</v>
      </c>
      <c r="R85" s="148"/>
      <c r="S85" s="148">
        <f t="shared" si="20"/>
        <v>0</v>
      </c>
      <c r="T85" s="148">
        <f t="shared" si="23"/>
        <v>345</v>
      </c>
      <c r="U85" s="148">
        <f t="shared" si="18"/>
        <v>5927.1</v>
      </c>
      <c r="V85" s="379"/>
      <c r="W85" s="379"/>
      <c r="X85" s="267" t="e">
        <f>IF(B85&lt;&gt;0,VLOOKUP(B85,#REF!,4,FALSE),"")</f>
        <v>#REF!</v>
      </c>
      <c r="Y85" s="350" t="s">
        <v>3031</v>
      </c>
      <c r="Z85" s="334">
        <f t="shared" si="7"/>
        <v>3642.165</v>
      </c>
      <c r="AB85" s="267" t="e">
        <f>IF(B85&lt;&gt;0,VLOOKUP(B85,#REF!,2,FALSE),"")</f>
        <v>#REF!</v>
      </c>
    </row>
    <row r="86" spans="1:28" s="267" customFormat="1" ht="45">
      <c r="A86" s="19" t="s">
        <v>694</v>
      </c>
      <c r="B86" s="20">
        <v>96549</v>
      </c>
      <c r="C86" s="19" t="s">
        <v>1529</v>
      </c>
      <c r="D86" s="21" t="s">
        <v>12</v>
      </c>
      <c r="E86" s="21" t="s">
        <v>45</v>
      </c>
      <c r="F86" s="22">
        <v>26</v>
      </c>
      <c r="G86" s="22">
        <f t="shared" si="3"/>
        <v>11.942500000000001</v>
      </c>
      <c r="H86" s="22">
        <f t="shared" si="21"/>
        <v>15.14</v>
      </c>
      <c r="I86" s="147">
        <f t="shared" si="22"/>
        <v>393.64</v>
      </c>
      <c r="J86" s="148">
        <v>11.942500000000001</v>
      </c>
      <c r="K86" s="148">
        <v>15.14</v>
      </c>
      <c r="L86" s="148">
        <v>393.64</v>
      </c>
      <c r="M86" s="148"/>
      <c r="N86" s="148"/>
      <c r="O86" s="148"/>
      <c r="P86" s="494"/>
      <c r="Q86" s="148">
        <f t="shared" si="19"/>
        <v>0</v>
      </c>
      <c r="R86" s="148"/>
      <c r="S86" s="148">
        <f t="shared" si="20"/>
        <v>0</v>
      </c>
      <c r="T86" s="148">
        <f t="shared" si="23"/>
        <v>26</v>
      </c>
      <c r="U86" s="148">
        <f t="shared" si="18"/>
        <v>393.64</v>
      </c>
      <c r="V86" s="379"/>
      <c r="W86" s="379"/>
      <c r="X86" s="267" t="e">
        <f>IF(B86&lt;&gt;0,VLOOKUP(B86,#REF!,4,FALSE),"")</f>
        <v>#REF!</v>
      </c>
      <c r="Y86" s="350" t="s">
        <v>3207</v>
      </c>
      <c r="Z86" s="334">
        <f t="shared" si="7"/>
        <v>310.505</v>
      </c>
      <c r="AB86" s="267" t="e">
        <f>IF(B86&lt;&gt;0,VLOOKUP(B86,#REF!,2,FALSE),"")</f>
        <v>#REF!</v>
      </c>
    </row>
    <row r="87" spans="1:28" s="267" customFormat="1" ht="45">
      <c r="A87" s="19" t="s">
        <v>695</v>
      </c>
      <c r="B87" s="20">
        <v>94966</v>
      </c>
      <c r="C87" s="19" t="s">
        <v>2495</v>
      </c>
      <c r="D87" s="21" t="s">
        <v>12</v>
      </c>
      <c r="E87" s="21" t="s">
        <v>35</v>
      </c>
      <c r="F87" s="22">
        <v>33.229999999999997</v>
      </c>
      <c r="G87" s="22">
        <f t="shared" si="3"/>
        <v>360.38300000000004</v>
      </c>
      <c r="H87" s="22">
        <f t="shared" si="21"/>
        <v>457</v>
      </c>
      <c r="I87" s="147">
        <f t="shared" si="22"/>
        <v>15186.11</v>
      </c>
      <c r="J87" s="148">
        <v>417.1699999999999</v>
      </c>
      <c r="K87" s="148">
        <v>529.01</v>
      </c>
      <c r="L87" s="148">
        <v>17579</v>
      </c>
      <c r="M87" s="148"/>
      <c r="N87" s="148"/>
      <c r="O87" s="148"/>
      <c r="P87" s="494"/>
      <c r="Q87" s="148">
        <f t="shared" si="19"/>
        <v>0</v>
      </c>
      <c r="R87" s="148"/>
      <c r="S87" s="148">
        <f t="shared" si="20"/>
        <v>0</v>
      </c>
      <c r="T87" s="148">
        <f t="shared" si="23"/>
        <v>33.229999999999997</v>
      </c>
      <c r="U87" s="148">
        <f t="shared" si="18"/>
        <v>17579</v>
      </c>
      <c r="V87" s="379"/>
      <c r="W87" s="379"/>
      <c r="X87" s="267" t="e">
        <f>IF(B87&lt;&gt;0,VLOOKUP(B87,#REF!,4,FALSE),"")</f>
        <v>#REF!</v>
      </c>
      <c r="Y87" s="350" t="s">
        <v>3217</v>
      </c>
      <c r="Z87" s="334">
        <f t="shared" si="7"/>
        <v>11975.52709</v>
      </c>
      <c r="AB87" s="267" t="e">
        <f>IF(B87&lt;&gt;0,VLOOKUP(B87,#REF!,2,FALSE),"")</f>
        <v>#REF!</v>
      </c>
    </row>
    <row r="88" spans="1:28" s="267" customFormat="1" ht="30">
      <c r="A88" s="19" t="s">
        <v>696</v>
      </c>
      <c r="B88" s="21" t="s">
        <v>46</v>
      </c>
      <c r="C88" s="19" t="s">
        <v>47</v>
      </c>
      <c r="D88" s="21" t="s">
        <v>1914</v>
      </c>
      <c r="E88" s="21" t="s">
        <v>35</v>
      </c>
      <c r="F88" s="22">
        <v>33.229999999999997</v>
      </c>
      <c r="G88" s="22">
        <f t="shared" si="3"/>
        <v>78.472000000000008</v>
      </c>
      <c r="H88" s="22">
        <f t="shared" si="21"/>
        <v>99.51</v>
      </c>
      <c r="I88" s="147">
        <f t="shared" si="22"/>
        <v>3306.72</v>
      </c>
      <c r="J88" s="148">
        <v>78.472000000000008</v>
      </c>
      <c r="K88" s="148">
        <v>99.51</v>
      </c>
      <c r="L88" s="148">
        <v>3306.72</v>
      </c>
      <c r="M88" s="148"/>
      <c r="N88" s="148"/>
      <c r="O88" s="148"/>
      <c r="P88" s="494"/>
      <c r="Q88" s="148">
        <f t="shared" si="19"/>
        <v>0</v>
      </c>
      <c r="R88" s="148"/>
      <c r="S88" s="148">
        <f t="shared" si="20"/>
        <v>0</v>
      </c>
      <c r="T88" s="148">
        <f t="shared" si="23"/>
        <v>33.229999999999997</v>
      </c>
      <c r="U88" s="148">
        <f t="shared" si="18"/>
        <v>3306.72</v>
      </c>
      <c r="V88" s="379"/>
      <c r="W88" s="379"/>
      <c r="X88" s="268">
        <f>X75</f>
        <v>78.470000000000013</v>
      </c>
      <c r="Y88" s="335">
        <v>92.320000000000007</v>
      </c>
      <c r="Z88" s="334">
        <f t="shared" si="7"/>
        <v>2607.6245600000002</v>
      </c>
      <c r="AA88" s="268"/>
      <c r="AB88" s="267" t="e">
        <f>IF(B88&lt;&gt;0,VLOOKUP(B88,#REF!,2,FALSE),"")</f>
        <v>#REF!</v>
      </c>
    </row>
    <row r="89" spans="1:28" s="23" customFormat="1">
      <c r="A89" s="229" t="s">
        <v>697</v>
      </c>
      <c r="B89" s="229"/>
      <c r="C89" s="229" t="s">
        <v>50</v>
      </c>
      <c r="D89" s="230"/>
      <c r="E89" s="230"/>
      <c r="F89" s="230"/>
      <c r="G89" s="22"/>
      <c r="H89" s="230"/>
      <c r="I89" s="445"/>
      <c r="J89" s="440"/>
      <c r="K89" s="440"/>
      <c r="L89" s="440"/>
      <c r="M89" s="440"/>
      <c r="N89" s="440"/>
      <c r="O89" s="440"/>
      <c r="P89" s="492"/>
      <c r="Q89" s="148"/>
      <c r="R89" s="148"/>
      <c r="S89" s="148"/>
      <c r="T89" s="148"/>
      <c r="U89" s="148"/>
      <c r="V89" s="330"/>
      <c r="W89" s="330"/>
      <c r="X89" s="32"/>
      <c r="Y89" s="346"/>
      <c r="Z89" s="334">
        <f t="shared" si="7"/>
        <v>0</v>
      </c>
      <c r="AA89" s="32"/>
    </row>
    <row r="90" spans="1:28" s="267" customFormat="1" ht="45">
      <c r="A90" s="449" t="s">
        <v>698</v>
      </c>
      <c r="B90" s="448">
        <v>97086</v>
      </c>
      <c r="C90" s="449" t="s">
        <v>1533</v>
      </c>
      <c r="D90" s="447" t="s">
        <v>12</v>
      </c>
      <c r="E90" s="447" t="s">
        <v>26</v>
      </c>
      <c r="F90" s="450">
        <v>9.48</v>
      </c>
      <c r="G90" s="450">
        <f t="shared" si="3"/>
        <v>73.618499999999997</v>
      </c>
      <c r="H90" s="450">
        <f t="shared" ref="H90:H105" si="24">ROUND(G90*(1+$X$14),2)</f>
        <v>93.36</v>
      </c>
      <c r="I90" s="451">
        <f t="shared" ref="I90:I114" si="25">ROUND(H90*F90,2)</f>
        <v>885.05</v>
      </c>
      <c r="J90" s="452">
        <v>73.618499999999997</v>
      </c>
      <c r="K90" s="452">
        <v>93.36</v>
      </c>
      <c r="L90" s="452">
        <v>885.05</v>
      </c>
      <c r="M90" s="452"/>
      <c r="N90" s="452"/>
      <c r="O90" s="452"/>
      <c r="P90" s="493"/>
      <c r="Q90" s="452">
        <f>ROUND(P90*H90*$S$16,2)</f>
        <v>0</v>
      </c>
      <c r="R90" s="452">
        <f>F90</f>
        <v>9.48</v>
      </c>
      <c r="S90" s="452">
        <f>ROUND(R90*K90,2)</f>
        <v>885.05</v>
      </c>
      <c r="T90" s="452">
        <f t="shared" ref="T90:T101" si="26">F90+P90-R90</f>
        <v>0</v>
      </c>
      <c r="U90" s="452">
        <f t="shared" si="18"/>
        <v>0</v>
      </c>
      <c r="V90" s="379"/>
      <c r="W90" s="379"/>
      <c r="X90" s="269" t="e">
        <f>IF(B90&lt;&gt;0,VLOOKUP(B90,#REF!,4,FALSE),"")</f>
        <v>#REF!</v>
      </c>
      <c r="Y90" s="335" t="s">
        <v>3211</v>
      </c>
      <c r="Z90" s="334">
        <f t="shared" si="7"/>
        <v>697.90337999999997</v>
      </c>
      <c r="AA90" s="269"/>
      <c r="AB90" s="267" t="e">
        <f>IF(B90&lt;&gt;0,VLOOKUP(B90,#REF!,2,FALSE),"")</f>
        <v>#REF!</v>
      </c>
    </row>
    <row r="91" spans="1:28" s="38" customFormat="1" ht="45">
      <c r="A91" s="449" t="s">
        <v>699</v>
      </c>
      <c r="B91" s="448">
        <v>91005</v>
      </c>
      <c r="C91" s="449" t="s">
        <v>1534</v>
      </c>
      <c r="D91" s="447" t="s">
        <v>12</v>
      </c>
      <c r="E91" s="447" t="s">
        <v>26</v>
      </c>
      <c r="F91" s="450">
        <v>304.67</v>
      </c>
      <c r="G91" s="450">
        <f t="shared" si="3"/>
        <v>12.7075</v>
      </c>
      <c r="H91" s="450">
        <f t="shared" si="24"/>
        <v>16.11</v>
      </c>
      <c r="I91" s="451">
        <f t="shared" si="25"/>
        <v>4908.2299999999996</v>
      </c>
      <c r="J91" s="452">
        <v>12.7075</v>
      </c>
      <c r="K91" s="452">
        <v>16.11</v>
      </c>
      <c r="L91" s="452">
        <v>4908.2299999999996</v>
      </c>
      <c r="M91" s="452"/>
      <c r="N91" s="452"/>
      <c r="O91" s="452"/>
      <c r="P91" s="493"/>
      <c r="Q91" s="452">
        <f t="shared" si="19"/>
        <v>0</v>
      </c>
      <c r="R91" s="452">
        <f>F91</f>
        <v>304.67</v>
      </c>
      <c r="S91" s="452">
        <f>ROUND(R91*K91,2)</f>
        <v>4908.2299999999996</v>
      </c>
      <c r="T91" s="452">
        <f t="shared" si="26"/>
        <v>0</v>
      </c>
      <c r="U91" s="452">
        <f t="shared" si="18"/>
        <v>0</v>
      </c>
      <c r="V91" s="453"/>
      <c r="W91" s="453"/>
      <c r="X91" s="39" t="e">
        <f>IF(B91&lt;&gt;0,VLOOKUP(B91,#REF!,4,FALSE),"")</f>
        <v>#REF!</v>
      </c>
      <c r="Y91" s="336" t="s">
        <v>3147</v>
      </c>
      <c r="Z91" s="336">
        <f t="shared" si="7"/>
        <v>3871.5940249999999</v>
      </c>
      <c r="AA91" s="39"/>
      <c r="AB91" s="38" t="e">
        <f>IF(B91&lt;&gt;0,VLOOKUP(B91,#REF!,2,FALSE),"")</f>
        <v>#REF!</v>
      </c>
    </row>
    <row r="92" spans="1:28" s="38" customFormat="1" ht="60">
      <c r="A92" s="449" t="s">
        <v>700</v>
      </c>
      <c r="B92" s="448">
        <v>92481</v>
      </c>
      <c r="C92" s="449" t="s">
        <v>1535</v>
      </c>
      <c r="D92" s="447" t="s">
        <v>1914</v>
      </c>
      <c r="E92" s="447" t="s">
        <v>26</v>
      </c>
      <c r="F92" s="450">
        <v>84.34</v>
      </c>
      <c r="G92" s="450">
        <f t="shared" si="3"/>
        <v>197.89700000000002</v>
      </c>
      <c r="H92" s="450">
        <f t="shared" si="24"/>
        <v>250.95</v>
      </c>
      <c r="I92" s="451">
        <f t="shared" si="25"/>
        <v>21165.119999999999</v>
      </c>
      <c r="J92" s="452">
        <v>234.24</v>
      </c>
      <c r="K92" s="452">
        <v>297.04000000000002</v>
      </c>
      <c r="L92" s="452">
        <v>25052.35</v>
      </c>
      <c r="M92" s="452"/>
      <c r="N92" s="452"/>
      <c r="O92" s="452"/>
      <c r="P92" s="493"/>
      <c r="Q92" s="452">
        <f t="shared" ref="Q92:Q97" si="27">ROUND(P92*H92*$S$16,2)</f>
        <v>0</v>
      </c>
      <c r="R92" s="452">
        <v>84.34</v>
      </c>
      <c r="S92" s="452">
        <f>ROUND(R92*K92,2)</f>
        <v>25052.35</v>
      </c>
      <c r="T92" s="452">
        <f t="shared" si="26"/>
        <v>0</v>
      </c>
      <c r="U92" s="452">
        <f t="shared" si="18"/>
        <v>0</v>
      </c>
      <c r="V92" s="453"/>
      <c r="W92" s="453"/>
      <c r="X92" s="65">
        <f>'COMPOSIÇÃO DE CUSTOS'!G67</f>
        <v>197.9</v>
      </c>
      <c r="Y92" s="351">
        <v>232.82000000000002</v>
      </c>
      <c r="Z92" s="336">
        <f t="shared" si="7"/>
        <v>16690.632980000002</v>
      </c>
      <c r="AA92" s="65"/>
      <c r="AB92" s="38" t="e">
        <f>IF(B92&lt;&gt;0,VLOOKUP(B92,#REF!,2,FALSE),"")</f>
        <v>#REF!</v>
      </c>
    </row>
    <row r="93" spans="1:28" ht="60">
      <c r="A93" s="449" t="s">
        <v>701</v>
      </c>
      <c r="B93" s="448">
        <v>92759</v>
      </c>
      <c r="C93" s="449" t="s">
        <v>1536</v>
      </c>
      <c r="D93" s="447" t="s">
        <v>12</v>
      </c>
      <c r="E93" s="447" t="s">
        <v>45</v>
      </c>
      <c r="F93" s="450">
        <v>267</v>
      </c>
      <c r="G93" s="450">
        <f t="shared" ref="G93:G192" si="28">Y93-(Y93*$Y$15)</f>
        <v>13.5915</v>
      </c>
      <c r="H93" s="450">
        <f t="shared" si="24"/>
        <v>17.239999999999998</v>
      </c>
      <c r="I93" s="451">
        <f t="shared" si="25"/>
        <v>4603.08</v>
      </c>
      <c r="J93" s="452">
        <v>13.5915</v>
      </c>
      <c r="K93" s="452">
        <v>17.239999999999998</v>
      </c>
      <c r="L93" s="452">
        <v>4603.08</v>
      </c>
      <c r="M93" s="452"/>
      <c r="N93" s="452"/>
      <c r="O93" s="452"/>
      <c r="P93" s="493"/>
      <c r="Q93" s="452">
        <f t="shared" si="27"/>
        <v>0</v>
      </c>
      <c r="R93" s="452">
        <f>F93-183-79</f>
        <v>5</v>
      </c>
      <c r="S93" s="452">
        <f>ROUND(R93*K93,2)</f>
        <v>86.2</v>
      </c>
      <c r="T93" s="452">
        <f t="shared" si="26"/>
        <v>262</v>
      </c>
      <c r="U93" s="452">
        <f t="shared" si="18"/>
        <v>4516.88</v>
      </c>
      <c r="V93" s="379"/>
      <c r="W93" s="379"/>
      <c r="X93" s="2" t="e">
        <f>IF(B93&lt;&gt;0,VLOOKUP(B93,#REF!,4,FALSE),"")</f>
        <v>#REF!</v>
      </c>
      <c r="Y93" s="340" t="s">
        <v>1853</v>
      </c>
      <c r="Z93" s="334">
        <f t="shared" ref="Z93:Z192" si="29">F93*G93</f>
        <v>3628.9304999999999</v>
      </c>
      <c r="AB93" s="2" t="e">
        <f>IF(B93&lt;&gt;0,VLOOKUP(B93,#REF!,2,FALSE),"")</f>
        <v>#REF!</v>
      </c>
    </row>
    <row r="94" spans="1:28" ht="60">
      <c r="A94" s="449" t="s">
        <v>702</v>
      </c>
      <c r="B94" s="448">
        <v>92760</v>
      </c>
      <c r="C94" s="449" t="s">
        <v>1537</v>
      </c>
      <c r="D94" s="447" t="s">
        <v>12</v>
      </c>
      <c r="E94" s="447" t="s">
        <v>45</v>
      </c>
      <c r="F94" s="450">
        <v>1192</v>
      </c>
      <c r="G94" s="450">
        <f t="shared" si="28"/>
        <v>13.5915</v>
      </c>
      <c r="H94" s="450">
        <f t="shared" si="24"/>
        <v>17.239999999999998</v>
      </c>
      <c r="I94" s="451">
        <f t="shared" si="25"/>
        <v>20550.080000000002</v>
      </c>
      <c r="J94" s="452">
        <v>14.78</v>
      </c>
      <c r="K94" s="452">
        <v>18.739999999999998</v>
      </c>
      <c r="L94" s="452">
        <v>22338.080000000002</v>
      </c>
      <c r="M94" s="452"/>
      <c r="N94" s="452"/>
      <c r="O94" s="452"/>
      <c r="P94" s="493"/>
      <c r="Q94" s="452">
        <f t="shared" si="27"/>
        <v>0</v>
      </c>
      <c r="R94" s="452">
        <f>F94-90-99</f>
        <v>1003</v>
      </c>
      <c r="S94" s="452">
        <f>ROUND(R94*K94,2)</f>
        <v>18796.22</v>
      </c>
      <c r="T94" s="452">
        <f t="shared" si="26"/>
        <v>189</v>
      </c>
      <c r="U94" s="452">
        <f t="shared" si="18"/>
        <v>3541.8600000000006</v>
      </c>
      <c r="V94" s="379"/>
      <c r="W94" s="379"/>
      <c r="X94" s="2" t="e">
        <f>IF(B94&lt;&gt;0,VLOOKUP(B94,#REF!,4,FALSE),"")</f>
        <v>#REF!</v>
      </c>
      <c r="Y94" s="340" t="s">
        <v>1853</v>
      </c>
      <c r="Z94" s="334">
        <f t="shared" si="29"/>
        <v>16201.067999999999</v>
      </c>
      <c r="AB94" s="2" t="e">
        <f>IF(B94&lt;&gt;0,VLOOKUP(B94,#REF!,2,FALSE),"")</f>
        <v>#REF!</v>
      </c>
    </row>
    <row r="95" spans="1:28" ht="60">
      <c r="A95" s="449" t="s">
        <v>703</v>
      </c>
      <c r="B95" s="448">
        <v>92761</v>
      </c>
      <c r="C95" s="449" t="s">
        <v>1538</v>
      </c>
      <c r="D95" s="447" t="s">
        <v>12</v>
      </c>
      <c r="E95" s="447" t="s">
        <v>45</v>
      </c>
      <c r="F95" s="450">
        <v>17</v>
      </c>
      <c r="G95" s="450">
        <f t="shared" si="28"/>
        <v>13.276999999999999</v>
      </c>
      <c r="H95" s="450">
        <f t="shared" si="24"/>
        <v>16.84</v>
      </c>
      <c r="I95" s="451">
        <f t="shared" si="25"/>
        <v>286.27999999999997</v>
      </c>
      <c r="J95" s="452">
        <v>13.276999999999999</v>
      </c>
      <c r="K95" s="452">
        <v>16.84</v>
      </c>
      <c r="L95" s="452">
        <v>286.27999999999997</v>
      </c>
      <c r="M95" s="452"/>
      <c r="N95" s="452"/>
      <c r="O95" s="452"/>
      <c r="P95" s="493">
        <f>170</f>
        <v>170</v>
      </c>
      <c r="Q95" s="452">
        <f t="shared" si="27"/>
        <v>3189.18</v>
      </c>
      <c r="R95" s="452"/>
      <c r="S95" s="452">
        <f t="shared" ref="S95:S100" si="30">ROUND(R95*K95,2)</f>
        <v>0</v>
      </c>
      <c r="T95" s="452">
        <f t="shared" si="26"/>
        <v>187</v>
      </c>
      <c r="U95" s="452">
        <f t="shared" si="18"/>
        <v>3475.46</v>
      </c>
      <c r="V95" s="379"/>
      <c r="W95" s="379"/>
      <c r="X95" s="2" t="e">
        <f>IF(B95&lt;&gt;0,VLOOKUP(B95,#REF!,4,FALSE),"")</f>
        <v>#REF!</v>
      </c>
      <c r="Y95" s="340" t="s">
        <v>3214</v>
      </c>
      <c r="Z95" s="334">
        <f t="shared" si="29"/>
        <v>225.70899999999997</v>
      </c>
      <c r="AB95" s="2" t="e">
        <f>IF(B95&lt;&gt;0,VLOOKUP(B95,#REF!,2,FALSE),"")</f>
        <v>#REF!</v>
      </c>
    </row>
    <row r="96" spans="1:28" ht="60">
      <c r="A96" s="449" t="s">
        <v>704</v>
      </c>
      <c r="B96" s="448">
        <v>92762</v>
      </c>
      <c r="C96" s="449" t="s">
        <v>1539</v>
      </c>
      <c r="D96" s="447" t="s">
        <v>12</v>
      </c>
      <c r="E96" s="447" t="s">
        <v>45</v>
      </c>
      <c r="F96" s="450">
        <v>750</v>
      </c>
      <c r="G96" s="450">
        <f t="shared" si="28"/>
        <v>12.1295</v>
      </c>
      <c r="H96" s="450">
        <f t="shared" si="24"/>
        <v>15.38</v>
      </c>
      <c r="I96" s="451">
        <f t="shared" si="25"/>
        <v>11535</v>
      </c>
      <c r="J96" s="452">
        <v>14.259999999999998</v>
      </c>
      <c r="K96" s="452">
        <v>18.079999999999998</v>
      </c>
      <c r="L96" s="452">
        <v>13560</v>
      </c>
      <c r="M96" s="452"/>
      <c r="N96" s="452"/>
      <c r="O96" s="452"/>
      <c r="P96" s="493"/>
      <c r="Q96" s="452">
        <f t="shared" si="27"/>
        <v>0</v>
      </c>
      <c r="R96" s="452">
        <f>F96-114-127</f>
        <v>509</v>
      </c>
      <c r="S96" s="452">
        <f t="shared" si="30"/>
        <v>9202.7199999999993</v>
      </c>
      <c r="T96" s="452">
        <f t="shared" si="26"/>
        <v>241</v>
      </c>
      <c r="U96" s="452">
        <f t="shared" si="18"/>
        <v>4357.2800000000007</v>
      </c>
      <c r="V96" s="379"/>
      <c r="W96" s="379"/>
      <c r="X96" s="2" t="e">
        <f>IF(B96&lt;&gt;0,VLOOKUP(B96,#REF!,4,FALSE),"")</f>
        <v>#REF!</v>
      </c>
      <c r="Y96" s="340" t="s">
        <v>3151</v>
      </c>
      <c r="Z96" s="334">
        <f t="shared" si="29"/>
        <v>9097.125</v>
      </c>
      <c r="AB96" s="2" t="e">
        <f>IF(B96&lt;&gt;0,VLOOKUP(B96,#REF!,2,FALSE),"")</f>
        <v>#REF!</v>
      </c>
    </row>
    <row r="97" spans="1:28" ht="60">
      <c r="A97" s="449" t="s">
        <v>705</v>
      </c>
      <c r="B97" s="448">
        <v>92763</v>
      </c>
      <c r="C97" s="449" t="s">
        <v>1540</v>
      </c>
      <c r="D97" s="447" t="s">
        <v>12</v>
      </c>
      <c r="E97" s="447" t="s">
        <v>45</v>
      </c>
      <c r="F97" s="450">
        <v>1118</v>
      </c>
      <c r="G97" s="450">
        <f t="shared" si="28"/>
        <v>10.361499999999999</v>
      </c>
      <c r="H97" s="450">
        <f t="shared" si="24"/>
        <v>13.14</v>
      </c>
      <c r="I97" s="451">
        <f t="shared" si="25"/>
        <v>14690.52</v>
      </c>
      <c r="J97" s="452">
        <v>13.25121</v>
      </c>
      <c r="K97" s="452">
        <v>16.8</v>
      </c>
      <c r="L97" s="452">
        <v>18782.400000000001</v>
      </c>
      <c r="M97" s="452"/>
      <c r="N97" s="452"/>
      <c r="O97" s="452"/>
      <c r="P97" s="493"/>
      <c r="Q97" s="452">
        <f t="shared" si="27"/>
        <v>0</v>
      </c>
      <c r="R97" s="452">
        <f>F97-609-221</f>
        <v>288</v>
      </c>
      <c r="S97" s="452">
        <f t="shared" si="30"/>
        <v>4838.3999999999996</v>
      </c>
      <c r="T97" s="452">
        <f t="shared" si="26"/>
        <v>830</v>
      </c>
      <c r="U97" s="452">
        <f t="shared" si="18"/>
        <v>13944.000000000002</v>
      </c>
      <c r="V97" s="379"/>
      <c r="W97" s="379"/>
      <c r="X97" s="2" t="e">
        <f>IF(B97&lt;&gt;0,VLOOKUP(B97,#REF!,4,FALSE),"")</f>
        <v>#REF!</v>
      </c>
      <c r="Y97" s="340" t="s">
        <v>3131</v>
      </c>
      <c r="Z97" s="334">
        <f t="shared" si="29"/>
        <v>11584.156999999999</v>
      </c>
      <c r="AB97" s="2" t="e">
        <f>IF(B97&lt;&gt;0,VLOOKUP(B97,#REF!,2,FALSE),"")</f>
        <v>#REF!</v>
      </c>
    </row>
    <row r="98" spans="1:28" s="38" customFormat="1" ht="60">
      <c r="A98" s="449" t="s">
        <v>706</v>
      </c>
      <c r="B98" s="448">
        <v>92764</v>
      </c>
      <c r="C98" s="449" t="s">
        <v>1541</v>
      </c>
      <c r="D98" s="447" t="s">
        <v>12</v>
      </c>
      <c r="E98" s="447" t="s">
        <v>45</v>
      </c>
      <c r="F98" s="450">
        <v>448</v>
      </c>
      <c r="G98" s="450">
        <f t="shared" si="28"/>
        <v>10.064</v>
      </c>
      <c r="H98" s="450">
        <f t="shared" si="24"/>
        <v>12.76</v>
      </c>
      <c r="I98" s="451">
        <f t="shared" si="25"/>
        <v>5716.48</v>
      </c>
      <c r="J98" s="452">
        <v>13.06</v>
      </c>
      <c r="K98" s="452">
        <v>16.559999999999999</v>
      </c>
      <c r="L98" s="452">
        <v>7418.88</v>
      </c>
      <c r="M98" s="452"/>
      <c r="N98" s="452"/>
      <c r="O98" s="452"/>
      <c r="P98" s="493"/>
      <c r="Q98" s="452">
        <f t="shared" si="19"/>
        <v>0</v>
      </c>
      <c r="R98" s="452">
        <v>448</v>
      </c>
      <c r="S98" s="452">
        <f t="shared" si="30"/>
        <v>7418.88</v>
      </c>
      <c r="T98" s="452">
        <f t="shared" si="26"/>
        <v>0</v>
      </c>
      <c r="U98" s="452">
        <f t="shared" si="18"/>
        <v>0</v>
      </c>
      <c r="V98" s="453"/>
      <c r="W98" s="453"/>
      <c r="X98" s="38" t="e">
        <f>IF(B98&lt;&gt;0,VLOOKUP(B98,#REF!,4,FALSE),"")</f>
        <v>#REF!</v>
      </c>
      <c r="Y98" s="351" t="s">
        <v>3041</v>
      </c>
      <c r="Z98" s="336">
        <f t="shared" si="29"/>
        <v>4508.6720000000005</v>
      </c>
      <c r="AB98" s="38" t="e">
        <f>IF(B98&lt;&gt;0,VLOOKUP(B98,#REF!,2,FALSE),"")</f>
        <v>#REF!</v>
      </c>
    </row>
    <row r="99" spans="1:28" s="38" customFormat="1" ht="60">
      <c r="A99" s="456" t="s">
        <v>3623</v>
      </c>
      <c r="B99" s="448">
        <v>97094</v>
      </c>
      <c r="C99" s="449" t="s">
        <v>3736</v>
      </c>
      <c r="D99" s="447" t="s">
        <v>12</v>
      </c>
      <c r="E99" s="447" t="s">
        <v>35</v>
      </c>
      <c r="F99" s="450">
        <v>25.68</v>
      </c>
      <c r="G99" s="450">
        <f t="shared" si="28"/>
        <v>410.89850000000001</v>
      </c>
      <c r="H99" s="450">
        <f t="shared" si="24"/>
        <v>521.05999999999995</v>
      </c>
      <c r="I99" s="451">
        <f>ROUND(H99*F99,2)</f>
        <v>13380.82</v>
      </c>
      <c r="J99" s="452">
        <v>410.89850000000001</v>
      </c>
      <c r="K99" s="452">
        <v>521.05999999999995</v>
      </c>
      <c r="L99" s="452">
        <v>13380.82</v>
      </c>
      <c r="M99" s="452"/>
      <c r="N99" s="452"/>
      <c r="O99" s="452"/>
      <c r="P99" s="493"/>
      <c r="Q99" s="452">
        <f>ROUND(P99*H99*$S$16,2)</f>
        <v>0</v>
      </c>
      <c r="R99" s="452">
        <f>F99</f>
        <v>25.68</v>
      </c>
      <c r="S99" s="452">
        <f t="shared" si="30"/>
        <v>13380.82</v>
      </c>
      <c r="T99" s="452">
        <f t="shared" si="26"/>
        <v>0</v>
      </c>
      <c r="U99" s="452">
        <f t="shared" si="18"/>
        <v>0</v>
      </c>
      <c r="V99" s="453"/>
      <c r="W99" s="453"/>
      <c r="X99" s="38" t="e">
        <f>IF(B99&lt;&gt;0,VLOOKUP(B99,#REF!,4,FALSE),"")</f>
        <v>#REF!</v>
      </c>
      <c r="Y99" s="351" t="s">
        <v>3212</v>
      </c>
      <c r="Z99" s="336">
        <f t="shared" si="29"/>
        <v>10551.87348</v>
      </c>
      <c r="AB99" s="38" t="e">
        <f>IF(B99&lt;&gt;0,VLOOKUP(B99,#REF!,2,FALSE),"")</f>
        <v>#REF!</v>
      </c>
    </row>
    <row r="100" spans="1:28" s="38" customFormat="1" ht="75">
      <c r="A100" s="556" t="s">
        <v>3417</v>
      </c>
      <c r="B100" s="558" t="s">
        <v>2050</v>
      </c>
      <c r="C100" s="556" t="s">
        <v>1542</v>
      </c>
      <c r="D100" s="558" t="s">
        <v>1914</v>
      </c>
      <c r="E100" s="558" t="s">
        <v>35</v>
      </c>
      <c r="F100" s="559">
        <v>36.21</v>
      </c>
      <c r="G100" s="559">
        <f t="shared" si="28"/>
        <v>394.35750000000007</v>
      </c>
      <c r="H100" s="559">
        <f t="shared" si="24"/>
        <v>500.08</v>
      </c>
      <c r="I100" s="560">
        <f t="shared" si="25"/>
        <v>18107.900000000001</v>
      </c>
      <c r="J100" s="561">
        <v>491.9</v>
      </c>
      <c r="K100" s="561">
        <v>623.78</v>
      </c>
      <c r="L100" s="561">
        <v>22587.07</v>
      </c>
      <c r="M100" s="561"/>
      <c r="N100" s="561"/>
      <c r="O100" s="561"/>
      <c r="P100" s="562">
        <f>V100-F100</f>
        <v>29.345200000000013</v>
      </c>
      <c r="Q100" s="561">
        <f>ROUND(P100*H100*$S$16,2)</f>
        <v>16348.01</v>
      </c>
      <c r="R100" s="561"/>
      <c r="S100" s="561">
        <f t="shared" si="30"/>
        <v>0</v>
      </c>
      <c r="T100" s="561">
        <f t="shared" si="26"/>
        <v>65.555200000000013</v>
      </c>
      <c r="U100" s="561">
        <f>O100+Q100-S100+L100</f>
        <v>38935.08</v>
      </c>
      <c r="V100" s="38">
        <f>(8*0.71+10*0.46)+(0.2*0.2*6*18)+(7*5.03*0.2*0.4+2*27.4*0.2*0.4)+(8*3.4+5.03)*0.2*0.4+(27.4*2+5.03*2)*0.15*0.4+(0.2*27.4*5.03)+(3*3*6*0.15)+(1.2*1.5*0.15*6)</f>
        <v>65.555200000000013</v>
      </c>
      <c r="X100" s="42">
        <f>'COMPOSIÇÃO DE CUSTOS'!G78</f>
        <v>394.36</v>
      </c>
      <c r="Y100" s="336">
        <v>463.95000000000005</v>
      </c>
      <c r="Z100" s="336">
        <f t="shared" si="29"/>
        <v>14279.685075000003</v>
      </c>
      <c r="AA100" s="42"/>
    </row>
    <row r="101" spans="1:28" s="267" customFormat="1">
      <c r="A101" s="449" t="s">
        <v>3912</v>
      </c>
      <c r="B101" s="448">
        <v>98459</v>
      </c>
      <c r="C101" s="449" t="s">
        <v>3006</v>
      </c>
      <c r="D101" s="447" t="s">
        <v>12</v>
      </c>
      <c r="E101" s="447" t="s">
        <v>26</v>
      </c>
      <c r="F101" s="450"/>
      <c r="G101" s="450">
        <f>G39</f>
        <v>79.9255</v>
      </c>
      <c r="H101" s="450">
        <f t="shared" si="24"/>
        <v>101.35</v>
      </c>
      <c r="I101" s="451">
        <f t="shared" si="25"/>
        <v>0</v>
      </c>
      <c r="J101" s="452"/>
      <c r="K101" s="452"/>
      <c r="L101" s="452"/>
      <c r="M101" s="520"/>
      <c r="N101" s="520"/>
      <c r="O101" s="520"/>
      <c r="P101" s="521">
        <f>(31.4*2+7.03*2)*2.1</f>
        <v>161.40600000000001</v>
      </c>
      <c r="Q101" s="452">
        <f>ROUND(P101*H101*$S$16,2)</f>
        <v>18223.5</v>
      </c>
      <c r="R101" s="520"/>
      <c r="S101" s="452">
        <f t="shared" si="20"/>
        <v>0</v>
      </c>
      <c r="T101" s="452">
        <f t="shared" si="26"/>
        <v>161.40600000000001</v>
      </c>
      <c r="U101" s="452">
        <f t="shared" si="18"/>
        <v>18223.5</v>
      </c>
      <c r="V101" s="379"/>
      <c r="W101" s="379"/>
      <c r="X101" s="268"/>
      <c r="Y101" s="335"/>
      <c r="Z101" s="334"/>
      <c r="AA101" s="268"/>
    </row>
    <row r="102" spans="1:28" s="267" customFormat="1" ht="30">
      <c r="A102" s="449" t="s">
        <v>3913</v>
      </c>
      <c r="B102" s="448">
        <v>97635</v>
      </c>
      <c r="C102" s="449" t="s">
        <v>3007</v>
      </c>
      <c r="D102" s="447" t="s">
        <v>12</v>
      </c>
      <c r="E102" s="447" t="s">
        <v>26</v>
      </c>
      <c r="F102" s="450"/>
      <c r="G102" s="450">
        <f>G46</f>
        <v>8.7635000000000005</v>
      </c>
      <c r="H102" s="450">
        <f t="shared" si="24"/>
        <v>11.11</v>
      </c>
      <c r="I102" s="451">
        <f t="shared" si="25"/>
        <v>0</v>
      </c>
      <c r="J102" s="452"/>
      <c r="K102" s="452"/>
      <c r="L102" s="452"/>
      <c r="M102" s="520"/>
      <c r="N102" s="520"/>
      <c r="O102" s="520"/>
      <c r="P102" s="521">
        <f>(31.4*7.03)</f>
        <v>220.74199999999999</v>
      </c>
      <c r="Q102" s="452">
        <f t="shared" ref="Q102:Q105" si="31">ROUND(P102*H102*$S$16,2)</f>
        <v>2732.04</v>
      </c>
      <c r="R102" s="520"/>
      <c r="S102" s="452">
        <f>ROUND(R102*N102,2)</f>
        <v>0</v>
      </c>
      <c r="T102" s="452">
        <f>F102+P102-R102</f>
        <v>220.74199999999999</v>
      </c>
      <c r="U102" s="452">
        <f>O102+Q102-S102+L102</f>
        <v>2732.04</v>
      </c>
      <c r="V102" s="379"/>
      <c r="W102" s="379"/>
      <c r="X102" s="268"/>
      <c r="Y102" s="335"/>
      <c r="Z102" s="334"/>
      <c r="AA102" s="268"/>
    </row>
    <row r="103" spans="1:28" s="267" customFormat="1" ht="45">
      <c r="A103" s="449" t="s">
        <v>3914</v>
      </c>
      <c r="B103" s="448">
        <v>72895</v>
      </c>
      <c r="C103" s="449" t="s">
        <v>38</v>
      </c>
      <c r="D103" s="447" t="s">
        <v>1914</v>
      </c>
      <c r="E103" s="447" t="s">
        <v>35</v>
      </c>
      <c r="F103" s="450"/>
      <c r="G103" s="450">
        <f>G63</f>
        <v>15.8355</v>
      </c>
      <c r="H103" s="450">
        <f>ROUND(G103*(1+$X$14),2)</f>
        <v>20.079999999999998</v>
      </c>
      <c r="I103" s="451">
        <f t="shared" si="25"/>
        <v>0</v>
      </c>
      <c r="J103" s="452"/>
      <c r="K103" s="452"/>
      <c r="L103" s="452"/>
      <c r="M103" s="520"/>
      <c r="N103" s="520"/>
      <c r="O103" s="520"/>
      <c r="P103" s="521">
        <f>(P102*0.1)*1.5+P105*1.3</f>
        <v>259.11239999999998</v>
      </c>
      <c r="Q103" s="452">
        <f t="shared" si="31"/>
        <v>5796.16</v>
      </c>
      <c r="R103" s="520"/>
      <c r="S103" s="452">
        <f>ROUND(R103*N103,2)</f>
        <v>0</v>
      </c>
      <c r="T103" s="452">
        <f>F103+P103-R103</f>
        <v>259.11239999999998</v>
      </c>
      <c r="U103" s="452">
        <f>O103+Q103-S103+L103</f>
        <v>5796.16</v>
      </c>
      <c r="V103" s="379"/>
      <c r="W103" s="379"/>
      <c r="X103" s="268"/>
      <c r="Y103" s="335"/>
      <c r="Z103" s="334"/>
      <c r="AA103" s="268"/>
    </row>
    <row r="104" spans="1:28" s="267" customFormat="1" ht="45">
      <c r="A104" s="449" t="s">
        <v>3915</v>
      </c>
      <c r="B104" s="447" t="str">
        <f>'COMPOSIÇÃO DE CUSTOS'!G2241</f>
        <v>CUSTO TOTAL</v>
      </c>
      <c r="C104" s="449" t="s">
        <v>29</v>
      </c>
      <c r="D104" s="447" t="s">
        <v>1914</v>
      </c>
      <c r="E104" s="447" t="s">
        <v>26</v>
      </c>
      <c r="F104" s="450"/>
      <c r="G104" s="450">
        <f>G51</f>
        <v>10.922499999999999</v>
      </c>
      <c r="H104" s="450">
        <f t="shared" si="24"/>
        <v>13.85</v>
      </c>
      <c r="I104" s="451">
        <f t="shared" si="25"/>
        <v>0</v>
      </c>
      <c r="J104" s="452"/>
      <c r="K104" s="452"/>
      <c r="L104" s="452"/>
      <c r="M104" s="520"/>
      <c r="N104" s="520"/>
      <c r="O104" s="520"/>
      <c r="P104" s="521">
        <f>27.4*5.03</f>
        <v>137.822</v>
      </c>
      <c r="Q104" s="452">
        <f t="shared" si="31"/>
        <v>2126.46</v>
      </c>
      <c r="R104" s="520"/>
      <c r="S104" s="452">
        <f t="shared" si="20"/>
        <v>0</v>
      </c>
      <c r="T104" s="452">
        <f>F104+P104-R104</f>
        <v>137.822</v>
      </c>
      <c r="U104" s="452">
        <f>O104+Q104-S104+L104</f>
        <v>2126.46</v>
      </c>
      <c r="V104" s="379"/>
      <c r="W104" s="379"/>
      <c r="X104" s="268"/>
      <c r="Y104" s="335"/>
      <c r="Z104" s="334"/>
      <c r="AA104" s="268"/>
    </row>
    <row r="105" spans="1:28" s="267" customFormat="1" ht="30">
      <c r="A105" s="449" t="s">
        <v>3916</v>
      </c>
      <c r="B105" s="448">
        <v>79480</v>
      </c>
      <c r="C105" s="449" t="s">
        <v>34</v>
      </c>
      <c r="D105" s="447" t="s">
        <v>1914</v>
      </c>
      <c r="E105" s="447" t="s">
        <v>35</v>
      </c>
      <c r="F105" s="522"/>
      <c r="G105" s="450">
        <f>G57</f>
        <v>2.0995000000000004</v>
      </c>
      <c r="H105" s="450">
        <f t="shared" si="24"/>
        <v>2.66</v>
      </c>
      <c r="I105" s="451">
        <f t="shared" si="25"/>
        <v>0</v>
      </c>
      <c r="J105" s="452"/>
      <c r="K105" s="452"/>
      <c r="L105" s="452"/>
      <c r="M105" s="520"/>
      <c r="N105" s="520"/>
      <c r="O105" s="520"/>
      <c r="P105" s="521">
        <f>(1.5*1.5)*1.5*8+(1.2*1.2)*1.5*10+(24.9*5.03)</f>
        <v>173.84700000000001</v>
      </c>
      <c r="Q105" s="452">
        <f t="shared" si="31"/>
        <v>515.15</v>
      </c>
      <c r="R105" s="520"/>
      <c r="S105" s="452">
        <f t="shared" si="20"/>
        <v>0</v>
      </c>
      <c r="T105" s="452">
        <f>F105+P105-R105</f>
        <v>173.84700000000001</v>
      </c>
      <c r="U105" s="452">
        <f>O105+Q105-S105+L105</f>
        <v>515.15</v>
      </c>
      <c r="V105" s="379"/>
      <c r="W105" s="379"/>
      <c r="X105" s="268"/>
      <c r="Y105" s="335"/>
      <c r="Z105" s="334"/>
      <c r="AA105" s="268"/>
    </row>
    <row r="106" spans="1:28" s="267" customFormat="1">
      <c r="A106" s="449" t="s">
        <v>3917</v>
      </c>
      <c r="B106" s="448" t="s">
        <v>3791</v>
      </c>
      <c r="C106" s="449" t="s">
        <v>3790</v>
      </c>
      <c r="D106" s="447"/>
      <c r="E106" s="447" t="s">
        <v>35</v>
      </c>
      <c r="F106" s="450"/>
      <c r="G106" s="450">
        <f>G61</f>
        <v>71.624053795785713</v>
      </c>
      <c r="H106" s="450">
        <f>ROUND(G106*(1+$X$14),2)</f>
        <v>90.83</v>
      </c>
      <c r="I106" s="451">
        <f t="shared" si="25"/>
        <v>0</v>
      </c>
      <c r="J106" s="452"/>
      <c r="K106" s="452"/>
      <c r="L106" s="452"/>
      <c r="M106" s="520"/>
      <c r="N106" s="520"/>
      <c r="O106" s="520"/>
      <c r="P106" s="521">
        <f>27.4*5.03*0.25</f>
        <v>34.455500000000001</v>
      </c>
      <c r="Q106" s="452">
        <f>ROUND(P106*H106,2)</f>
        <v>3129.59</v>
      </c>
      <c r="R106" s="520"/>
      <c r="S106" s="452">
        <f t="shared" si="20"/>
        <v>0</v>
      </c>
      <c r="T106" s="452">
        <f>F106+P106-R106</f>
        <v>34.455500000000001</v>
      </c>
      <c r="U106" s="452">
        <f>O106+Q106-S106+L106</f>
        <v>3129.59</v>
      </c>
      <c r="V106" s="379"/>
      <c r="W106" s="379"/>
      <c r="X106" s="268"/>
      <c r="Y106" s="335"/>
      <c r="Z106" s="334"/>
      <c r="AA106" s="268"/>
    </row>
    <row r="107" spans="1:28" s="267" customFormat="1" ht="75">
      <c r="A107" s="449" t="s">
        <v>3918</v>
      </c>
      <c r="B107" s="498">
        <v>87508</v>
      </c>
      <c r="C107" s="497" t="s">
        <v>1543</v>
      </c>
      <c r="D107" s="499" t="s">
        <v>12</v>
      </c>
      <c r="E107" s="499" t="s">
        <v>26</v>
      </c>
      <c r="F107" s="500"/>
      <c r="G107" s="500">
        <f>G136</f>
        <v>60.987499999999997</v>
      </c>
      <c r="H107" s="500">
        <f>H136</f>
        <v>77.34</v>
      </c>
      <c r="I107" s="451">
        <f>ROUND(H107*F107,2)</f>
        <v>0</v>
      </c>
      <c r="J107" s="452"/>
      <c r="K107" s="452"/>
      <c r="L107" s="452"/>
      <c r="M107" s="520">
        <f>M136</f>
        <v>76.849999999999994</v>
      </c>
      <c r="N107" s="520">
        <f>N136</f>
        <v>97.45</v>
      </c>
      <c r="O107" s="520"/>
      <c r="P107" s="521">
        <f>(27.4*2+5.03*2)*5.05-P108-(2.5*2.5)</f>
        <v>310.29300000000001</v>
      </c>
      <c r="Q107" s="452">
        <f>ROUND(P107*N107,2)</f>
        <v>30238.05</v>
      </c>
      <c r="R107" s="520"/>
      <c r="S107" s="452">
        <f t="shared" ref="S107:S132" si="32">ROUND(R107*N107,2)</f>
        <v>0</v>
      </c>
      <c r="T107" s="452">
        <f t="shared" ref="T107:T132" si="33">F107+P107-R107</f>
        <v>310.29300000000001</v>
      </c>
      <c r="U107" s="452">
        <f t="shared" ref="U107:U133" si="34">O107+Q107-S107+L107</f>
        <v>30238.05</v>
      </c>
      <c r="V107" s="379"/>
      <c r="W107" s="379"/>
      <c r="X107" s="268"/>
      <c r="Y107" s="335"/>
      <c r="Z107" s="334"/>
      <c r="AA107" s="268"/>
    </row>
    <row r="108" spans="1:28" s="267" customFormat="1" ht="45">
      <c r="A108" s="449" t="s">
        <v>3974</v>
      </c>
      <c r="B108" s="447" t="s">
        <v>2039</v>
      </c>
      <c r="C108" s="449" t="s">
        <v>54</v>
      </c>
      <c r="D108" s="447" t="s">
        <v>1914</v>
      </c>
      <c r="E108" s="447" t="s">
        <v>26</v>
      </c>
      <c r="F108" s="522"/>
      <c r="G108" s="522">
        <f>G147</f>
        <v>96.789500000000004</v>
      </c>
      <c r="H108" s="450">
        <f t="shared" ref="H108:H115" si="35">ROUND(G108*(1+$X$14),2)</f>
        <v>122.74</v>
      </c>
      <c r="I108" s="451">
        <f t="shared" si="25"/>
        <v>0</v>
      </c>
      <c r="J108" s="452"/>
      <c r="K108" s="452"/>
      <c r="L108" s="452"/>
      <c r="M108" s="520">
        <f>M147</f>
        <v>107.82</v>
      </c>
      <c r="N108" s="520">
        <f>N147</f>
        <v>136.72999999999999</v>
      </c>
      <c r="O108" s="520"/>
      <c r="P108" s="521">
        <f>(1.1*2)*5</f>
        <v>11</v>
      </c>
      <c r="Q108" s="452">
        <f t="shared" ref="Q108:Q111" si="36">ROUND(P108*N108,2)</f>
        <v>1504.03</v>
      </c>
      <c r="R108" s="520"/>
      <c r="S108" s="452">
        <f t="shared" si="32"/>
        <v>0</v>
      </c>
      <c r="T108" s="452">
        <f t="shared" si="33"/>
        <v>11</v>
      </c>
      <c r="U108" s="452">
        <f t="shared" si="34"/>
        <v>1504.03</v>
      </c>
      <c r="V108" s="379"/>
      <c r="W108" s="379"/>
      <c r="X108" s="268"/>
      <c r="Y108" s="335"/>
      <c r="Z108" s="334"/>
      <c r="AA108" s="268"/>
    </row>
    <row r="109" spans="1:28" s="267" customFormat="1" ht="60">
      <c r="A109" s="449" t="s">
        <v>3938</v>
      </c>
      <c r="B109" s="526">
        <v>87878</v>
      </c>
      <c r="C109" s="519" t="s">
        <v>1567</v>
      </c>
      <c r="D109" s="524" t="s">
        <v>12</v>
      </c>
      <c r="E109" s="524" t="s">
        <v>26</v>
      </c>
      <c r="F109" s="522"/>
      <c r="G109" s="522">
        <f>G254</f>
        <v>2.9155000000000002</v>
      </c>
      <c r="H109" s="450">
        <f t="shared" si="35"/>
        <v>3.7</v>
      </c>
      <c r="I109" s="451">
        <f t="shared" si="25"/>
        <v>0</v>
      </c>
      <c r="J109" s="452"/>
      <c r="K109" s="452"/>
      <c r="L109" s="452"/>
      <c r="M109" s="520">
        <f>M254</f>
        <v>3.25</v>
      </c>
      <c r="N109" s="520">
        <f>N254</f>
        <v>4.12</v>
      </c>
      <c r="O109" s="520"/>
      <c r="P109" s="521">
        <f>P107*2</f>
        <v>620.58600000000001</v>
      </c>
      <c r="Q109" s="452">
        <f t="shared" si="36"/>
        <v>2556.81</v>
      </c>
      <c r="R109" s="520"/>
      <c r="S109" s="452">
        <f t="shared" si="32"/>
        <v>0</v>
      </c>
      <c r="T109" s="452">
        <f t="shared" si="33"/>
        <v>620.58600000000001</v>
      </c>
      <c r="U109" s="452">
        <f t="shared" si="34"/>
        <v>2556.81</v>
      </c>
      <c r="V109" s="379"/>
      <c r="W109" s="379"/>
      <c r="X109" s="268"/>
      <c r="Y109" s="335"/>
      <c r="Z109" s="334"/>
      <c r="AA109" s="268"/>
    </row>
    <row r="110" spans="1:28" s="267" customFormat="1" ht="75">
      <c r="A110" s="449" t="s">
        <v>3939</v>
      </c>
      <c r="B110" s="526">
        <v>87530</v>
      </c>
      <c r="C110" s="519" t="s">
        <v>1569</v>
      </c>
      <c r="D110" s="524" t="s">
        <v>12</v>
      </c>
      <c r="E110" s="524" t="s">
        <v>26</v>
      </c>
      <c r="F110" s="522"/>
      <c r="G110" s="522">
        <f>G262</f>
        <v>25.151499999999999</v>
      </c>
      <c r="H110" s="450">
        <f t="shared" si="35"/>
        <v>31.89</v>
      </c>
      <c r="I110" s="451">
        <f t="shared" si="25"/>
        <v>0</v>
      </c>
      <c r="J110" s="452"/>
      <c r="K110" s="452"/>
      <c r="L110" s="452"/>
      <c r="M110" s="520">
        <f>M262</f>
        <v>32</v>
      </c>
      <c r="N110" s="520">
        <f>N262</f>
        <v>40.58</v>
      </c>
      <c r="O110" s="520"/>
      <c r="P110" s="521">
        <f>P107*2</f>
        <v>620.58600000000001</v>
      </c>
      <c r="Q110" s="452">
        <f t="shared" si="36"/>
        <v>25183.38</v>
      </c>
      <c r="R110" s="520"/>
      <c r="S110" s="452">
        <f t="shared" si="32"/>
        <v>0</v>
      </c>
      <c r="T110" s="452">
        <f t="shared" si="33"/>
        <v>620.58600000000001</v>
      </c>
      <c r="U110" s="452">
        <f t="shared" si="34"/>
        <v>25183.38</v>
      </c>
      <c r="V110" s="379"/>
      <c r="W110" s="379"/>
      <c r="X110" s="268"/>
      <c r="Y110" s="335"/>
      <c r="Z110" s="334"/>
      <c r="AA110" s="268"/>
    </row>
    <row r="111" spans="1:28" s="38" customFormat="1" ht="60">
      <c r="A111" s="449" t="s">
        <v>3940</v>
      </c>
      <c r="B111" s="526">
        <v>87622</v>
      </c>
      <c r="C111" s="519" t="s">
        <v>109</v>
      </c>
      <c r="D111" s="524" t="s">
        <v>12</v>
      </c>
      <c r="E111" s="524" t="s">
        <v>26</v>
      </c>
      <c r="F111" s="522"/>
      <c r="G111" s="522">
        <f>G271</f>
        <v>25.848500000000001</v>
      </c>
      <c r="H111" s="450">
        <f t="shared" si="35"/>
        <v>32.78</v>
      </c>
      <c r="I111" s="451">
        <f t="shared" si="25"/>
        <v>0</v>
      </c>
      <c r="J111" s="452"/>
      <c r="K111" s="452"/>
      <c r="L111" s="452"/>
      <c r="M111" s="520">
        <f>M271</f>
        <v>35.36</v>
      </c>
      <c r="N111" s="520">
        <f>N271</f>
        <v>44.84</v>
      </c>
      <c r="O111" s="520"/>
      <c r="P111" s="521">
        <v>126.94</v>
      </c>
      <c r="Q111" s="452">
        <f t="shared" si="36"/>
        <v>5691.99</v>
      </c>
      <c r="R111" s="520"/>
      <c r="S111" s="452">
        <f t="shared" si="32"/>
        <v>0</v>
      </c>
      <c r="T111" s="452">
        <f t="shared" si="33"/>
        <v>126.94</v>
      </c>
      <c r="U111" s="452">
        <f t="shared" si="34"/>
        <v>5691.99</v>
      </c>
      <c r="V111" s="453"/>
      <c r="W111" s="453"/>
      <c r="X111" s="42"/>
      <c r="Y111" s="336"/>
      <c r="Z111" s="336"/>
      <c r="AA111" s="42"/>
    </row>
    <row r="112" spans="1:28" s="38" customFormat="1" ht="45">
      <c r="A112" s="449" t="s">
        <v>3941</v>
      </c>
      <c r="B112" s="526">
        <v>83534</v>
      </c>
      <c r="C112" s="519" t="s">
        <v>49</v>
      </c>
      <c r="D112" s="524"/>
      <c r="E112" s="524" t="s">
        <v>35</v>
      </c>
      <c r="F112" s="522"/>
      <c r="G112" s="522">
        <f>G278</f>
        <v>477.23250000000007</v>
      </c>
      <c r="H112" s="450">
        <f t="shared" si="35"/>
        <v>605.17999999999995</v>
      </c>
      <c r="I112" s="451">
        <f t="shared" si="25"/>
        <v>0</v>
      </c>
      <c r="J112" s="452"/>
      <c r="K112" s="452"/>
      <c r="L112" s="452"/>
      <c r="M112" s="520"/>
      <c r="N112" s="520"/>
      <c r="O112" s="520"/>
      <c r="P112" s="521">
        <f>0.1*126.94</f>
        <v>12.694000000000001</v>
      </c>
      <c r="Q112" s="452">
        <f>ROUND(P112*H112*$S$16,2)</f>
        <v>8557.98</v>
      </c>
      <c r="R112" s="520"/>
      <c r="S112" s="452">
        <f>ROUND(R112*H112,2)</f>
        <v>0</v>
      </c>
      <c r="T112" s="452">
        <f>F112+P112-R112</f>
        <v>12.694000000000001</v>
      </c>
      <c r="U112" s="452">
        <f t="shared" si="34"/>
        <v>8557.98</v>
      </c>
      <c r="V112" s="453"/>
      <c r="W112" s="453"/>
      <c r="X112" s="42"/>
      <c r="Y112" s="336"/>
      <c r="Z112" s="336"/>
      <c r="AA112" s="42"/>
    </row>
    <row r="113" spans="1:27" s="267" customFormat="1" ht="105">
      <c r="A113" s="449" t="s">
        <v>3942</v>
      </c>
      <c r="B113" s="448">
        <v>72111</v>
      </c>
      <c r="C113" s="449" t="s">
        <v>2566</v>
      </c>
      <c r="D113" s="447" t="s">
        <v>1914</v>
      </c>
      <c r="E113" s="447" t="s">
        <v>26</v>
      </c>
      <c r="F113" s="522"/>
      <c r="G113" s="522">
        <f>G210</f>
        <v>106.063</v>
      </c>
      <c r="H113" s="450">
        <f t="shared" si="35"/>
        <v>134.5</v>
      </c>
      <c r="I113" s="451">
        <f t="shared" si="25"/>
        <v>0</v>
      </c>
      <c r="J113" s="452"/>
      <c r="K113" s="452"/>
      <c r="L113" s="452"/>
      <c r="M113" s="520">
        <f>M210</f>
        <v>118.16</v>
      </c>
      <c r="N113" s="520">
        <f>N210</f>
        <v>149.84</v>
      </c>
      <c r="O113" s="520"/>
      <c r="P113" s="521">
        <v>126.94</v>
      </c>
      <c r="Q113" s="452">
        <f>ROUND(P113*N113,2)</f>
        <v>19020.689999999999</v>
      </c>
      <c r="R113" s="520"/>
      <c r="S113" s="452">
        <f t="shared" si="32"/>
        <v>0</v>
      </c>
      <c r="T113" s="452">
        <f t="shared" si="33"/>
        <v>126.94</v>
      </c>
      <c r="U113" s="452">
        <f t="shared" si="34"/>
        <v>19020.689999999999</v>
      </c>
      <c r="V113" s="379"/>
      <c r="W113" s="379"/>
      <c r="X113" s="268"/>
      <c r="Y113" s="335"/>
      <c r="Z113" s="334"/>
      <c r="AA113" s="268"/>
    </row>
    <row r="114" spans="1:27" s="267" customFormat="1" ht="75">
      <c r="A114" s="449" t="s">
        <v>3943</v>
      </c>
      <c r="B114" s="448">
        <v>92580</v>
      </c>
      <c r="C114" s="449" t="s">
        <v>1565</v>
      </c>
      <c r="D114" s="447" t="s">
        <v>12</v>
      </c>
      <c r="E114" s="447" t="s">
        <v>26</v>
      </c>
      <c r="F114" s="522"/>
      <c r="G114" s="522">
        <f>G243</f>
        <v>37.4255</v>
      </c>
      <c r="H114" s="450">
        <f t="shared" si="35"/>
        <v>47.46</v>
      </c>
      <c r="I114" s="451">
        <f t="shared" si="25"/>
        <v>0</v>
      </c>
      <c r="J114" s="452"/>
      <c r="K114" s="452"/>
      <c r="L114" s="452"/>
      <c r="M114" s="520">
        <f>M243</f>
        <v>47.35</v>
      </c>
      <c r="N114" s="520">
        <f>N243</f>
        <v>60.04</v>
      </c>
      <c r="O114" s="520"/>
      <c r="P114" s="521">
        <f>P113</f>
        <v>126.94</v>
      </c>
      <c r="Q114" s="452">
        <f>ROUND(P114*N114,2)</f>
        <v>7621.48</v>
      </c>
      <c r="R114" s="520"/>
      <c r="S114" s="452">
        <f t="shared" si="32"/>
        <v>0</v>
      </c>
      <c r="T114" s="452">
        <f t="shared" si="33"/>
        <v>126.94</v>
      </c>
      <c r="U114" s="452">
        <f t="shared" si="34"/>
        <v>7621.48</v>
      </c>
      <c r="V114" s="379"/>
      <c r="W114" s="379"/>
      <c r="X114" s="268"/>
      <c r="Y114" s="335"/>
      <c r="Z114" s="334"/>
      <c r="AA114" s="268"/>
    </row>
    <row r="115" spans="1:27" s="267" customFormat="1" ht="45">
      <c r="A115" s="449" t="s">
        <v>3944</v>
      </c>
      <c r="B115" s="448">
        <v>94216</v>
      </c>
      <c r="C115" s="449" t="s">
        <v>1566</v>
      </c>
      <c r="D115" s="447" t="s">
        <v>12</v>
      </c>
      <c r="E115" s="447" t="s">
        <v>26</v>
      </c>
      <c r="F115" s="522"/>
      <c r="G115" s="522">
        <f>G244</f>
        <v>185.30849999999998</v>
      </c>
      <c r="H115" s="450">
        <f t="shared" si="35"/>
        <v>234.99</v>
      </c>
      <c r="I115" s="451">
        <f>ROUND(H115*F115,2)</f>
        <v>0</v>
      </c>
      <c r="J115" s="452"/>
      <c r="K115" s="452"/>
      <c r="L115" s="452"/>
      <c r="M115" s="520">
        <f>M244</f>
        <v>258.16000000000003</v>
      </c>
      <c r="N115" s="520">
        <f>N244</f>
        <v>327.37</v>
      </c>
      <c r="O115" s="520"/>
      <c r="P115" s="521">
        <f>P114</f>
        <v>126.94</v>
      </c>
      <c r="Q115" s="452">
        <f>ROUND(P115*N115,2)</f>
        <v>41556.35</v>
      </c>
      <c r="R115" s="520"/>
      <c r="S115" s="452">
        <f t="shared" si="32"/>
        <v>0</v>
      </c>
      <c r="T115" s="452">
        <f t="shared" si="33"/>
        <v>126.94</v>
      </c>
      <c r="U115" s="452">
        <f t="shared" si="34"/>
        <v>41556.35</v>
      </c>
      <c r="V115" s="379"/>
      <c r="W115" s="379"/>
      <c r="X115" s="268"/>
      <c r="Y115" s="335"/>
      <c r="Z115" s="334"/>
      <c r="AA115" s="268"/>
    </row>
    <row r="116" spans="1:27" s="38" customFormat="1" ht="45">
      <c r="A116" s="449" t="s">
        <v>3945</v>
      </c>
      <c r="B116" s="448">
        <v>94229</v>
      </c>
      <c r="C116" s="519" t="s">
        <v>4004</v>
      </c>
      <c r="D116" s="447" t="s">
        <v>12</v>
      </c>
      <c r="E116" s="524" t="s">
        <v>52</v>
      </c>
      <c r="F116" s="522"/>
      <c r="G116" s="450">
        <f>(V116-(V116*$Y$15))*$S$16</f>
        <v>139.36578844082158</v>
      </c>
      <c r="H116" s="450">
        <f>ROUND(G116*(1+$X$14),2)</f>
        <v>176.73</v>
      </c>
      <c r="I116" s="523"/>
      <c r="J116" s="452"/>
      <c r="K116" s="452"/>
      <c r="L116" s="452"/>
      <c r="M116" s="520"/>
      <c r="N116" s="520"/>
      <c r="O116" s="520"/>
      <c r="P116" s="521">
        <v>27.4</v>
      </c>
      <c r="Q116" s="452">
        <f>ROUND(P116*H116,2)</f>
        <v>4842.3999999999996</v>
      </c>
      <c r="R116" s="520"/>
      <c r="S116" s="452">
        <f t="shared" si="32"/>
        <v>0</v>
      </c>
      <c r="T116" s="452">
        <f t="shared" si="33"/>
        <v>27.4</v>
      </c>
      <c r="U116" s="452">
        <f t="shared" si="34"/>
        <v>4842.3999999999996</v>
      </c>
      <c r="V116" s="453">
        <v>147.18</v>
      </c>
      <c r="W116" s="453"/>
      <c r="X116" s="42"/>
      <c r="Y116" s="336"/>
      <c r="Z116" s="336"/>
      <c r="AA116" s="42"/>
    </row>
    <row r="117" spans="1:27" s="267" customFormat="1" ht="30">
      <c r="A117" s="449" t="s">
        <v>3946</v>
      </c>
      <c r="B117" s="448">
        <v>100563</v>
      </c>
      <c r="C117" s="449" t="s">
        <v>95</v>
      </c>
      <c r="D117" s="447" t="s">
        <v>1914</v>
      </c>
      <c r="E117" s="447" t="s">
        <v>26</v>
      </c>
      <c r="F117" s="522"/>
      <c r="G117" s="522">
        <f>G248</f>
        <v>47.719000000000001</v>
      </c>
      <c r="H117" s="450">
        <f t="shared" ref="H117:H125" si="37">ROUND(G117*(1+$X$14),2)</f>
        <v>60.51</v>
      </c>
      <c r="I117" s="451">
        <f>ROUND(H117*F117,2)</f>
        <v>0</v>
      </c>
      <c r="J117" s="452"/>
      <c r="K117" s="452"/>
      <c r="L117" s="452"/>
      <c r="M117" s="520">
        <f>M248</f>
        <v>53.16</v>
      </c>
      <c r="N117" s="520">
        <f>N248</f>
        <v>67.41</v>
      </c>
      <c r="O117" s="520"/>
      <c r="P117" s="521">
        <f>27.4*2+5.03*2</f>
        <v>64.86</v>
      </c>
      <c r="Q117" s="452">
        <f t="shared" ref="Q117:Q122" si="38">ROUND(P117*N117,2)</f>
        <v>4372.21</v>
      </c>
      <c r="R117" s="520"/>
      <c r="S117" s="452">
        <f t="shared" si="32"/>
        <v>0</v>
      </c>
      <c r="T117" s="452">
        <f t="shared" si="33"/>
        <v>64.86</v>
      </c>
      <c r="U117" s="452">
        <f t="shared" si="34"/>
        <v>4372.21</v>
      </c>
      <c r="V117" s="379"/>
      <c r="W117" s="379"/>
      <c r="X117" s="268"/>
      <c r="Y117" s="335"/>
      <c r="Z117" s="334"/>
      <c r="AA117" s="268"/>
    </row>
    <row r="118" spans="1:27" s="267" customFormat="1" ht="60">
      <c r="A118" s="449" t="s">
        <v>3947</v>
      </c>
      <c r="B118" s="448">
        <v>71623</v>
      </c>
      <c r="C118" s="449" t="s">
        <v>93</v>
      </c>
      <c r="D118" s="447" t="s">
        <v>1914</v>
      </c>
      <c r="E118" s="447" t="s">
        <v>52</v>
      </c>
      <c r="F118" s="522"/>
      <c r="G118" s="522">
        <f>G246</f>
        <v>26.8855</v>
      </c>
      <c r="H118" s="450">
        <f t="shared" si="37"/>
        <v>34.090000000000003</v>
      </c>
      <c r="I118" s="451">
        <f>ROUND(H118*F118,2)</f>
        <v>0</v>
      </c>
      <c r="J118" s="452"/>
      <c r="K118" s="452"/>
      <c r="L118" s="452"/>
      <c r="M118" s="520">
        <f>M246</f>
        <v>29.95</v>
      </c>
      <c r="N118" s="520">
        <f>N246</f>
        <v>37.979999999999997</v>
      </c>
      <c r="O118" s="520"/>
      <c r="P118" s="521">
        <f>27.4*2+5.03*2</f>
        <v>64.86</v>
      </c>
      <c r="Q118" s="452">
        <f t="shared" si="38"/>
        <v>2463.38</v>
      </c>
      <c r="R118" s="520"/>
      <c r="S118" s="452">
        <f t="shared" si="32"/>
        <v>0</v>
      </c>
      <c r="T118" s="452">
        <f t="shared" si="33"/>
        <v>64.86</v>
      </c>
      <c r="U118" s="452">
        <f t="shared" si="34"/>
        <v>2463.38</v>
      </c>
      <c r="V118" s="379"/>
      <c r="W118" s="379"/>
      <c r="X118" s="268"/>
      <c r="Y118" s="335"/>
      <c r="Z118" s="334"/>
      <c r="AA118" s="268"/>
    </row>
    <row r="119" spans="1:27" s="267" customFormat="1" ht="30">
      <c r="A119" s="449" t="s">
        <v>3948</v>
      </c>
      <c r="B119" s="448">
        <v>88485</v>
      </c>
      <c r="C119" s="449" t="s">
        <v>1742</v>
      </c>
      <c r="D119" s="447" t="s">
        <v>12</v>
      </c>
      <c r="E119" s="447" t="s">
        <v>26</v>
      </c>
      <c r="F119" s="522"/>
      <c r="G119" s="522">
        <f>G1229</f>
        <v>1.5215000000000001</v>
      </c>
      <c r="H119" s="450">
        <f t="shared" si="37"/>
        <v>1.93</v>
      </c>
      <c r="I119" s="451">
        <f t="shared" ref="I119:I125" si="39">ROUND(H119*F119,2)</f>
        <v>0</v>
      </c>
      <c r="J119" s="452"/>
      <c r="K119" s="452"/>
      <c r="L119" s="452"/>
      <c r="M119" s="520">
        <f>M1229</f>
        <v>1.69</v>
      </c>
      <c r="N119" s="520">
        <f>N1229</f>
        <v>2.14</v>
      </c>
      <c r="O119" s="520"/>
      <c r="P119" s="521">
        <f>((27.4*2+5.03*2)*5.05)*2</f>
        <v>655.08600000000001</v>
      </c>
      <c r="Q119" s="452">
        <f t="shared" si="38"/>
        <v>1401.88</v>
      </c>
      <c r="R119" s="520"/>
      <c r="S119" s="452">
        <f t="shared" si="32"/>
        <v>0</v>
      </c>
      <c r="T119" s="452">
        <f t="shared" si="33"/>
        <v>655.08600000000001</v>
      </c>
      <c r="U119" s="452">
        <f t="shared" si="34"/>
        <v>1401.88</v>
      </c>
      <c r="V119" s="379"/>
      <c r="W119" s="379"/>
      <c r="X119" s="268"/>
      <c r="Y119" s="335"/>
      <c r="Z119" s="334"/>
      <c r="AA119" s="268"/>
    </row>
    <row r="120" spans="1:27" s="267" customFormat="1" ht="30">
      <c r="A120" s="449" t="s">
        <v>3949</v>
      </c>
      <c r="B120" s="448">
        <v>88497</v>
      </c>
      <c r="C120" s="449" t="s">
        <v>1741</v>
      </c>
      <c r="D120" s="447" t="s">
        <v>12</v>
      </c>
      <c r="E120" s="447" t="s">
        <v>26</v>
      </c>
      <c r="F120" s="522"/>
      <c r="G120" s="522">
        <f>G1228</f>
        <v>9.7070000000000007</v>
      </c>
      <c r="H120" s="450">
        <f t="shared" si="37"/>
        <v>12.31</v>
      </c>
      <c r="I120" s="451">
        <f t="shared" si="39"/>
        <v>0</v>
      </c>
      <c r="J120" s="452"/>
      <c r="K120" s="452"/>
      <c r="L120" s="452"/>
      <c r="M120" s="520">
        <f>M1228</f>
        <v>10.210000000000001</v>
      </c>
      <c r="N120" s="520">
        <f>N1228</f>
        <v>12.95</v>
      </c>
      <c r="O120" s="520"/>
      <c r="P120" s="521">
        <f t="shared" ref="P120:P121" si="40">((27.4*2+5.03*2)*5.05)*2</f>
        <v>655.08600000000001</v>
      </c>
      <c r="Q120" s="452">
        <f t="shared" si="38"/>
        <v>8483.36</v>
      </c>
      <c r="R120" s="520"/>
      <c r="S120" s="452">
        <f t="shared" si="32"/>
        <v>0</v>
      </c>
      <c r="T120" s="452">
        <f t="shared" si="33"/>
        <v>655.08600000000001</v>
      </c>
      <c r="U120" s="452">
        <f t="shared" si="34"/>
        <v>8483.36</v>
      </c>
      <c r="V120" s="379"/>
      <c r="W120" s="379"/>
      <c r="X120" s="268"/>
      <c r="Y120" s="335"/>
      <c r="Z120" s="334"/>
      <c r="AA120" s="268"/>
    </row>
    <row r="121" spans="1:27" s="267" customFormat="1" ht="30">
      <c r="A121" s="449" t="s">
        <v>3950</v>
      </c>
      <c r="B121" s="448">
        <v>88489</v>
      </c>
      <c r="C121" s="449" t="s">
        <v>339</v>
      </c>
      <c r="D121" s="447" t="s">
        <v>12</v>
      </c>
      <c r="E121" s="447" t="s">
        <v>26</v>
      </c>
      <c r="F121" s="522"/>
      <c r="G121" s="522">
        <f>G1230</f>
        <v>9.0015000000000001</v>
      </c>
      <c r="H121" s="450">
        <f t="shared" si="37"/>
        <v>11.41</v>
      </c>
      <c r="I121" s="451">
        <f t="shared" si="39"/>
        <v>0</v>
      </c>
      <c r="J121" s="452"/>
      <c r="K121" s="452"/>
      <c r="L121" s="452"/>
      <c r="M121" s="520">
        <f>M1230</f>
        <v>10.029999999999999</v>
      </c>
      <c r="N121" s="520">
        <f>N1230</f>
        <v>12.72</v>
      </c>
      <c r="O121" s="520"/>
      <c r="P121" s="521">
        <f t="shared" si="40"/>
        <v>655.08600000000001</v>
      </c>
      <c r="Q121" s="452">
        <f t="shared" si="38"/>
        <v>8332.69</v>
      </c>
      <c r="R121" s="520"/>
      <c r="S121" s="452">
        <f t="shared" si="32"/>
        <v>0</v>
      </c>
      <c r="T121" s="452">
        <f t="shared" si="33"/>
        <v>655.08600000000001</v>
      </c>
      <c r="U121" s="452">
        <f t="shared" si="34"/>
        <v>8332.69</v>
      </c>
      <c r="V121" s="379"/>
      <c r="W121" s="379"/>
      <c r="X121" s="268"/>
      <c r="Y121" s="335"/>
      <c r="Z121" s="334"/>
      <c r="AA121" s="268"/>
    </row>
    <row r="122" spans="1:27" s="267" customFormat="1" ht="45">
      <c r="A122" s="449" t="s">
        <v>3951</v>
      </c>
      <c r="B122" s="448">
        <v>100721</v>
      </c>
      <c r="C122" s="449" t="s">
        <v>3437</v>
      </c>
      <c r="D122" s="447" t="s">
        <v>12</v>
      </c>
      <c r="E122" s="447" t="s">
        <v>26</v>
      </c>
      <c r="F122" s="522"/>
      <c r="G122" s="522">
        <f>G1237</f>
        <v>14.186500000000001</v>
      </c>
      <c r="H122" s="450">
        <f t="shared" si="37"/>
        <v>17.989999999999998</v>
      </c>
      <c r="I122" s="451">
        <f t="shared" si="39"/>
        <v>0</v>
      </c>
      <c r="J122" s="452"/>
      <c r="K122" s="452"/>
      <c r="L122" s="452"/>
      <c r="M122" s="520">
        <f>M1237</f>
        <v>15.8</v>
      </c>
      <c r="N122" s="520">
        <f>N1237</f>
        <v>20.04</v>
      </c>
      <c r="O122" s="520"/>
      <c r="P122" s="521">
        <v>126.94</v>
      </c>
      <c r="Q122" s="452">
        <f t="shared" si="38"/>
        <v>2543.88</v>
      </c>
      <c r="R122" s="520"/>
      <c r="S122" s="452">
        <f t="shared" si="32"/>
        <v>0</v>
      </c>
      <c r="T122" s="452">
        <f t="shared" si="33"/>
        <v>126.94</v>
      </c>
      <c r="U122" s="452">
        <f t="shared" si="34"/>
        <v>2543.88</v>
      </c>
      <c r="V122" s="379"/>
      <c r="W122" s="379"/>
      <c r="X122" s="268"/>
      <c r="Y122" s="335"/>
      <c r="Z122" s="334"/>
      <c r="AA122" s="268"/>
    </row>
    <row r="123" spans="1:27" s="267" customFormat="1" ht="24.75" customHeight="1">
      <c r="A123" s="449" t="s">
        <v>3952</v>
      </c>
      <c r="B123" s="448">
        <v>102491</v>
      </c>
      <c r="C123" s="449" t="s">
        <v>3788</v>
      </c>
      <c r="D123" s="447" t="s">
        <v>12</v>
      </c>
      <c r="E123" s="447" t="s">
        <v>26</v>
      </c>
      <c r="F123" s="522"/>
      <c r="G123" s="522">
        <f>G1239</f>
        <v>12.300323358107569</v>
      </c>
      <c r="H123" s="450">
        <f t="shared" si="37"/>
        <v>15.6</v>
      </c>
      <c r="I123" s="451">
        <f t="shared" si="39"/>
        <v>0</v>
      </c>
      <c r="J123" s="452"/>
      <c r="K123" s="452"/>
      <c r="L123" s="452"/>
      <c r="M123" s="520"/>
      <c r="N123" s="520"/>
      <c r="O123" s="520"/>
      <c r="P123" s="521">
        <v>126.94</v>
      </c>
      <c r="Q123" s="452">
        <f>ROUND(P123*H123,2)</f>
        <v>1980.26</v>
      </c>
      <c r="R123" s="520"/>
      <c r="S123" s="452">
        <f t="shared" si="32"/>
        <v>0</v>
      </c>
      <c r="T123" s="452">
        <f t="shared" si="33"/>
        <v>126.94</v>
      </c>
      <c r="U123" s="452">
        <f t="shared" si="34"/>
        <v>1980.26</v>
      </c>
      <c r="V123" s="379"/>
      <c r="W123" s="379"/>
      <c r="X123" s="268"/>
      <c r="Y123" s="335"/>
      <c r="Z123" s="334"/>
      <c r="AA123" s="268"/>
    </row>
    <row r="124" spans="1:27" s="267" customFormat="1">
      <c r="A124" s="449" t="s">
        <v>3953</v>
      </c>
      <c r="B124" s="447" t="s">
        <v>2150</v>
      </c>
      <c r="C124" s="449" t="s">
        <v>163</v>
      </c>
      <c r="D124" s="447" t="s">
        <v>70</v>
      </c>
      <c r="E124" s="447" t="s">
        <v>26</v>
      </c>
      <c r="F124" s="522"/>
      <c r="G124" s="522">
        <f>G444</f>
        <v>221.73950000000002</v>
      </c>
      <c r="H124" s="450">
        <f t="shared" si="37"/>
        <v>281.19</v>
      </c>
      <c r="I124" s="451">
        <f t="shared" si="39"/>
        <v>0</v>
      </c>
      <c r="J124" s="452"/>
      <c r="K124" s="452"/>
      <c r="L124" s="452"/>
      <c r="M124" s="520">
        <f>M444</f>
        <v>247.02</v>
      </c>
      <c r="N124" s="520">
        <f>N444</f>
        <v>313.25</v>
      </c>
      <c r="O124" s="520"/>
      <c r="P124" s="521">
        <f>27.4*0.3</f>
        <v>8.2199999999999989</v>
      </c>
      <c r="Q124" s="452">
        <f>ROUND(P124*N124,2)</f>
        <v>2574.92</v>
      </c>
      <c r="R124" s="520"/>
      <c r="S124" s="452">
        <f t="shared" si="32"/>
        <v>0</v>
      </c>
      <c r="T124" s="452">
        <f t="shared" si="33"/>
        <v>8.2199999999999989</v>
      </c>
      <c r="U124" s="452">
        <f t="shared" si="34"/>
        <v>2574.92</v>
      </c>
      <c r="V124" s="379"/>
      <c r="W124" s="379"/>
      <c r="X124" s="268"/>
      <c r="Y124" s="335"/>
      <c r="Z124" s="334"/>
      <c r="AA124" s="268"/>
    </row>
    <row r="125" spans="1:27" s="267" customFormat="1" ht="30">
      <c r="A125" s="449" t="s">
        <v>3961</v>
      </c>
      <c r="B125" s="448">
        <v>466</v>
      </c>
      <c r="C125" s="449" t="s">
        <v>3096</v>
      </c>
      <c r="D125" s="447" t="s">
        <v>44</v>
      </c>
      <c r="E125" s="447" t="s">
        <v>17</v>
      </c>
      <c r="F125" s="450"/>
      <c r="G125" s="522">
        <f>G339</f>
        <v>6535.65</v>
      </c>
      <c r="H125" s="450">
        <f t="shared" si="37"/>
        <v>8287.86</v>
      </c>
      <c r="I125" s="451">
        <f t="shared" si="39"/>
        <v>0</v>
      </c>
      <c r="J125" s="452"/>
      <c r="K125" s="452"/>
      <c r="L125" s="452"/>
      <c r="M125" s="520">
        <f>M339</f>
        <v>7280.77</v>
      </c>
      <c r="N125" s="520">
        <f>N339</f>
        <v>9232.74</v>
      </c>
      <c r="O125" s="520"/>
      <c r="P125" s="521">
        <v>1</v>
      </c>
      <c r="Q125" s="452">
        <f>ROUND(P125*N125,2)</f>
        <v>9232.74</v>
      </c>
      <c r="R125" s="520"/>
      <c r="S125" s="452">
        <f t="shared" si="32"/>
        <v>0</v>
      </c>
      <c r="T125" s="452">
        <f t="shared" si="33"/>
        <v>1</v>
      </c>
      <c r="U125" s="452">
        <f t="shared" si="34"/>
        <v>9232.74</v>
      </c>
      <c r="V125" s="379"/>
      <c r="W125" s="379"/>
      <c r="X125" s="268"/>
      <c r="Y125" s="335"/>
      <c r="Z125" s="334"/>
      <c r="AA125" s="268"/>
    </row>
    <row r="126" spans="1:27" s="38" customFormat="1" ht="30">
      <c r="A126" s="449" t="s">
        <v>3962</v>
      </c>
      <c r="B126" s="448">
        <v>465</v>
      </c>
      <c r="C126" s="449" t="s">
        <v>2988</v>
      </c>
      <c r="D126" s="447" t="s">
        <v>44</v>
      </c>
      <c r="E126" s="447" t="s">
        <v>17</v>
      </c>
      <c r="F126" s="450"/>
      <c r="G126" s="522">
        <v>6323.8980000000001</v>
      </c>
      <c r="H126" s="450">
        <v>8019.34</v>
      </c>
      <c r="I126" s="451"/>
      <c r="J126" s="452"/>
      <c r="K126" s="452"/>
      <c r="L126" s="452"/>
      <c r="M126" s="452">
        <v>7044.88</v>
      </c>
      <c r="N126" s="452">
        <v>8933.61</v>
      </c>
      <c r="O126" s="520"/>
      <c r="P126" s="521">
        <v>1</v>
      </c>
      <c r="Q126" s="452">
        <f>ROUND(P126*N126,2)</f>
        <v>8933.61</v>
      </c>
      <c r="R126" s="520"/>
      <c r="S126" s="452">
        <f t="shared" si="32"/>
        <v>0</v>
      </c>
      <c r="T126" s="452">
        <f t="shared" ref="T126" si="41">F126+P126-R126</f>
        <v>1</v>
      </c>
      <c r="U126" s="452">
        <f t="shared" ref="U126" si="42">O126+Q126-S126+L126</f>
        <v>8933.61</v>
      </c>
      <c r="V126" s="453"/>
      <c r="W126" s="453"/>
      <c r="X126" s="42"/>
      <c r="Y126" s="336"/>
      <c r="Z126" s="336"/>
      <c r="AA126" s="42"/>
    </row>
    <row r="127" spans="1:27" s="38" customFormat="1" ht="30">
      <c r="A127" s="449" t="s">
        <v>3975</v>
      </c>
      <c r="B127" s="448">
        <v>102116</v>
      </c>
      <c r="C127" s="449" t="s">
        <v>2477</v>
      </c>
      <c r="D127" s="447" t="s">
        <v>12</v>
      </c>
      <c r="E127" s="447" t="s">
        <v>17</v>
      </c>
      <c r="F127" s="450"/>
      <c r="G127" s="450">
        <f>G354</f>
        <v>1221.9855</v>
      </c>
      <c r="H127" s="450">
        <f>ROUND(G127*(1+$X$14),2)</f>
        <v>1549.6</v>
      </c>
      <c r="I127" s="451">
        <f>ROUND(H127*F127,2)</f>
        <v>0</v>
      </c>
      <c r="J127" s="452"/>
      <c r="K127" s="452"/>
      <c r="L127" s="452"/>
      <c r="M127" s="520">
        <f>M354</f>
        <v>1361.3</v>
      </c>
      <c r="N127" s="520">
        <f>N354</f>
        <v>1726.26</v>
      </c>
      <c r="O127" s="520"/>
      <c r="P127" s="521">
        <v>2</v>
      </c>
      <c r="Q127" s="452">
        <f>ROUND(P127*N127,2)</f>
        <v>3452.52</v>
      </c>
      <c r="R127" s="520"/>
      <c r="S127" s="452">
        <f t="shared" si="32"/>
        <v>0</v>
      </c>
      <c r="T127" s="452">
        <f t="shared" si="33"/>
        <v>2</v>
      </c>
      <c r="U127" s="452">
        <f t="shared" si="34"/>
        <v>3452.52</v>
      </c>
      <c r="V127" s="453"/>
      <c r="W127" s="453"/>
      <c r="X127" s="42"/>
      <c r="Y127" s="336"/>
      <c r="Z127" s="336"/>
      <c r="AA127" s="42"/>
    </row>
    <row r="128" spans="1:27" s="38" customFormat="1" ht="30">
      <c r="A128" s="449" t="s">
        <v>4005</v>
      </c>
      <c r="B128" s="447" t="s">
        <v>2045</v>
      </c>
      <c r="C128" s="449" t="s">
        <v>43</v>
      </c>
      <c r="D128" s="447" t="s">
        <v>1914</v>
      </c>
      <c r="E128" s="447"/>
      <c r="F128" s="450"/>
      <c r="G128" s="450">
        <f>G70</f>
        <v>96.72999999999999</v>
      </c>
      <c r="H128" s="450">
        <f t="shared" ref="H128" si="43">ROUND(G128*(1+$X$14),2)</f>
        <v>122.66</v>
      </c>
      <c r="I128" s="451"/>
      <c r="J128" s="452"/>
      <c r="K128" s="452"/>
      <c r="L128" s="452"/>
      <c r="M128" s="520"/>
      <c r="N128" s="520"/>
      <c r="O128" s="520"/>
      <c r="P128" s="521">
        <f>8*3+10*2.4</f>
        <v>48</v>
      </c>
      <c r="Q128" s="452">
        <f>ROUND(P128*H128*$S$16,2)</f>
        <v>6558.92</v>
      </c>
      <c r="R128" s="520"/>
      <c r="S128" s="452">
        <f t="shared" si="32"/>
        <v>0</v>
      </c>
      <c r="T128" s="452">
        <f t="shared" si="33"/>
        <v>48</v>
      </c>
      <c r="U128" s="452"/>
      <c r="V128" s="453"/>
      <c r="W128" s="453"/>
      <c r="X128" s="42"/>
      <c r="Y128" s="336"/>
      <c r="Z128" s="336"/>
      <c r="AA128" s="42"/>
    </row>
    <row r="129" spans="1:28" s="38" customFormat="1" ht="75">
      <c r="A129" s="449" t="s">
        <v>4014</v>
      </c>
      <c r="B129" s="447" t="str">
        <f>A153</f>
        <v>6.1.1.1</v>
      </c>
      <c r="C129" s="449" t="s">
        <v>1551</v>
      </c>
      <c r="D129" s="447" t="s">
        <v>12</v>
      </c>
      <c r="E129" s="447" t="s">
        <v>26</v>
      </c>
      <c r="F129" s="450"/>
      <c r="G129" s="450">
        <f>G153</f>
        <v>202.05349999999999</v>
      </c>
      <c r="H129" s="450">
        <f t="shared" ref="H129:H131" si="44">ROUND(G129*(1+$X$14),2)</f>
        <v>256.22000000000003</v>
      </c>
      <c r="I129" s="451"/>
      <c r="J129" s="452"/>
      <c r="K129" s="452"/>
      <c r="L129" s="452"/>
      <c r="M129" s="452">
        <v>300.26</v>
      </c>
      <c r="N129" s="452">
        <v>380.76</v>
      </c>
      <c r="O129" s="520"/>
      <c r="P129" s="521">
        <f>0.2*6*4*18</f>
        <v>86.4</v>
      </c>
      <c r="Q129" s="452">
        <f t="shared" ref="Q129:Q130" si="45">ROUND(P129*N129,2)</f>
        <v>32897.660000000003</v>
      </c>
      <c r="R129" s="520"/>
      <c r="S129" s="452">
        <f t="shared" si="32"/>
        <v>0</v>
      </c>
      <c r="T129" s="452">
        <f t="shared" ref="T129:T130" si="46">F129+P129-R129</f>
        <v>86.4</v>
      </c>
      <c r="U129" s="452">
        <f t="shared" ref="U129:U130" si="47">O129+Q129-S129+L129</f>
        <v>32897.660000000003</v>
      </c>
      <c r="V129" s="453"/>
      <c r="W129" s="453"/>
      <c r="X129" s="42"/>
      <c r="Y129" s="336"/>
      <c r="Z129" s="336"/>
      <c r="AA129" s="42"/>
    </row>
    <row r="130" spans="1:28" s="38" customFormat="1" ht="60">
      <c r="A130" s="449" t="s">
        <v>4015</v>
      </c>
      <c r="B130" s="447" t="str">
        <f>A164</f>
        <v>6.1.2.1</v>
      </c>
      <c r="C130" s="449" t="s">
        <v>1832</v>
      </c>
      <c r="D130" s="447" t="s">
        <v>12</v>
      </c>
      <c r="E130" s="447" t="s">
        <v>26</v>
      </c>
      <c r="F130" s="450"/>
      <c r="G130" s="450">
        <f>G164</f>
        <v>86.716999999999999</v>
      </c>
      <c r="H130" s="450">
        <f t="shared" si="44"/>
        <v>109.97</v>
      </c>
      <c r="I130" s="451"/>
      <c r="J130" s="452"/>
      <c r="K130" s="452"/>
      <c r="L130" s="452"/>
      <c r="M130" s="452">
        <v>124.60000000000001</v>
      </c>
      <c r="N130" s="452">
        <v>158.01</v>
      </c>
      <c r="O130" s="520"/>
      <c r="P130" s="521">
        <f>(2*27.4+7*5.03)*1+(8*3.4+5.03)*1+(2*27.4+2*5.03)*0.95</f>
        <v>183.85699999999997</v>
      </c>
      <c r="Q130" s="452">
        <f t="shared" si="45"/>
        <v>29051.24</v>
      </c>
      <c r="R130" s="520"/>
      <c r="S130" s="452">
        <f t="shared" si="32"/>
        <v>0</v>
      </c>
      <c r="T130" s="452">
        <f t="shared" si="46"/>
        <v>183.85699999999997</v>
      </c>
      <c r="U130" s="452">
        <f t="shared" si="47"/>
        <v>29051.24</v>
      </c>
      <c r="V130" s="453"/>
      <c r="W130" s="453"/>
      <c r="X130" s="42"/>
      <c r="Y130" s="336"/>
      <c r="Z130" s="336"/>
      <c r="AA130" s="42"/>
    </row>
    <row r="131" spans="1:28" s="38" customFormat="1" ht="30">
      <c r="A131" s="449" t="s">
        <v>4016</v>
      </c>
      <c r="B131" s="448">
        <v>93196</v>
      </c>
      <c r="C131" s="449" t="s">
        <v>1548</v>
      </c>
      <c r="D131" s="447" t="s">
        <v>12</v>
      </c>
      <c r="E131" s="447" t="s">
        <v>52</v>
      </c>
      <c r="F131" s="450"/>
      <c r="G131" s="450">
        <f>G143</f>
        <v>57.808500000000002</v>
      </c>
      <c r="H131" s="450">
        <f t="shared" si="44"/>
        <v>73.31</v>
      </c>
      <c r="I131" s="451"/>
      <c r="J131" s="452"/>
      <c r="K131" s="452"/>
      <c r="L131" s="452"/>
      <c r="M131" s="452">
        <v>64.400000000000006</v>
      </c>
      <c r="N131" s="452">
        <v>81.67</v>
      </c>
      <c r="O131" s="520"/>
      <c r="P131" s="521">
        <f>(27.4/2+5.03-2.5)</f>
        <v>16.23</v>
      </c>
      <c r="Q131" s="452">
        <f t="shared" ref="Q131" si="48">ROUND(P131*N131,2)</f>
        <v>1325.5</v>
      </c>
      <c r="R131" s="520"/>
      <c r="S131" s="452">
        <f t="shared" si="32"/>
        <v>0</v>
      </c>
      <c r="T131" s="452">
        <f t="shared" ref="T131" si="49">F131+P131-R131</f>
        <v>16.23</v>
      </c>
      <c r="U131" s="452">
        <f t="shared" ref="U131" si="50">O131+Q131-S131+L131</f>
        <v>1325.5</v>
      </c>
      <c r="V131" s="453"/>
      <c r="W131" s="453"/>
      <c r="X131" s="42"/>
      <c r="Y131" s="336"/>
      <c r="Z131" s="336"/>
      <c r="AA131" s="42"/>
    </row>
    <row r="132" spans="1:28" s="38" customFormat="1" ht="60">
      <c r="A132" s="456" t="s">
        <v>4194</v>
      </c>
      <c r="B132" s="448">
        <v>11946</v>
      </c>
      <c r="C132" s="449" t="s">
        <v>4017</v>
      </c>
      <c r="D132" s="447" t="s">
        <v>44</v>
      </c>
      <c r="E132" s="447" t="s">
        <v>26</v>
      </c>
      <c r="F132" s="450"/>
      <c r="G132" s="450">
        <f>G225</f>
        <v>266.06700000000001</v>
      </c>
      <c r="H132" s="450">
        <f>ROUND(G132*(1+$X$14),2)</f>
        <v>337.4</v>
      </c>
      <c r="I132" s="451">
        <f>ROUND(H132*F132,2)</f>
        <v>0</v>
      </c>
      <c r="J132" s="452"/>
      <c r="K132" s="452"/>
      <c r="L132" s="452"/>
      <c r="M132" s="452">
        <v>296.39999999999998</v>
      </c>
      <c r="N132" s="452">
        <v>375.86</v>
      </c>
      <c r="O132" s="520"/>
      <c r="P132" s="521">
        <f>2.5*2.8</f>
        <v>7</v>
      </c>
      <c r="Q132" s="452">
        <f>ROUND(P132*N132,2)</f>
        <v>2631.02</v>
      </c>
      <c r="R132" s="520"/>
      <c r="S132" s="452">
        <f t="shared" si="32"/>
        <v>0</v>
      </c>
      <c r="T132" s="452">
        <f t="shared" si="33"/>
        <v>7</v>
      </c>
      <c r="U132" s="452">
        <f t="shared" si="34"/>
        <v>2631.02</v>
      </c>
      <c r="V132" s="453"/>
      <c r="W132" s="453"/>
      <c r="X132" s="42"/>
      <c r="Y132" s="336"/>
      <c r="Z132" s="336"/>
      <c r="AA132" s="42"/>
    </row>
    <row r="133" spans="1:28" s="267" customFormat="1" ht="60">
      <c r="A133" s="556" t="s">
        <v>4191</v>
      </c>
      <c r="B133" s="557">
        <v>92771</v>
      </c>
      <c r="C133" s="556" t="s">
        <v>1558</v>
      </c>
      <c r="D133" s="558" t="s">
        <v>12</v>
      </c>
      <c r="E133" s="558" t="s">
        <v>45</v>
      </c>
      <c r="F133" s="559"/>
      <c r="G133" s="559">
        <f t="shared" ref="G133" si="51">Y133-(Y133*$Y$15)</f>
        <v>11.721499999999999</v>
      </c>
      <c r="H133" s="559">
        <f>ROUND(G133*(1+$X$14),2)</f>
        <v>14.86</v>
      </c>
      <c r="I133" s="560">
        <f t="shared" ref="I133" si="52">ROUND(H133*F133,2)</f>
        <v>0</v>
      </c>
      <c r="J133" s="561"/>
      <c r="K133" s="561"/>
      <c r="L133" s="561"/>
      <c r="M133" s="561">
        <v>13.06</v>
      </c>
      <c r="N133" s="561">
        <v>16.559999999999999</v>
      </c>
      <c r="O133" s="561"/>
      <c r="P133" s="562">
        <f>(27.4*5.03*0.2*80)</f>
        <v>2205.152</v>
      </c>
      <c r="Q133" s="561">
        <f>ROUND(P133*N133,2)</f>
        <v>36517.32</v>
      </c>
      <c r="R133" s="561"/>
      <c r="S133" s="561">
        <f t="shared" ref="S133" si="53">ROUND(R133*N133,2)</f>
        <v>0</v>
      </c>
      <c r="T133" s="561">
        <f>F133+P133-R133</f>
        <v>2205.152</v>
      </c>
      <c r="U133" s="561">
        <f t="shared" si="34"/>
        <v>36517.32</v>
      </c>
      <c r="V133" s="379"/>
      <c r="W133" s="379"/>
      <c r="X133" s="267" t="e">
        <f>IF(B133&lt;&gt;0,VLOOKUP(B133,#REF!,4,FALSE),"")</f>
        <v>#REF!</v>
      </c>
      <c r="Y133" s="350" t="s">
        <v>3035</v>
      </c>
      <c r="Z133" s="334">
        <f t="shared" ref="Z133" si="54">F133*G133</f>
        <v>0</v>
      </c>
      <c r="AB133" s="267" t="e">
        <f>IF(B133&lt;&gt;0,VLOOKUP(B133,#REF!,2,FALSE),"")</f>
        <v>#REF!</v>
      </c>
    </row>
    <row r="134" spans="1:28" ht="34.5" customHeight="1">
      <c r="A134" s="151"/>
      <c r="B134" s="152"/>
      <c r="C134" s="151"/>
      <c r="D134" s="152"/>
      <c r="E134" s="152"/>
      <c r="F134" s="145"/>
      <c r="G134" s="145"/>
      <c r="H134" s="145"/>
      <c r="I134" s="446"/>
      <c r="J134" s="148"/>
      <c r="K134" s="148"/>
      <c r="L134" s="148"/>
      <c r="M134" s="462"/>
      <c r="N134" s="462"/>
      <c r="O134" s="462"/>
      <c r="P134" s="496"/>
      <c r="Q134" s="462"/>
      <c r="R134" s="462"/>
      <c r="S134" s="462"/>
      <c r="T134" s="462"/>
      <c r="U134" s="462"/>
      <c r="V134" s="379"/>
      <c r="W134" s="379"/>
      <c r="Z134" s="334">
        <f t="shared" si="29"/>
        <v>0</v>
      </c>
    </row>
    <row r="135" spans="1:28" s="23" customFormat="1" ht="15" customHeight="1">
      <c r="A135" s="140" t="s">
        <v>707</v>
      </c>
      <c r="B135" s="140"/>
      <c r="C135" s="140" t="s">
        <v>51</v>
      </c>
      <c r="D135" s="464"/>
      <c r="E135" s="464"/>
      <c r="F135" s="464"/>
      <c r="G135" s="148"/>
      <c r="H135" s="464"/>
      <c r="I135" s="472">
        <f>ROUND(SUM(I136:I148),2)</f>
        <v>313910.87</v>
      </c>
      <c r="J135" s="440"/>
      <c r="K135" s="440"/>
      <c r="L135" s="440">
        <f>ROUND(SUM(L136:L148),2)</f>
        <v>165643.94</v>
      </c>
      <c r="M135" s="440"/>
      <c r="N135" s="440"/>
      <c r="O135" s="440">
        <f>ROUND(SUM(O136:O148),2)</f>
        <v>220020.44</v>
      </c>
      <c r="P135" s="440"/>
      <c r="Q135" s="440">
        <f>ROUND(SUM(Q136:Q148),2)</f>
        <v>43872.53</v>
      </c>
      <c r="R135" s="440"/>
      <c r="S135" s="440">
        <f>ROUND(SUM(S136:S148),2)</f>
        <v>18192.349999999999</v>
      </c>
      <c r="T135" s="148"/>
      <c r="U135" s="440">
        <f t="shared" ref="U135:U150" si="55">O135+Q135-S135+L135</f>
        <v>411344.55999999994</v>
      </c>
      <c r="V135" s="330"/>
      <c r="W135" s="330"/>
      <c r="Y135" s="347"/>
      <c r="Z135" s="334">
        <f t="shared" si="29"/>
        <v>0</v>
      </c>
    </row>
    <row r="136" spans="1:28" s="38" customFormat="1" ht="75">
      <c r="A136" s="497" t="s">
        <v>708</v>
      </c>
      <c r="B136" s="498">
        <v>87508</v>
      </c>
      <c r="C136" s="497" t="s">
        <v>1543</v>
      </c>
      <c r="D136" s="499" t="s">
        <v>12</v>
      </c>
      <c r="E136" s="499" t="s">
        <v>26</v>
      </c>
      <c r="F136" s="500">
        <v>1852.06</v>
      </c>
      <c r="G136" s="500">
        <f t="shared" si="28"/>
        <v>60.987499999999997</v>
      </c>
      <c r="H136" s="500">
        <f t="shared" ref="H136:H148" si="56">ROUND(G136*(1+$X$14),2)</f>
        <v>77.34</v>
      </c>
      <c r="I136" s="501">
        <f t="shared" ref="I136:I148" si="57">ROUND(H136*F136,2)</f>
        <v>143238.32</v>
      </c>
      <c r="J136" s="452">
        <v>60.987499999999997</v>
      </c>
      <c r="K136" s="452">
        <v>77.34</v>
      </c>
      <c r="L136" s="452">
        <v>114590.66</v>
      </c>
      <c r="M136" s="502">
        <v>76.849999999999994</v>
      </c>
      <c r="N136" s="502">
        <v>97.45</v>
      </c>
      <c r="O136" s="502">
        <v>36096.65</v>
      </c>
      <c r="P136" s="503">
        <f>1986.36-F136</f>
        <v>134.29999999999995</v>
      </c>
      <c r="Q136" s="502">
        <f>ROUND(P136*N136,2)</f>
        <v>13087.54</v>
      </c>
      <c r="R136" s="502"/>
      <c r="S136" s="502">
        <f>ROUND(R136*N136,2)</f>
        <v>0</v>
      </c>
      <c r="T136" s="502">
        <f t="shared" ref="T136:T148" si="58">F136+P136-R136</f>
        <v>1986.36</v>
      </c>
      <c r="U136" s="452">
        <f t="shared" si="55"/>
        <v>163774.85</v>
      </c>
      <c r="V136" s="478">
        <f>266.97+254.14+645.95+287.36</f>
        <v>1454.42</v>
      </c>
      <c r="W136" s="478"/>
      <c r="X136" s="38" t="e">
        <f>IF(B136&lt;&gt;0,VLOOKUP(B136,#REF!,4,FALSE),"")</f>
        <v>#REF!</v>
      </c>
      <c r="Y136" s="351" t="s">
        <v>3179</v>
      </c>
      <c r="Z136" s="336">
        <f t="shared" si="29"/>
        <v>112952.50924999999</v>
      </c>
      <c r="AB136" s="38" t="e">
        <f>IF(B136&lt;&gt;0,VLOOKUP(B136,#REF!,2,FALSE),"")</f>
        <v>#REF!</v>
      </c>
    </row>
    <row r="137" spans="1:28" s="38" customFormat="1" ht="30">
      <c r="A137" s="449" t="s">
        <v>709</v>
      </c>
      <c r="B137" s="448">
        <v>93202</v>
      </c>
      <c r="C137" s="449" t="s">
        <v>1544</v>
      </c>
      <c r="D137" s="447" t="s">
        <v>12</v>
      </c>
      <c r="E137" s="447" t="s">
        <v>52</v>
      </c>
      <c r="F137" s="450">
        <v>783.2</v>
      </c>
      <c r="G137" s="450">
        <f t="shared" si="28"/>
        <v>17.713999999999999</v>
      </c>
      <c r="H137" s="450">
        <f t="shared" si="56"/>
        <v>22.46</v>
      </c>
      <c r="I137" s="451">
        <f t="shared" si="57"/>
        <v>17590.669999999998</v>
      </c>
      <c r="J137" s="452">
        <v>17.713999999999999</v>
      </c>
      <c r="K137" s="452">
        <v>22.46</v>
      </c>
      <c r="L137" s="452">
        <v>14072.54</v>
      </c>
      <c r="M137" s="452">
        <v>19.73</v>
      </c>
      <c r="N137" s="452">
        <v>25.02</v>
      </c>
      <c r="O137" s="452">
        <v>3919.13</v>
      </c>
      <c r="P137" s="493"/>
      <c r="Q137" s="452">
        <f t="shared" ref="Q137:Q148" si="59">ROUND(P137*N137,2)</f>
        <v>0</v>
      </c>
      <c r="R137" s="452">
        <f>F137-664.52</f>
        <v>118.68000000000006</v>
      </c>
      <c r="S137" s="452">
        <f t="shared" ref="S137:S148" si="60">ROUND(R137*N137,2)</f>
        <v>2969.37</v>
      </c>
      <c r="T137" s="452">
        <f t="shared" si="58"/>
        <v>664.52</v>
      </c>
      <c r="U137" s="452">
        <f t="shared" si="55"/>
        <v>15022.300000000001</v>
      </c>
      <c r="V137" s="453"/>
      <c r="W137" s="453"/>
      <c r="X137" s="38" t="e">
        <f>IF(B137&lt;&gt;0,VLOOKUP(B137,#REF!,4,FALSE),"")</f>
        <v>#REF!</v>
      </c>
      <c r="Y137" s="351" t="s">
        <v>3137</v>
      </c>
      <c r="Z137" s="336">
        <f t="shared" si="29"/>
        <v>13873.604799999999</v>
      </c>
      <c r="AB137" s="38" t="e">
        <f>IF(B137&lt;&gt;0,VLOOKUP(B137,#REF!,2,FALSE),"")</f>
        <v>#REF!</v>
      </c>
    </row>
    <row r="138" spans="1:28" s="38" customFormat="1" ht="75">
      <c r="A138" s="456" t="s">
        <v>3548</v>
      </c>
      <c r="B138" s="448">
        <v>96363</v>
      </c>
      <c r="C138" s="449" t="s">
        <v>3737</v>
      </c>
      <c r="D138" s="447" t="s">
        <v>12</v>
      </c>
      <c r="E138" s="447" t="s">
        <v>26</v>
      </c>
      <c r="F138" s="450">
        <v>124.32</v>
      </c>
      <c r="G138" s="450">
        <f t="shared" si="28"/>
        <v>86.674499999999995</v>
      </c>
      <c r="H138" s="450">
        <f t="shared" si="56"/>
        <v>109.91</v>
      </c>
      <c r="I138" s="451">
        <f t="shared" si="57"/>
        <v>13664.01</v>
      </c>
      <c r="J138" s="452"/>
      <c r="K138" s="452"/>
      <c r="L138" s="452"/>
      <c r="M138" s="452">
        <v>96.56</v>
      </c>
      <c r="N138" s="452">
        <v>122.45</v>
      </c>
      <c r="O138" s="452">
        <v>15222.98</v>
      </c>
      <c r="P138" s="493"/>
      <c r="Q138" s="452">
        <f t="shared" si="59"/>
        <v>0</v>
      </c>
      <c r="R138" s="452">
        <f>F138</f>
        <v>124.32</v>
      </c>
      <c r="S138" s="452">
        <f t="shared" si="60"/>
        <v>15222.98</v>
      </c>
      <c r="T138" s="452">
        <f t="shared" si="58"/>
        <v>0</v>
      </c>
      <c r="U138" s="452">
        <f t="shared" si="55"/>
        <v>0</v>
      </c>
      <c r="V138" s="453"/>
      <c r="W138" s="453">
        <f>'PLANILHA ORÇA - CORREGEDORIA'!V174</f>
        <v>419437.86</v>
      </c>
      <c r="X138" s="38" t="e">
        <f>IF(B138&lt;&gt;0,VLOOKUP(B138,#REF!,4,FALSE),"")</f>
        <v>#REF!</v>
      </c>
      <c r="Y138" s="351" t="s">
        <v>3307</v>
      </c>
      <c r="Z138" s="336">
        <f t="shared" si="29"/>
        <v>10775.373839999998</v>
      </c>
      <c r="AB138" s="38" t="e">
        <f>IF(B138&lt;&gt;0,VLOOKUP(B138,#REF!,2,FALSE),"")</f>
        <v>#REF!</v>
      </c>
    </row>
    <row r="139" spans="1:28" s="38" customFormat="1" ht="63" customHeight="1">
      <c r="A139" s="449" t="s">
        <v>710</v>
      </c>
      <c r="B139" s="448">
        <v>96359</v>
      </c>
      <c r="C139" s="449" t="s">
        <v>3320</v>
      </c>
      <c r="D139" s="447" t="s">
        <v>12</v>
      </c>
      <c r="E139" s="447" t="s">
        <v>26</v>
      </c>
      <c r="F139" s="450">
        <v>850.18</v>
      </c>
      <c r="G139" s="450">
        <f t="shared" si="28"/>
        <v>72.658000000000001</v>
      </c>
      <c r="H139" s="450">
        <f t="shared" si="56"/>
        <v>92.14</v>
      </c>
      <c r="I139" s="451">
        <f t="shared" si="57"/>
        <v>78335.59</v>
      </c>
      <c r="J139" s="452"/>
      <c r="K139" s="452"/>
      <c r="L139" s="452"/>
      <c r="M139" s="452">
        <v>127.94</v>
      </c>
      <c r="N139" s="452">
        <v>162.24</v>
      </c>
      <c r="O139" s="452">
        <v>137933.20000000001</v>
      </c>
      <c r="P139" s="493">
        <f>948.76-F139</f>
        <v>98.580000000000041</v>
      </c>
      <c r="Q139" s="452">
        <f t="shared" si="59"/>
        <v>15993.62</v>
      </c>
      <c r="R139" s="452"/>
      <c r="S139" s="452">
        <f t="shared" si="60"/>
        <v>0</v>
      </c>
      <c r="T139" s="452">
        <f t="shared" si="58"/>
        <v>948.76</v>
      </c>
      <c r="U139" s="452">
        <f t="shared" si="55"/>
        <v>153926.82</v>
      </c>
      <c r="V139" s="453"/>
      <c r="W139" s="453"/>
      <c r="X139" s="38" t="e">
        <f>IF(B139&lt;&gt;0,VLOOKUP(B139,#REF!,4,FALSE),"")</f>
        <v>#REF!</v>
      </c>
      <c r="Y139" s="351" t="s">
        <v>3301</v>
      </c>
      <c r="Z139" s="336">
        <f t="shared" si="29"/>
        <v>61772.37844</v>
      </c>
      <c r="AB139" s="38" t="e">
        <f>IF(B139&lt;&gt;0,VLOOKUP(B139,#REF!,2,FALSE),"")</f>
        <v>#REF!</v>
      </c>
    </row>
    <row r="140" spans="1:28" s="38" customFormat="1" ht="30">
      <c r="A140" s="449" t="s">
        <v>711</v>
      </c>
      <c r="B140" s="448">
        <v>93188</v>
      </c>
      <c r="C140" s="449" t="s">
        <v>1545</v>
      </c>
      <c r="D140" s="447" t="s">
        <v>12</v>
      </c>
      <c r="E140" s="447" t="s">
        <v>52</v>
      </c>
      <c r="F140" s="450">
        <v>62.864000000000004</v>
      </c>
      <c r="G140" s="450">
        <f t="shared" si="28"/>
        <v>55.173499999999997</v>
      </c>
      <c r="H140" s="450">
        <f t="shared" si="56"/>
        <v>69.97</v>
      </c>
      <c r="I140" s="451">
        <f t="shared" si="57"/>
        <v>4398.59</v>
      </c>
      <c r="J140" s="452">
        <v>55.173499999999997</v>
      </c>
      <c r="K140" s="452">
        <v>69.97</v>
      </c>
      <c r="L140" s="452">
        <v>3518.88</v>
      </c>
      <c r="M140" s="452">
        <v>61.46</v>
      </c>
      <c r="N140" s="452">
        <v>77.94</v>
      </c>
      <c r="O140" s="452">
        <v>979.92</v>
      </c>
      <c r="P140" s="493">
        <f>101.7-F140</f>
        <v>38.835999999999999</v>
      </c>
      <c r="Q140" s="452">
        <f t="shared" si="59"/>
        <v>3026.88</v>
      </c>
      <c r="R140" s="452"/>
      <c r="S140" s="452">
        <f t="shared" si="60"/>
        <v>0</v>
      </c>
      <c r="T140" s="452">
        <f t="shared" si="58"/>
        <v>101.7</v>
      </c>
      <c r="U140" s="452">
        <f t="shared" si="55"/>
        <v>7525.68</v>
      </c>
      <c r="V140" s="453"/>
      <c r="W140" s="453"/>
      <c r="X140" s="38" t="e">
        <f>IF(B140&lt;&gt;0,VLOOKUP(B140,#REF!,4,FALSE),"")</f>
        <v>#REF!</v>
      </c>
      <c r="Y140" s="351" t="s">
        <v>3170</v>
      </c>
      <c r="Z140" s="336">
        <f t="shared" si="29"/>
        <v>3468.4269039999999</v>
      </c>
      <c r="AB140" s="38" t="e">
        <f>IF(B140&lt;&gt;0,VLOOKUP(B140,#REF!,2,FALSE),"")</f>
        <v>#REF!</v>
      </c>
    </row>
    <row r="141" spans="1:28" s="38" customFormat="1" ht="30">
      <c r="A141" s="19" t="s">
        <v>712</v>
      </c>
      <c r="B141" s="20">
        <v>93189</v>
      </c>
      <c r="C141" s="19" t="s">
        <v>1546</v>
      </c>
      <c r="D141" s="21" t="s">
        <v>12</v>
      </c>
      <c r="E141" s="21" t="s">
        <v>52</v>
      </c>
      <c r="F141" s="22">
        <v>33.344000000000001</v>
      </c>
      <c r="G141" s="22">
        <f t="shared" si="28"/>
        <v>70.133499999999998</v>
      </c>
      <c r="H141" s="22">
        <f t="shared" si="56"/>
        <v>88.94</v>
      </c>
      <c r="I141" s="147">
        <f t="shared" si="57"/>
        <v>2965.62</v>
      </c>
      <c r="J141" s="148">
        <v>70.133499999999998</v>
      </c>
      <c r="K141" s="148">
        <v>88.94</v>
      </c>
      <c r="L141" s="148">
        <v>2372.4899999999998</v>
      </c>
      <c r="M141" s="148">
        <v>78.13</v>
      </c>
      <c r="N141" s="148">
        <v>99.08</v>
      </c>
      <c r="O141" s="148">
        <v>660.74</v>
      </c>
      <c r="P141" s="494"/>
      <c r="Q141" s="148">
        <f t="shared" si="59"/>
        <v>0</v>
      </c>
      <c r="R141" s="148"/>
      <c r="S141" s="148">
        <f t="shared" si="60"/>
        <v>0</v>
      </c>
      <c r="T141" s="148">
        <f t="shared" si="58"/>
        <v>33.344000000000001</v>
      </c>
      <c r="U141" s="148">
        <f t="shared" si="55"/>
        <v>3033.2299999999996</v>
      </c>
      <c r="V141" s="453"/>
      <c r="W141" s="453"/>
      <c r="X141" s="38" t="e">
        <f>IF(B141&lt;&gt;0,VLOOKUP(B141,#REF!,4,FALSE),"")</f>
        <v>#REF!</v>
      </c>
      <c r="Y141" s="351" t="s">
        <v>3218</v>
      </c>
      <c r="Z141" s="336">
        <f t="shared" si="29"/>
        <v>2338.5314239999998</v>
      </c>
      <c r="AB141" s="38" t="e">
        <f>IF(B141&lt;&gt;0,VLOOKUP(B141,#REF!,2,FALSE),"")</f>
        <v>#REF!</v>
      </c>
    </row>
    <row r="142" spans="1:28" ht="30">
      <c r="A142" s="19" t="s">
        <v>713</v>
      </c>
      <c r="B142" s="20">
        <v>93186</v>
      </c>
      <c r="C142" s="19" t="s">
        <v>1547</v>
      </c>
      <c r="D142" s="21" t="s">
        <v>12</v>
      </c>
      <c r="E142" s="21" t="s">
        <v>52</v>
      </c>
      <c r="F142" s="22">
        <v>44.616000000000007</v>
      </c>
      <c r="G142" s="22">
        <f t="shared" si="28"/>
        <v>59.729499999999994</v>
      </c>
      <c r="H142" s="22">
        <f t="shared" si="56"/>
        <v>75.739999999999995</v>
      </c>
      <c r="I142" s="147">
        <f t="shared" si="57"/>
        <v>3379.22</v>
      </c>
      <c r="J142" s="148">
        <v>59.729499999999994</v>
      </c>
      <c r="K142" s="148">
        <v>75.739999999999995</v>
      </c>
      <c r="L142" s="148">
        <v>2703.37</v>
      </c>
      <c r="M142" s="148">
        <v>66.540000000000006</v>
      </c>
      <c r="N142" s="148">
        <v>84.38</v>
      </c>
      <c r="O142" s="148">
        <v>752.94</v>
      </c>
      <c r="P142" s="494"/>
      <c r="Q142" s="148">
        <f t="shared" si="59"/>
        <v>0</v>
      </c>
      <c r="R142" s="148"/>
      <c r="S142" s="148">
        <f t="shared" si="60"/>
        <v>0</v>
      </c>
      <c r="T142" s="148">
        <f t="shared" si="58"/>
        <v>44.616000000000007</v>
      </c>
      <c r="U142" s="148">
        <f t="shared" si="55"/>
        <v>3456.31</v>
      </c>
      <c r="V142" s="379"/>
      <c r="W142" s="379"/>
      <c r="X142" s="2" t="e">
        <f>IF(B142&lt;&gt;0,VLOOKUP(B142,#REF!,4,FALSE),"")</f>
        <v>#REF!</v>
      </c>
      <c r="Y142" s="340" t="s">
        <v>3136</v>
      </c>
      <c r="Z142" s="334">
        <f t="shared" si="29"/>
        <v>2664.891372</v>
      </c>
      <c r="AB142" s="2" t="e">
        <f>IF(B142&lt;&gt;0,VLOOKUP(B142,#REF!,2,FALSE),"")</f>
        <v>#REF!</v>
      </c>
    </row>
    <row r="143" spans="1:28" ht="30">
      <c r="A143" s="19" t="s">
        <v>714</v>
      </c>
      <c r="B143" s="20">
        <v>93196</v>
      </c>
      <c r="C143" s="19" t="s">
        <v>1548</v>
      </c>
      <c r="D143" s="21" t="s">
        <v>12</v>
      </c>
      <c r="E143" s="21" t="s">
        <v>52</v>
      </c>
      <c r="F143" s="22">
        <v>42.480000000000004</v>
      </c>
      <c r="G143" s="22">
        <f t="shared" si="28"/>
        <v>57.808500000000002</v>
      </c>
      <c r="H143" s="22">
        <f t="shared" si="56"/>
        <v>73.31</v>
      </c>
      <c r="I143" s="147">
        <f t="shared" si="57"/>
        <v>3114.21</v>
      </c>
      <c r="J143" s="148">
        <v>57.808500000000002</v>
      </c>
      <c r="K143" s="148">
        <v>73.31</v>
      </c>
      <c r="L143" s="148">
        <v>2491.37</v>
      </c>
      <c r="M143" s="148">
        <v>64.400000000000006</v>
      </c>
      <c r="N143" s="148">
        <v>81.67</v>
      </c>
      <c r="O143" s="148">
        <v>693.87</v>
      </c>
      <c r="P143" s="494"/>
      <c r="Q143" s="148">
        <f t="shared" si="59"/>
        <v>0</v>
      </c>
      <c r="R143" s="148"/>
      <c r="S143" s="148">
        <f t="shared" si="60"/>
        <v>0</v>
      </c>
      <c r="T143" s="148">
        <f t="shared" si="58"/>
        <v>42.480000000000004</v>
      </c>
      <c r="U143" s="148">
        <f t="shared" si="55"/>
        <v>3185.24</v>
      </c>
      <c r="V143" s="379"/>
      <c r="W143" s="379"/>
      <c r="X143" s="2" t="e">
        <f>IF(B143&lt;&gt;0,VLOOKUP(B143,#REF!,4,FALSE),"")</f>
        <v>#REF!</v>
      </c>
      <c r="Y143" s="340" t="s">
        <v>3219</v>
      </c>
      <c r="Z143" s="334">
        <f t="shared" si="29"/>
        <v>2455.7050800000002</v>
      </c>
      <c r="AB143" s="2" t="e">
        <f>IF(B143&lt;&gt;0,VLOOKUP(B143,#REF!,2,FALSE),"")</f>
        <v>#REF!</v>
      </c>
    </row>
    <row r="144" spans="1:28" s="38" customFormat="1" ht="30">
      <c r="A144" s="449" t="s">
        <v>715</v>
      </c>
      <c r="B144" s="448">
        <v>93187</v>
      </c>
      <c r="C144" s="449" t="s">
        <v>1549</v>
      </c>
      <c r="D144" s="447" t="s">
        <v>12</v>
      </c>
      <c r="E144" s="447" t="s">
        <v>52</v>
      </c>
      <c r="F144" s="450">
        <v>210.39200000000002</v>
      </c>
      <c r="G144" s="450">
        <f t="shared" si="28"/>
        <v>69.478999999999999</v>
      </c>
      <c r="H144" s="450">
        <f t="shared" si="56"/>
        <v>88.11</v>
      </c>
      <c r="I144" s="451">
        <f t="shared" si="57"/>
        <v>18537.64</v>
      </c>
      <c r="J144" s="452">
        <v>69.478999999999999</v>
      </c>
      <c r="K144" s="452">
        <v>88.11</v>
      </c>
      <c r="L144" s="452">
        <v>14830.11</v>
      </c>
      <c r="M144" s="452">
        <v>77.400000000000006</v>
      </c>
      <c r="N144" s="452">
        <v>98.15</v>
      </c>
      <c r="O144" s="452">
        <v>4129.99</v>
      </c>
      <c r="P144" s="493">
        <f>239.46-F144</f>
        <v>29.067999999999984</v>
      </c>
      <c r="Q144" s="452">
        <f t="shared" si="59"/>
        <v>2853.02</v>
      </c>
      <c r="R144" s="452"/>
      <c r="S144" s="452">
        <f t="shared" si="60"/>
        <v>0</v>
      </c>
      <c r="T144" s="452">
        <f t="shared" si="58"/>
        <v>239.46</v>
      </c>
      <c r="U144" s="452">
        <f t="shared" si="55"/>
        <v>21813.120000000003</v>
      </c>
      <c r="V144" s="453"/>
      <c r="W144" s="453"/>
      <c r="X144" s="38" t="e">
        <f>IF(B144&lt;&gt;0,VLOOKUP(B144,#REF!,4,FALSE),"")</f>
        <v>#REF!</v>
      </c>
      <c r="Y144" s="351" t="s">
        <v>3164</v>
      </c>
      <c r="Z144" s="336">
        <f t="shared" si="29"/>
        <v>14617.825768000002</v>
      </c>
      <c r="AB144" s="38" t="e">
        <f>IF(B144&lt;&gt;0,VLOOKUP(B144,#REF!,2,FALSE),"")</f>
        <v>#REF!</v>
      </c>
    </row>
    <row r="145" spans="1:28" s="38" customFormat="1" ht="30">
      <c r="A145" s="449" t="s">
        <v>716</v>
      </c>
      <c r="B145" s="448">
        <v>93197</v>
      </c>
      <c r="C145" s="449" t="s">
        <v>1550</v>
      </c>
      <c r="D145" s="447" t="s">
        <v>12</v>
      </c>
      <c r="E145" s="447" t="s">
        <v>52</v>
      </c>
      <c r="F145" s="450">
        <v>168.42000000000002</v>
      </c>
      <c r="G145" s="450">
        <f t="shared" si="28"/>
        <v>64.761499999999998</v>
      </c>
      <c r="H145" s="450">
        <f t="shared" si="56"/>
        <v>82.12</v>
      </c>
      <c r="I145" s="451">
        <f t="shared" si="57"/>
        <v>13830.65</v>
      </c>
      <c r="J145" s="452">
        <v>64.761499999999998</v>
      </c>
      <c r="K145" s="452">
        <v>82.12</v>
      </c>
      <c r="L145" s="452">
        <v>11064.52</v>
      </c>
      <c r="M145" s="452">
        <v>72.14</v>
      </c>
      <c r="N145" s="452">
        <v>91.48</v>
      </c>
      <c r="O145" s="452">
        <v>3081.41</v>
      </c>
      <c r="P145" s="493">
        <f>194.78-F145</f>
        <v>26.359999999999985</v>
      </c>
      <c r="Q145" s="452">
        <f t="shared" si="59"/>
        <v>2411.41</v>
      </c>
      <c r="R145" s="452"/>
      <c r="S145" s="452">
        <f t="shared" si="60"/>
        <v>0</v>
      </c>
      <c r="T145" s="452">
        <f t="shared" si="58"/>
        <v>194.78</v>
      </c>
      <c r="U145" s="452">
        <f t="shared" si="55"/>
        <v>16557.34</v>
      </c>
      <c r="V145" s="453"/>
      <c r="W145" s="453"/>
      <c r="X145" s="38" t="e">
        <f>IF(B145&lt;&gt;0,VLOOKUP(B145,#REF!,4,FALSE),"")</f>
        <v>#REF!</v>
      </c>
      <c r="Y145" s="351" t="s">
        <v>3220</v>
      </c>
      <c r="Z145" s="336">
        <f t="shared" si="29"/>
        <v>10907.13183</v>
      </c>
      <c r="AB145" s="38" t="e">
        <f>IF(B145&lt;&gt;0,VLOOKUP(B145,#REF!,2,FALSE),"")</f>
        <v>#REF!</v>
      </c>
    </row>
    <row r="146" spans="1:28" s="38" customFormat="1" ht="30">
      <c r="A146" s="449" t="s">
        <v>717</v>
      </c>
      <c r="B146" s="447" t="s">
        <v>2052</v>
      </c>
      <c r="C146" s="449" t="s">
        <v>53</v>
      </c>
      <c r="D146" s="447" t="s">
        <v>1914</v>
      </c>
      <c r="E146" s="447" t="s">
        <v>52</v>
      </c>
      <c r="F146" s="450">
        <v>273.03200000000004</v>
      </c>
      <c r="G146" s="450">
        <f t="shared" si="28"/>
        <v>33.073499999999996</v>
      </c>
      <c r="H146" s="450">
        <f t="shared" si="56"/>
        <v>41.94</v>
      </c>
      <c r="I146" s="451">
        <f t="shared" si="57"/>
        <v>11450.96</v>
      </c>
      <c r="J146" s="452"/>
      <c r="K146" s="452"/>
      <c r="L146" s="452"/>
      <c r="M146" s="452">
        <v>36.840000000000003</v>
      </c>
      <c r="N146" s="452">
        <v>46.72</v>
      </c>
      <c r="O146" s="452">
        <v>12756.06</v>
      </c>
      <c r="P146" s="493">
        <f>412.16-F146</f>
        <v>139.12799999999999</v>
      </c>
      <c r="Q146" s="452">
        <f t="shared" si="59"/>
        <v>6500.06</v>
      </c>
      <c r="R146" s="452"/>
      <c r="S146" s="452">
        <f t="shared" si="60"/>
        <v>0</v>
      </c>
      <c r="T146" s="452">
        <f t="shared" si="58"/>
        <v>412.16</v>
      </c>
      <c r="U146" s="452">
        <f t="shared" si="55"/>
        <v>19256.12</v>
      </c>
      <c r="V146" s="453"/>
      <c r="W146" s="453"/>
      <c r="X146" s="42">
        <f>'COMPOSIÇÃO DE CUSTOS'!G88</f>
        <v>33.08</v>
      </c>
      <c r="Y146" s="336">
        <v>38.909999999999997</v>
      </c>
      <c r="Z146" s="336">
        <f t="shared" si="29"/>
        <v>9030.1238520000006</v>
      </c>
      <c r="AA146" s="42"/>
      <c r="AB146" s="38" t="e">
        <f>IF(B146&lt;&gt;0,VLOOKUP(B146,#REF!,2,FALSE),"")</f>
        <v>#REF!</v>
      </c>
    </row>
    <row r="147" spans="1:28" s="55" customFormat="1" ht="45">
      <c r="A147" s="19" t="s">
        <v>718</v>
      </c>
      <c r="B147" s="21" t="s">
        <v>2039</v>
      </c>
      <c r="C147" s="19" t="s">
        <v>54</v>
      </c>
      <c r="D147" s="21" t="s">
        <v>1914</v>
      </c>
      <c r="E147" s="21" t="s">
        <v>26</v>
      </c>
      <c r="F147" s="22">
        <v>24</v>
      </c>
      <c r="G147" s="22">
        <f t="shared" si="28"/>
        <v>96.789500000000004</v>
      </c>
      <c r="H147" s="22">
        <f t="shared" si="56"/>
        <v>122.74</v>
      </c>
      <c r="I147" s="147">
        <f t="shared" si="57"/>
        <v>2945.76</v>
      </c>
      <c r="J147" s="148"/>
      <c r="K147" s="148"/>
      <c r="L147" s="148"/>
      <c r="M147" s="148">
        <v>107.82</v>
      </c>
      <c r="N147" s="148">
        <v>136.72999999999999</v>
      </c>
      <c r="O147" s="148">
        <v>3281.52</v>
      </c>
      <c r="P147" s="494"/>
      <c r="Q147" s="148">
        <f t="shared" si="59"/>
        <v>0</v>
      </c>
      <c r="R147" s="148"/>
      <c r="S147" s="148">
        <f t="shared" si="60"/>
        <v>0</v>
      </c>
      <c r="T147" s="148">
        <f t="shared" si="58"/>
        <v>24</v>
      </c>
      <c r="U147" s="148">
        <f t="shared" si="55"/>
        <v>3281.52</v>
      </c>
      <c r="V147" s="379"/>
      <c r="W147" s="379"/>
      <c r="X147" s="57">
        <f>'COMPOSIÇÃO DE CUSTOS'!G2188</f>
        <v>96.79</v>
      </c>
      <c r="Y147" s="334">
        <v>113.87</v>
      </c>
      <c r="Z147" s="334">
        <f t="shared" si="29"/>
        <v>2322.9480000000003</v>
      </c>
      <c r="AA147" s="57"/>
      <c r="AB147" s="55" t="e">
        <f>IF(B147&lt;&gt;0,VLOOKUP(B147,#REF!,2,FALSE),"")</f>
        <v>#REF!</v>
      </c>
    </row>
    <row r="148" spans="1:28" s="55" customFormat="1" ht="75">
      <c r="A148" s="19" t="s">
        <v>719</v>
      </c>
      <c r="B148" s="20">
        <v>72175</v>
      </c>
      <c r="C148" s="19" t="s">
        <v>55</v>
      </c>
      <c r="D148" s="21" t="s">
        <v>1914</v>
      </c>
      <c r="E148" s="21" t="s">
        <v>26</v>
      </c>
      <c r="F148" s="22">
        <v>0.75</v>
      </c>
      <c r="G148" s="22">
        <f t="shared" si="28"/>
        <v>483.27600000000007</v>
      </c>
      <c r="H148" s="22">
        <f t="shared" si="56"/>
        <v>612.84</v>
      </c>
      <c r="I148" s="147">
        <f t="shared" si="57"/>
        <v>459.63</v>
      </c>
      <c r="J148" s="148"/>
      <c r="K148" s="148"/>
      <c r="L148" s="148"/>
      <c r="M148" s="148">
        <v>538.37</v>
      </c>
      <c r="N148" s="148">
        <v>682.71</v>
      </c>
      <c r="O148" s="148">
        <v>512.03</v>
      </c>
      <c r="P148" s="494"/>
      <c r="Q148" s="148">
        <f t="shared" si="59"/>
        <v>0</v>
      </c>
      <c r="R148" s="148"/>
      <c r="S148" s="148">
        <f t="shared" si="60"/>
        <v>0</v>
      </c>
      <c r="T148" s="148">
        <f t="shared" si="58"/>
        <v>0.75</v>
      </c>
      <c r="U148" s="148">
        <f t="shared" si="55"/>
        <v>512.03</v>
      </c>
      <c r="V148" s="379"/>
      <c r="W148" s="379"/>
      <c r="X148" s="57">
        <f>'COMPOSIÇÃO DE CUSTOS'!G99</f>
        <v>483.28000000000003</v>
      </c>
      <c r="Y148" s="334">
        <v>568.56000000000006</v>
      </c>
      <c r="Z148" s="334">
        <f t="shared" si="29"/>
        <v>362.45700000000005</v>
      </c>
      <c r="AA148" s="57"/>
      <c r="AB148" s="55" t="e">
        <f>IF(B148&lt;&gt;0,VLOOKUP(B148,#REF!,2,FALSE),"")</f>
        <v>#REF!</v>
      </c>
    </row>
    <row r="149" spans="1:28" ht="30" customHeight="1">
      <c r="A149" s="19"/>
      <c r="B149" s="20"/>
      <c r="C149" s="19"/>
      <c r="D149" s="21"/>
      <c r="E149" s="21"/>
      <c r="F149" s="22"/>
      <c r="G149" s="22"/>
      <c r="H149" s="22"/>
      <c r="I149" s="147"/>
      <c r="J149" s="379"/>
      <c r="K149" s="379"/>
      <c r="L149" s="379"/>
      <c r="M149" s="148"/>
      <c r="N149" s="148"/>
      <c r="O149" s="148"/>
      <c r="P149" s="494"/>
      <c r="Q149" s="148"/>
      <c r="R149" s="148"/>
      <c r="S149" s="148"/>
      <c r="T149" s="148"/>
      <c r="U149" s="148"/>
      <c r="V149" s="379"/>
      <c r="W149" s="379"/>
      <c r="Z149" s="334">
        <f t="shared" si="29"/>
        <v>0</v>
      </c>
    </row>
    <row r="150" spans="1:28" ht="15" customHeight="1">
      <c r="A150" s="229" t="s">
        <v>720</v>
      </c>
      <c r="B150" s="229"/>
      <c r="C150" s="229" t="s">
        <v>56</v>
      </c>
      <c r="D150" s="230"/>
      <c r="E150" s="230"/>
      <c r="F150" s="230"/>
      <c r="G150" s="22"/>
      <c r="H150" s="230"/>
      <c r="I150" s="445">
        <f>ROUND(SUM(I153:I210),2)</f>
        <v>1293532.56</v>
      </c>
      <c r="J150" s="440"/>
      <c r="K150" s="440"/>
      <c r="L150" s="440">
        <v>564553.88</v>
      </c>
      <c r="M150" s="440"/>
      <c r="N150" s="440"/>
      <c r="O150" s="440">
        <f>ROUND(SUM(O153:O210),2)</f>
        <v>1002019.11</v>
      </c>
      <c r="P150" s="492"/>
      <c r="Q150" s="440">
        <f>ROUND(SUM(Q153:Q210),2)</f>
        <v>511881.05</v>
      </c>
      <c r="R150" s="440"/>
      <c r="S150" s="440">
        <f>ROUND(SUM(S153:S210),2)</f>
        <v>83100.639999999999</v>
      </c>
      <c r="T150" s="148"/>
      <c r="U150" s="440">
        <f t="shared" si="55"/>
        <v>1995353.4</v>
      </c>
      <c r="V150" s="330"/>
      <c r="W150" s="330"/>
      <c r="Z150" s="334">
        <f t="shared" si="29"/>
        <v>0</v>
      </c>
    </row>
    <row r="151" spans="1:28" ht="15" customHeight="1">
      <c r="A151" s="229" t="s">
        <v>721</v>
      </c>
      <c r="B151" s="229"/>
      <c r="C151" s="229" t="s">
        <v>57</v>
      </c>
      <c r="D151" s="230"/>
      <c r="E151" s="230"/>
      <c r="F151" s="230"/>
      <c r="G151" s="22"/>
      <c r="H151" s="230"/>
      <c r="I151" s="445"/>
      <c r="J151" s="440"/>
      <c r="K151" s="440"/>
      <c r="L151" s="440"/>
      <c r="M151" s="440"/>
      <c r="N151" s="440"/>
      <c r="O151" s="440"/>
      <c r="P151" s="492"/>
      <c r="Q151" s="440"/>
      <c r="R151" s="440"/>
      <c r="S151" s="440"/>
      <c r="T151" s="148"/>
      <c r="U151" s="148"/>
      <c r="V151" s="330"/>
      <c r="W151" s="330"/>
      <c r="Z151" s="334">
        <f t="shared" si="29"/>
        <v>0</v>
      </c>
    </row>
    <row r="152" spans="1:28">
      <c r="A152" s="229" t="s">
        <v>722</v>
      </c>
      <c r="B152" s="229"/>
      <c r="C152" s="229" t="s">
        <v>58</v>
      </c>
      <c r="D152" s="230"/>
      <c r="E152" s="230"/>
      <c r="F152" s="230"/>
      <c r="G152" s="22"/>
      <c r="H152" s="230"/>
      <c r="I152" s="445"/>
      <c r="J152" s="440"/>
      <c r="K152" s="440"/>
      <c r="L152" s="440"/>
      <c r="M152" s="440"/>
      <c r="N152" s="440"/>
      <c r="O152" s="440"/>
      <c r="P152" s="492"/>
      <c r="Q152" s="440"/>
      <c r="R152" s="440"/>
      <c r="S152" s="440"/>
      <c r="T152" s="148"/>
      <c r="U152" s="148"/>
      <c r="V152" s="330"/>
      <c r="W152" s="330"/>
      <c r="Z152" s="334">
        <f t="shared" si="29"/>
        <v>0</v>
      </c>
    </row>
    <row r="153" spans="1:28" s="267" customFormat="1" ht="75">
      <c r="A153" s="19" t="s">
        <v>723</v>
      </c>
      <c r="B153" s="20">
        <v>92408</v>
      </c>
      <c r="C153" s="19" t="s">
        <v>1551</v>
      </c>
      <c r="D153" s="21" t="s">
        <v>1914</v>
      </c>
      <c r="E153" s="21" t="s">
        <v>26</v>
      </c>
      <c r="F153" s="22">
        <v>97.97</v>
      </c>
      <c r="G153" s="22">
        <f t="shared" si="28"/>
        <v>202.05349999999999</v>
      </c>
      <c r="H153" s="22">
        <f t="shared" ref="H153:H162" si="61">ROUND(G153*(1+$X$14),2)</f>
        <v>256.22000000000003</v>
      </c>
      <c r="I153" s="147">
        <f t="shared" ref="I153:I162" si="62">ROUND(H153*F153,2)</f>
        <v>25101.87</v>
      </c>
      <c r="J153" s="148">
        <v>198.69000000000003</v>
      </c>
      <c r="K153" s="148">
        <v>251.96</v>
      </c>
      <c r="L153" s="148">
        <v>17279.16</v>
      </c>
      <c r="M153" s="148">
        <v>300.26</v>
      </c>
      <c r="N153" s="148">
        <v>380.76</v>
      </c>
      <c r="O153" s="148">
        <v>11190.92</v>
      </c>
      <c r="P153" s="494"/>
      <c r="Q153" s="148">
        <f>ROUND(P153*N153,2)</f>
        <v>0</v>
      </c>
      <c r="R153" s="148"/>
      <c r="S153" s="148">
        <f>ROUND(R153*N153,2)</f>
        <v>0</v>
      </c>
      <c r="T153" s="148">
        <f t="shared" ref="T153:T162" si="63">F153+P153-R153</f>
        <v>97.97</v>
      </c>
      <c r="U153" s="148">
        <f t="shared" ref="U153:U210" si="64">O153+Q153-S153+L153</f>
        <v>28470.080000000002</v>
      </c>
      <c r="V153" s="379"/>
      <c r="W153" s="379"/>
      <c r="X153" s="266">
        <f>'COMPOSIÇÃO DE CUSTOS'!G108</f>
        <v>202.05</v>
      </c>
      <c r="Y153" s="350">
        <v>237.70999999999998</v>
      </c>
      <c r="Z153" s="334">
        <f t="shared" si="29"/>
        <v>19795.181395</v>
      </c>
      <c r="AA153" s="266"/>
      <c r="AB153" s="267" t="e">
        <f>IF(B153&lt;&gt;0,VLOOKUP(B153,#REF!,2,FALSE),"")</f>
        <v>#REF!</v>
      </c>
    </row>
    <row r="154" spans="1:28" s="267" customFormat="1" ht="60">
      <c r="A154" s="19" t="s">
        <v>724</v>
      </c>
      <c r="B154" s="20">
        <v>92759</v>
      </c>
      <c r="C154" s="19" t="s">
        <v>1536</v>
      </c>
      <c r="D154" s="21" t="s">
        <v>12</v>
      </c>
      <c r="E154" s="21" t="s">
        <v>45</v>
      </c>
      <c r="F154" s="22">
        <v>140</v>
      </c>
      <c r="G154" s="22">
        <f t="shared" si="28"/>
        <v>13.5915</v>
      </c>
      <c r="H154" s="22">
        <f t="shared" si="61"/>
        <v>17.239999999999998</v>
      </c>
      <c r="I154" s="147">
        <f t="shared" si="62"/>
        <v>2413.6</v>
      </c>
      <c r="J154" s="148">
        <v>13.5915</v>
      </c>
      <c r="K154" s="148">
        <v>17.239999999999998</v>
      </c>
      <c r="L154" s="148">
        <v>1930.88</v>
      </c>
      <c r="M154" s="148">
        <v>15.14</v>
      </c>
      <c r="N154" s="148">
        <v>19.2</v>
      </c>
      <c r="O154" s="148">
        <v>537.6</v>
      </c>
      <c r="P154" s="494"/>
      <c r="Q154" s="148">
        <f t="shared" ref="Q154:Q184" si="65">ROUND(P154*N154,2)</f>
        <v>0</v>
      </c>
      <c r="R154" s="148"/>
      <c r="S154" s="148">
        <f t="shared" ref="S154:S184" si="66">ROUND(R154*N154,2)</f>
        <v>0</v>
      </c>
      <c r="T154" s="148">
        <f t="shared" si="63"/>
        <v>140</v>
      </c>
      <c r="U154" s="148">
        <f t="shared" si="64"/>
        <v>2468.48</v>
      </c>
      <c r="V154" s="379"/>
      <c r="W154" s="379"/>
      <c r="X154" s="267" t="e">
        <f>IF(B154&lt;&gt;0,VLOOKUP(B154,#REF!,4,FALSE),"")</f>
        <v>#REF!</v>
      </c>
      <c r="Y154" s="350" t="s">
        <v>1853</v>
      </c>
      <c r="Z154" s="334">
        <f t="shared" si="29"/>
        <v>1902.81</v>
      </c>
      <c r="AB154" s="267" t="e">
        <f>IF(B154&lt;&gt;0,VLOOKUP(B154,#REF!,2,FALSE),"")</f>
        <v>#REF!</v>
      </c>
    </row>
    <row r="155" spans="1:28" s="267" customFormat="1" ht="60">
      <c r="A155" s="19" t="s">
        <v>725</v>
      </c>
      <c r="B155" s="20">
        <v>92760</v>
      </c>
      <c r="C155" s="19" t="s">
        <v>1537</v>
      </c>
      <c r="D155" s="21" t="s">
        <v>12</v>
      </c>
      <c r="E155" s="21" t="s">
        <v>45</v>
      </c>
      <c r="F155" s="22">
        <v>868</v>
      </c>
      <c r="G155" s="22">
        <f t="shared" si="28"/>
        <v>13.5915</v>
      </c>
      <c r="H155" s="22">
        <f t="shared" si="61"/>
        <v>17.239999999999998</v>
      </c>
      <c r="I155" s="147">
        <f t="shared" si="62"/>
        <v>14964.32</v>
      </c>
      <c r="J155" s="148">
        <v>14.78</v>
      </c>
      <c r="K155" s="148">
        <v>18.739999999999998</v>
      </c>
      <c r="L155" s="148">
        <v>13013.06</v>
      </c>
      <c r="M155" s="148">
        <v>13.069999999999999</v>
      </c>
      <c r="N155" s="148">
        <v>16.57</v>
      </c>
      <c r="O155" s="148">
        <v>2876.55</v>
      </c>
      <c r="P155" s="494"/>
      <c r="Q155" s="148">
        <f t="shared" si="65"/>
        <v>0</v>
      </c>
      <c r="R155" s="148"/>
      <c r="S155" s="148">
        <f t="shared" si="66"/>
        <v>0</v>
      </c>
      <c r="T155" s="148">
        <f t="shared" si="63"/>
        <v>868</v>
      </c>
      <c r="U155" s="148">
        <f t="shared" si="64"/>
        <v>15889.61</v>
      </c>
      <c r="V155" s="379"/>
      <c r="W155" s="379"/>
      <c r="X155" s="267" t="e">
        <f>IF(B155&lt;&gt;0,VLOOKUP(B155,#REF!,4,FALSE),"")</f>
        <v>#REF!</v>
      </c>
      <c r="Y155" s="350" t="s">
        <v>1853</v>
      </c>
      <c r="Z155" s="334">
        <f t="shared" si="29"/>
        <v>11797.422</v>
      </c>
      <c r="AB155" s="267" t="e">
        <f>IF(B155&lt;&gt;0,VLOOKUP(B155,#REF!,2,FALSE),"")</f>
        <v>#REF!</v>
      </c>
    </row>
    <row r="156" spans="1:28" s="267" customFormat="1" ht="60">
      <c r="A156" s="19" t="s">
        <v>726</v>
      </c>
      <c r="B156" s="20">
        <v>92761</v>
      </c>
      <c r="C156" s="19" t="s">
        <v>1538</v>
      </c>
      <c r="D156" s="21" t="s">
        <v>12</v>
      </c>
      <c r="E156" s="21" t="s">
        <v>45</v>
      </c>
      <c r="F156" s="22">
        <v>37</v>
      </c>
      <c r="G156" s="22">
        <f t="shared" si="28"/>
        <v>13.276999999999999</v>
      </c>
      <c r="H156" s="22">
        <f t="shared" si="61"/>
        <v>16.84</v>
      </c>
      <c r="I156" s="147">
        <f t="shared" si="62"/>
        <v>623.08000000000004</v>
      </c>
      <c r="J156" s="148">
        <v>13.276999999999999</v>
      </c>
      <c r="K156" s="148">
        <v>16.84</v>
      </c>
      <c r="L156" s="148">
        <v>498.46</v>
      </c>
      <c r="M156" s="148">
        <v>14.79</v>
      </c>
      <c r="N156" s="148">
        <v>18.760000000000002</v>
      </c>
      <c r="O156" s="148">
        <v>138.82</v>
      </c>
      <c r="P156" s="494"/>
      <c r="Q156" s="148">
        <f t="shared" si="65"/>
        <v>0</v>
      </c>
      <c r="R156" s="148"/>
      <c r="S156" s="148">
        <f t="shared" si="66"/>
        <v>0</v>
      </c>
      <c r="T156" s="148">
        <f t="shared" si="63"/>
        <v>37</v>
      </c>
      <c r="U156" s="148">
        <f t="shared" si="64"/>
        <v>637.28</v>
      </c>
      <c r="V156" s="379"/>
      <c r="W156" s="379"/>
      <c r="X156" s="267" t="e">
        <f>IF(B156&lt;&gt;0,VLOOKUP(B156,#REF!,4,FALSE),"")</f>
        <v>#REF!</v>
      </c>
      <c r="Y156" s="350" t="s">
        <v>3214</v>
      </c>
      <c r="Z156" s="334">
        <f t="shared" si="29"/>
        <v>491.24899999999997</v>
      </c>
      <c r="AB156" s="267" t="e">
        <f>IF(B156&lt;&gt;0,VLOOKUP(B156,#REF!,2,FALSE),"")</f>
        <v>#REF!</v>
      </c>
    </row>
    <row r="157" spans="1:28" s="267" customFormat="1" ht="60">
      <c r="A157" s="19" t="s">
        <v>727</v>
      </c>
      <c r="B157" s="20">
        <v>92762</v>
      </c>
      <c r="C157" s="19" t="s">
        <v>1539</v>
      </c>
      <c r="D157" s="21" t="s">
        <v>12</v>
      </c>
      <c r="E157" s="21" t="s">
        <v>45</v>
      </c>
      <c r="F157" s="22">
        <v>301</v>
      </c>
      <c r="G157" s="22">
        <f t="shared" si="28"/>
        <v>12.1295</v>
      </c>
      <c r="H157" s="22">
        <f t="shared" si="61"/>
        <v>15.38</v>
      </c>
      <c r="I157" s="147">
        <f t="shared" si="62"/>
        <v>4629.38</v>
      </c>
      <c r="J157" s="148">
        <v>14.259999999999998</v>
      </c>
      <c r="K157" s="148">
        <v>18.079999999999998</v>
      </c>
      <c r="L157" s="148">
        <v>4353.66</v>
      </c>
      <c r="M157" s="148">
        <v>11.49</v>
      </c>
      <c r="N157" s="148">
        <v>14.57</v>
      </c>
      <c r="O157" s="148">
        <v>877.11</v>
      </c>
      <c r="P157" s="494"/>
      <c r="Q157" s="148">
        <f t="shared" si="65"/>
        <v>0</v>
      </c>
      <c r="R157" s="148"/>
      <c r="S157" s="148">
        <f t="shared" si="66"/>
        <v>0</v>
      </c>
      <c r="T157" s="148">
        <f t="shared" si="63"/>
        <v>301</v>
      </c>
      <c r="U157" s="148">
        <f t="shared" si="64"/>
        <v>5230.7699999999995</v>
      </c>
      <c r="V157" s="379"/>
      <c r="W157" s="379"/>
      <c r="X157" s="267" t="e">
        <f>IF(B157&lt;&gt;0,VLOOKUP(B157,#REF!,4,FALSE),"")</f>
        <v>#REF!</v>
      </c>
      <c r="Y157" s="350" t="s">
        <v>3151</v>
      </c>
      <c r="Z157" s="334">
        <f t="shared" si="29"/>
        <v>3650.9794999999999</v>
      </c>
      <c r="AB157" s="267" t="e">
        <f>IF(B157&lt;&gt;0,VLOOKUP(B157,#REF!,2,FALSE),"")</f>
        <v>#REF!</v>
      </c>
    </row>
    <row r="158" spans="1:28" s="267" customFormat="1" ht="60">
      <c r="A158" s="19" t="s">
        <v>728</v>
      </c>
      <c r="B158" s="20">
        <v>92763</v>
      </c>
      <c r="C158" s="19" t="s">
        <v>1540</v>
      </c>
      <c r="D158" s="21" t="s">
        <v>12</v>
      </c>
      <c r="E158" s="21" t="s">
        <v>45</v>
      </c>
      <c r="F158" s="22">
        <v>1581</v>
      </c>
      <c r="G158" s="22">
        <f t="shared" si="28"/>
        <v>10.361499999999999</v>
      </c>
      <c r="H158" s="22">
        <f t="shared" si="61"/>
        <v>13.14</v>
      </c>
      <c r="I158" s="147">
        <f t="shared" si="62"/>
        <v>20774.34</v>
      </c>
      <c r="J158" s="148">
        <v>13.25121</v>
      </c>
      <c r="K158" s="148">
        <v>16.8</v>
      </c>
      <c r="L158" s="148">
        <v>21248.639999999999</v>
      </c>
      <c r="M158" s="148">
        <v>10.50122</v>
      </c>
      <c r="N158" s="148">
        <v>13.32</v>
      </c>
      <c r="O158" s="148">
        <v>4211.78</v>
      </c>
      <c r="P158" s="494"/>
      <c r="Q158" s="148">
        <f t="shared" si="65"/>
        <v>0</v>
      </c>
      <c r="R158" s="148"/>
      <c r="S158" s="148">
        <f t="shared" si="66"/>
        <v>0</v>
      </c>
      <c r="T158" s="148">
        <f t="shared" si="63"/>
        <v>1581</v>
      </c>
      <c r="U158" s="148">
        <f t="shared" si="64"/>
        <v>25460.42</v>
      </c>
      <c r="V158" s="379"/>
      <c r="W158" s="379"/>
      <c r="X158" s="267" t="e">
        <f>IF(B158&lt;&gt;0,VLOOKUP(B158,#REF!,4,FALSE),"")</f>
        <v>#REF!</v>
      </c>
      <c r="Y158" s="350" t="s">
        <v>3131</v>
      </c>
      <c r="Z158" s="334">
        <f t="shared" si="29"/>
        <v>16381.531499999999</v>
      </c>
      <c r="AB158" s="267" t="e">
        <f>IF(B158&lt;&gt;0,VLOOKUP(B158,#REF!,2,FALSE),"")</f>
        <v>#REF!</v>
      </c>
    </row>
    <row r="159" spans="1:28" s="267" customFormat="1" ht="60">
      <c r="A159" s="19" t="s">
        <v>729</v>
      </c>
      <c r="B159" s="20">
        <v>92764</v>
      </c>
      <c r="C159" s="19" t="s">
        <v>1541</v>
      </c>
      <c r="D159" s="21" t="s">
        <v>12</v>
      </c>
      <c r="E159" s="21" t="s">
        <v>45</v>
      </c>
      <c r="F159" s="22">
        <v>323</v>
      </c>
      <c r="G159" s="22">
        <f t="shared" si="28"/>
        <v>10.064</v>
      </c>
      <c r="H159" s="22">
        <f t="shared" si="61"/>
        <v>12.76</v>
      </c>
      <c r="I159" s="147">
        <f t="shared" si="62"/>
        <v>4121.4799999999996</v>
      </c>
      <c r="J159" s="148">
        <v>13.06</v>
      </c>
      <c r="K159" s="148">
        <v>16.559999999999999</v>
      </c>
      <c r="L159" s="148">
        <v>4279.1000000000004</v>
      </c>
      <c r="M159" s="148">
        <v>10.28</v>
      </c>
      <c r="N159" s="148">
        <v>13.04</v>
      </c>
      <c r="O159" s="148">
        <v>842.38</v>
      </c>
      <c r="P159" s="494"/>
      <c r="Q159" s="148">
        <f t="shared" si="65"/>
        <v>0</v>
      </c>
      <c r="R159" s="148"/>
      <c r="S159" s="148">
        <f t="shared" si="66"/>
        <v>0</v>
      </c>
      <c r="T159" s="148">
        <f t="shared" si="63"/>
        <v>323</v>
      </c>
      <c r="U159" s="148">
        <f t="shared" si="64"/>
        <v>5121.4800000000005</v>
      </c>
      <c r="V159" s="379"/>
      <c r="W159" s="379"/>
      <c r="X159" s="267" t="e">
        <f>IF(B159&lt;&gt;0,VLOOKUP(B159,#REF!,4,FALSE),"")</f>
        <v>#REF!</v>
      </c>
      <c r="Y159" s="350" t="s">
        <v>3041</v>
      </c>
      <c r="Z159" s="334">
        <f t="shared" si="29"/>
        <v>3250.672</v>
      </c>
      <c r="AB159" s="267" t="e">
        <f>IF(B159&lt;&gt;0,VLOOKUP(B159,#REF!,2,FALSE),"")</f>
        <v>#REF!</v>
      </c>
    </row>
    <row r="160" spans="1:28" s="267" customFormat="1" ht="60">
      <c r="A160" s="19" t="s">
        <v>730</v>
      </c>
      <c r="B160" s="20">
        <v>92765</v>
      </c>
      <c r="C160" s="19" t="s">
        <v>1552</v>
      </c>
      <c r="D160" s="21" t="s">
        <v>12</v>
      </c>
      <c r="E160" s="21" t="s">
        <v>45</v>
      </c>
      <c r="F160" s="22">
        <v>743</v>
      </c>
      <c r="G160" s="22">
        <f t="shared" si="28"/>
        <v>11.542999999999999</v>
      </c>
      <c r="H160" s="22">
        <f t="shared" si="61"/>
        <v>14.64</v>
      </c>
      <c r="I160" s="147">
        <f t="shared" si="62"/>
        <v>10877.52</v>
      </c>
      <c r="J160" s="148">
        <v>13.18</v>
      </c>
      <c r="K160" s="148">
        <v>16.71</v>
      </c>
      <c r="L160" s="148">
        <v>9932.42</v>
      </c>
      <c r="M160" s="148">
        <v>10.6</v>
      </c>
      <c r="N160" s="148">
        <v>13.44</v>
      </c>
      <c r="O160" s="148">
        <v>1997.18</v>
      </c>
      <c r="P160" s="494"/>
      <c r="Q160" s="148">
        <f t="shared" si="65"/>
        <v>0</v>
      </c>
      <c r="R160" s="148"/>
      <c r="S160" s="148">
        <f t="shared" si="66"/>
        <v>0</v>
      </c>
      <c r="T160" s="148">
        <f t="shared" si="63"/>
        <v>743</v>
      </c>
      <c r="U160" s="148">
        <f t="shared" si="64"/>
        <v>11929.6</v>
      </c>
      <c r="V160" s="379"/>
      <c r="W160" s="379"/>
      <c r="X160" s="267" t="e">
        <f>IF(B160&lt;&gt;0,VLOOKUP(B160,#REF!,4,FALSE),"")</f>
        <v>#REF!</v>
      </c>
      <c r="Y160" s="350" t="s">
        <v>1871</v>
      </c>
      <c r="Z160" s="334">
        <f t="shared" si="29"/>
        <v>8576.4489999999987</v>
      </c>
      <c r="AB160" s="267" t="e">
        <f>IF(B160&lt;&gt;0,VLOOKUP(B160,#REF!,2,FALSE),"")</f>
        <v>#REF!</v>
      </c>
    </row>
    <row r="161" spans="1:28" s="267" customFormat="1" ht="60">
      <c r="A161" s="19" t="s">
        <v>731</v>
      </c>
      <c r="B161" s="20">
        <v>92766</v>
      </c>
      <c r="C161" s="19" t="s">
        <v>1553</v>
      </c>
      <c r="D161" s="21" t="s">
        <v>12</v>
      </c>
      <c r="E161" s="21" t="s">
        <v>45</v>
      </c>
      <c r="F161" s="22">
        <v>468</v>
      </c>
      <c r="G161" s="22">
        <f t="shared" si="28"/>
        <v>11.39</v>
      </c>
      <c r="H161" s="22">
        <f t="shared" si="61"/>
        <v>14.44</v>
      </c>
      <c r="I161" s="147">
        <f t="shared" si="62"/>
        <v>6757.92</v>
      </c>
      <c r="J161" s="148">
        <v>11.39</v>
      </c>
      <c r="K161" s="148">
        <v>14.44</v>
      </c>
      <c r="L161" s="148">
        <v>5406.34</v>
      </c>
      <c r="M161" s="148">
        <v>12.69</v>
      </c>
      <c r="N161" s="148">
        <v>16.09</v>
      </c>
      <c r="O161" s="148">
        <v>1506.02</v>
      </c>
      <c r="P161" s="494"/>
      <c r="Q161" s="148">
        <f t="shared" si="65"/>
        <v>0</v>
      </c>
      <c r="R161" s="148"/>
      <c r="S161" s="148">
        <f t="shared" si="66"/>
        <v>0</v>
      </c>
      <c r="T161" s="148">
        <f t="shared" si="63"/>
        <v>468</v>
      </c>
      <c r="U161" s="148">
        <f t="shared" si="64"/>
        <v>6912.3600000000006</v>
      </c>
      <c r="V161" s="379"/>
      <c r="W161" s="379"/>
      <c r="X161" s="267" t="e">
        <f>IF(B161&lt;&gt;0,VLOOKUP(B161,#REF!,4,FALSE),"")</f>
        <v>#REF!</v>
      </c>
      <c r="Y161" s="350" t="s">
        <v>3189</v>
      </c>
      <c r="Z161" s="334">
        <f t="shared" si="29"/>
        <v>5330.52</v>
      </c>
      <c r="AB161" s="267" t="e">
        <f>IF(B161&lt;&gt;0,VLOOKUP(B161,#REF!,2,FALSE),"")</f>
        <v>#REF!</v>
      </c>
    </row>
    <row r="162" spans="1:28" s="267" customFormat="1" ht="60">
      <c r="A162" s="19" t="s">
        <v>732</v>
      </c>
      <c r="B162" s="20">
        <v>92720</v>
      </c>
      <c r="C162" s="19" t="s">
        <v>1554</v>
      </c>
      <c r="D162" s="21" t="s">
        <v>1914</v>
      </c>
      <c r="E162" s="21" t="s">
        <v>35</v>
      </c>
      <c r="F162" s="22">
        <v>45.89</v>
      </c>
      <c r="G162" s="22">
        <f t="shared" si="28"/>
        <v>396.94150000000002</v>
      </c>
      <c r="H162" s="22">
        <f t="shared" si="61"/>
        <v>503.36</v>
      </c>
      <c r="I162" s="147">
        <f t="shared" si="62"/>
        <v>23099.19</v>
      </c>
      <c r="J162" s="148">
        <v>396.94150000000002</v>
      </c>
      <c r="K162" s="148">
        <v>503.36</v>
      </c>
      <c r="L162" s="148">
        <v>18479.349999999999</v>
      </c>
      <c r="M162" s="148">
        <v>442.2</v>
      </c>
      <c r="N162" s="148">
        <v>560.75</v>
      </c>
      <c r="O162" s="148">
        <v>5146.5600000000004</v>
      </c>
      <c r="P162" s="494"/>
      <c r="Q162" s="148">
        <f t="shared" si="65"/>
        <v>0</v>
      </c>
      <c r="R162" s="148"/>
      <c r="S162" s="148">
        <f t="shared" si="66"/>
        <v>0</v>
      </c>
      <c r="T162" s="148">
        <f t="shared" si="63"/>
        <v>45.89</v>
      </c>
      <c r="U162" s="148">
        <f t="shared" si="64"/>
        <v>23625.91</v>
      </c>
      <c r="V162" s="379"/>
      <c r="W162" s="379"/>
      <c r="X162" s="268">
        <f>'COMPOSIÇÃO DE CUSTOS'!G119</f>
        <v>396.95</v>
      </c>
      <c r="Y162" s="335">
        <v>466.99</v>
      </c>
      <c r="Z162" s="334">
        <f t="shared" si="29"/>
        <v>18215.645435000002</v>
      </c>
      <c r="AA162" s="268"/>
    </row>
    <row r="163" spans="1:28" s="23" customFormat="1" ht="27.75" customHeight="1">
      <c r="A163" s="229" t="s">
        <v>733</v>
      </c>
      <c r="B163" s="229"/>
      <c r="C163" s="229" t="s">
        <v>59</v>
      </c>
      <c r="D163" s="230"/>
      <c r="E163" s="230"/>
      <c r="F163" s="230"/>
      <c r="G163" s="22"/>
      <c r="H163" s="230"/>
      <c r="I163" s="445"/>
      <c r="J163" s="440"/>
      <c r="K163" s="440"/>
      <c r="L163" s="440"/>
      <c r="M163" s="440"/>
      <c r="N163" s="440"/>
      <c r="O163" s="440"/>
      <c r="P163" s="492"/>
      <c r="Q163" s="148"/>
      <c r="R163" s="148"/>
      <c r="S163" s="148"/>
      <c r="T163" s="148"/>
      <c r="U163" s="148"/>
      <c r="V163" s="330"/>
      <c r="W163" s="330"/>
      <c r="X163" s="23" t="str">
        <f>IF(B163&lt;&gt;0,VLOOKUP(B163,#REF!,4,FALSE),"")</f>
        <v/>
      </c>
      <c r="Y163" s="347"/>
      <c r="Z163" s="334">
        <f t="shared" si="29"/>
        <v>0</v>
      </c>
      <c r="AB163" s="23" t="str">
        <f>IF(B163&lt;&gt;0,VLOOKUP(B163,#REF!,2,FALSE),"")</f>
        <v/>
      </c>
    </row>
    <row r="164" spans="1:28" s="267" customFormat="1" ht="60">
      <c r="A164" s="19" t="s">
        <v>734</v>
      </c>
      <c r="B164" s="130">
        <v>92452</v>
      </c>
      <c r="C164" s="19" t="s">
        <v>1832</v>
      </c>
      <c r="D164" s="21" t="s">
        <v>12</v>
      </c>
      <c r="E164" s="21" t="s">
        <v>26</v>
      </c>
      <c r="F164" s="22">
        <v>780.42</v>
      </c>
      <c r="G164" s="22">
        <f t="shared" si="28"/>
        <v>86.716999999999999</v>
      </c>
      <c r="H164" s="22">
        <f t="shared" ref="H164:H173" si="67">ROUND(G164*(1+$X$14),2)</f>
        <v>109.97</v>
      </c>
      <c r="I164" s="147">
        <f t="shared" ref="I164:I173" si="68">ROUND(H164*F164,2)</f>
        <v>85822.79</v>
      </c>
      <c r="J164" s="148">
        <v>145.35000000000002</v>
      </c>
      <c r="K164" s="148">
        <v>184.32</v>
      </c>
      <c r="L164" s="148">
        <v>100692.91</v>
      </c>
      <c r="M164" s="148">
        <v>124.60000000000001</v>
      </c>
      <c r="N164" s="148">
        <v>158.01</v>
      </c>
      <c r="O164" s="148">
        <v>36994.25</v>
      </c>
      <c r="P164" s="494"/>
      <c r="Q164" s="148">
        <f t="shared" si="65"/>
        <v>0</v>
      </c>
      <c r="R164" s="148"/>
      <c r="S164" s="148">
        <f t="shared" si="66"/>
        <v>0</v>
      </c>
      <c r="T164" s="148">
        <f t="shared" ref="T164:T173" si="69">F164+P164-R164</f>
        <v>780.42</v>
      </c>
      <c r="U164" s="148">
        <f t="shared" si="64"/>
        <v>137687.16</v>
      </c>
      <c r="V164" s="379"/>
      <c r="W164" s="379"/>
      <c r="X164" s="267" t="e">
        <f>IF(B164&lt;&gt;0,VLOOKUP(B164,#REF!,4,FALSE),"")</f>
        <v>#REF!</v>
      </c>
      <c r="Y164" s="350" t="s">
        <v>3213</v>
      </c>
      <c r="Z164" s="334">
        <f t="shared" si="29"/>
        <v>67675.681140000001</v>
      </c>
      <c r="AB164" s="267" t="e">
        <f>IF(B164&lt;&gt;0,VLOOKUP(B164,#REF!,2,FALSE),"")</f>
        <v>#REF!</v>
      </c>
    </row>
    <row r="165" spans="1:28" s="267" customFormat="1" ht="60">
      <c r="A165" s="19" t="s">
        <v>735</v>
      </c>
      <c r="B165" s="20">
        <v>92759</v>
      </c>
      <c r="C165" s="19" t="s">
        <v>1536</v>
      </c>
      <c r="D165" s="21" t="s">
        <v>12</v>
      </c>
      <c r="E165" s="21" t="s">
        <v>45</v>
      </c>
      <c r="F165" s="22">
        <v>121</v>
      </c>
      <c r="G165" s="22">
        <f t="shared" si="28"/>
        <v>13.5915</v>
      </c>
      <c r="H165" s="22">
        <f t="shared" si="67"/>
        <v>17.239999999999998</v>
      </c>
      <c r="I165" s="147">
        <f t="shared" si="68"/>
        <v>2086.04</v>
      </c>
      <c r="J165" s="148">
        <v>13.5915</v>
      </c>
      <c r="K165" s="148">
        <v>17.239999999999998</v>
      </c>
      <c r="L165" s="148">
        <v>1460.23</v>
      </c>
      <c r="M165" s="148">
        <v>15.14</v>
      </c>
      <c r="N165" s="148">
        <v>19.2</v>
      </c>
      <c r="O165" s="148">
        <v>696.96</v>
      </c>
      <c r="P165" s="494"/>
      <c r="Q165" s="148">
        <f t="shared" si="65"/>
        <v>0</v>
      </c>
      <c r="R165" s="148"/>
      <c r="S165" s="148">
        <f t="shared" si="66"/>
        <v>0</v>
      </c>
      <c r="T165" s="148">
        <f t="shared" si="69"/>
        <v>121</v>
      </c>
      <c r="U165" s="148">
        <f t="shared" si="64"/>
        <v>2157.19</v>
      </c>
      <c r="V165" s="379"/>
      <c r="W165" s="379"/>
      <c r="X165" s="267" t="e">
        <f>IF(B165&lt;&gt;0,VLOOKUP(B165,#REF!,4,FALSE),"")</f>
        <v>#REF!</v>
      </c>
      <c r="Y165" s="350" t="s">
        <v>1853</v>
      </c>
      <c r="Z165" s="334">
        <f t="shared" si="29"/>
        <v>1644.5715</v>
      </c>
      <c r="AB165" s="267" t="e">
        <f>IF(B165&lt;&gt;0,VLOOKUP(B165,#REF!,2,FALSE),"")</f>
        <v>#REF!</v>
      </c>
    </row>
    <row r="166" spans="1:28" s="267" customFormat="1" ht="60">
      <c r="A166" s="19" t="s">
        <v>736</v>
      </c>
      <c r="B166" s="20">
        <v>92760</v>
      </c>
      <c r="C166" s="19" t="s">
        <v>1537</v>
      </c>
      <c r="D166" s="21" t="s">
        <v>12</v>
      </c>
      <c r="E166" s="21" t="s">
        <v>45</v>
      </c>
      <c r="F166" s="22">
        <v>1929</v>
      </c>
      <c r="G166" s="22">
        <f t="shared" si="28"/>
        <v>13.5915</v>
      </c>
      <c r="H166" s="22">
        <f t="shared" si="67"/>
        <v>17.239999999999998</v>
      </c>
      <c r="I166" s="147">
        <f t="shared" si="68"/>
        <v>33255.96</v>
      </c>
      <c r="J166" s="148">
        <v>14.78</v>
      </c>
      <c r="K166" s="148">
        <v>18.739999999999998</v>
      </c>
      <c r="L166" s="148">
        <v>25304.62</v>
      </c>
      <c r="M166" s="148">
        <v>13.069999999999999</v>
      </c>
      <c r="N166" s="148">
        <v>16.57</v>
      </c>
      <c r="O166" s="148">
        <v>9589.06</v>
      </c>
      <c r="P166" s="494"/>
      <c r="Q166" s="148">
        <f t="shared" si="65"/>
        <v>0</v>
      </c>
      <c r="R166" s="148"/>
      <c r="S166" s="148">
        <f t="shared" si="66"/>
        <v>0</v>
      </c>
      <c r="T166" s="148">
        <f t="shared" si="69"/>
        <v>1929</v>
      </c>
      <c r="U166" s="148">
        <f t="shared" si="64"/>
        <v>34893.68</v>
      </c>
      <c r="V166" s="379"/>
      <c r="W166" s="379"/>
      <c r="X166" s="267" t="e">
        <f>IF(B166&lt;&gt;0,VLOOKUP(B166,#REF!,4,FALSE),"")</f>
        <v>#REF!</v>
      </c>
      <c r="Y166" s="350" t="s">
        <v>1853</v>
      </c>
      <c r="Z166" s="334">
        <f t="shared" si="29"/>
        <v>26218.003499999999</v>
      </c>
      <c r="AB166" s="267" t="e">
        <f>IF(B166&lt;&gt;0,VLOOKUP(B166,#REF!,2,FALSE),"")</f>
        <v>#REF!</v>
      </c>
    </row>
    <row r="167" spans="1:28" s="267" customFormat="1" ht="60">
      <c r="A167" s="19" t="s">
        <v>737</v>
      </c>
      <c r="B167" s="20">
        <v>92761</v>
      </c>
      <c r="C167" s="19" t="s">
        <v>1538</v>
      </c>
      <c r="D167" s="21" t="s">
        <v>12</v>
      </c>
      <c r="E167" s="21" t="s">
        <v>45</v>
      </c>
      <c r="F167" s="22">
        <v>391</v>
      </c>
      <c r="G167" s="22">
        <f t="shared" si="28"/>
        <v>13.276999999999999</v>
      </c>
      <c r="H167" s="22">
        <f t="shared" si="67"/>
        <v>16.84</v>
      </c>
      <c r="I167" s="147">
        <f t="shared" si="68"/>
        <v>6584.44</v>
      </c>
      <c r="J167" s="148">
        <v>13.276999999999999</v>
      </c>
      <c r="K167" s="148">
        <v>16.84</v>
      </c>
      <c r="L167" s="148">
        <v>4609.1099999999997</v>
      </c>
      <c r="M167" s="148">
        <v>14.79</v>
      </c>
      <c r="N167" s="148">
        <v>18.760000000000002</v>
      </c>
      <c r="O167" s="148">
        <v>2200.5500000000002</v>
      </c>
      <c r="P167" s="494"/>
      <c r="Q167" s="148">
        <f t="shared" si="65"/>
        <v>0</v>
      </c>
      <c r="R167" s="148"/>
      <c r="S167" s="148">
        <f t="shared" si="66"/>
        <v>0</v>
      </c>
      <c r="T167" s="148">
        <f t="shared" si="69"/>
        <v>391</v>
      </c>
      <c r="U167" s="148">
        <f t="shared" si="64"/>
        <v>6809.66</v>
      </c>
      <c r="V167" s="379"/>
      <c r="W167" s="379"/>
      <c r="X167" s="267" t="e">
        <f>IF(B167&lt;&gt;0,VLOOKUP(B167,#REF!,4,FALSE),"")</f>
        <v>#REF!</v>
      </c>
      <c r="Y167" s="350" t="s">
        <v>3214</v>
      </c>
      <c r="Z167" s="334">
        <f t="shared" si="29"/>
        <v>5191.3069999999998</v>
      </c>
      <c r="AB167" s="267" t="e">
        <f>IF(B167&lt;&gt;0,VLOOKUP(B167,#REF!,2,FALSE),"")</f>
        <v>#REF!</v>
      </c>
    </row>
    <row r="168" spans="1:28" s="267" customFormat="1" ht="60">
      <c r="A168" s="19" t="s">
        <v>738</v>
      </c>
      <c r="B168" s="20">
        <v>92762</v>
      </c>
      <c r="C168" s="19" t="s">
        <v>1539</v>
      </c>
      <c r="D168" s="21" t="s">
        <v>12</v>
      </c>
      <c r="E168" s="21" t="s">
        <v>45</v>
      </c>
      <c r="F168" s="22">
        <v>1383</v>
      </c>
      <c r="G168" s="22">
        <f t="shared" si="28"/>
        <v>12.1295</v>
      </c>
      <c r="H168" s="22">
        <f t="shared" si="67"/>
        <v>15.38</v>
      </c>
      <c r="I168" s="147">
        <f t="shared" si="68"/>
        <v>21270.54</v>
      </c>
      <c r="J168" s="148">
        <v>14.259999999999998</v>
      </c>
      <c r="K168" s="148">
        <v>18.079999999999998</v>
      </c>
      <c r="L168" s="148">
        <v>17503.25</v>
      </c>
      <c r="M168" s="148">
        <v>11.49</v>
      </c>
      <c r="N168" s="148">
        <v>14.57</v>
      </c>
      <c r="O168" s="148">
        <v>6045.09</v>
      </c>
      <c r="P168" s="494"/>
      <c r="Q168" s="148">
        <f t="shared" si="65"/>
        <v>0</v>
      </c>
      <c r="R168" s="148"/>
      <c r="S168" s="148">
        <f t="shared" si="66"/>
        <v>0</v>
      </c>
      <c r="T168" s="148">
        <f t="shared" si="69"/>
        <v>1383</v>
      </c>
      <c r="U168" s="148">
        <f t="shared" si="64"/>
        <v>23548.34</v>
      </c>
      <c r="V168" s="379"/>
      <c r="W168" s="379"/>
      <c r="X168" s="267" t="e">
        <f>IF(B168&lt;&gt;0,VLOOKUP(B168,#REF!,4,FALSE),"")</f>
        <v>#REF!</v>
      </c>
      <c r="Y168" s="350" t="s">
        <v>3151</v>
      </c>
      <c r="Z168" s="334">
        <f t="shared" si="29"/>
        <v>16775.0985</v>
      </c>
      <c r="AB168" s="267" t="e">
        <f>IF(B168&lt;&gt;0,VLOOKUP(B168,#REF!,2,FALSE),"")</f>
        <v>#REF!</v>
      </c>
    </row>
    <row r="169" spans="1:28" s="267" customFormat="1" ht="60">
      <c r="A169" s="19" t="s">
        <v>739</v>
      </c>
      <c r="B169" s="20">
        <v>92763</v>
      </c>
      <c r="C169" s="19" t="s">
        <v>1540</v>
      </c>
      <c r="D169" s="21" t="s">
        <v>12</v>
      </c>
      <c r="E169" s="21" t="s">
        <v>45</v>
      </c>
      <c r="F169" s="22">
        <v>3091</v>
      </c>
      <c r="G169" s="22">
        <f t="shared" si="28"/>
        <v>10.361499999999999</v>
      </c>
      <c r="H169" s="22">
        <f t="shared" si="67"/>
        <v>13.14</v>
      </c>
      <c r="I169" s="147">
        <f t="shared" si="68"/>
        <v>40615.74</v>
      </c>
      <c r="J169" s="148">
        <v>13.25121</v>
      </c>
      <c r="K169" s="148">
        <v>16.8</v>
      </c>
      <c r="L169" s="148">
        <v>36350.160000000003</v>
      </c>
      <c r="M169" s="148">
        <v>10.50122</v>
      </c>
      <c r="N169" s="148">
        <v>13.32</v>
      </c>
      <c r="O169" s="148">
        <v>12351.64</v>
      </c>
      <c r="P169" s="494"/>
      <c r="Q169" s="148">
        <f t="shared" si="65"/>
        <v>0</v>
      </c>
      <c r="R169" s="148"/>
      <c r="S169" s="148">
        <f t="shared" si="66"/>
        <v>0</v>
      </c>
      <c r="T169" s="148">
        <f t="shared" si="69"/>
        <v>3091</v>
      </c>
      <c r="U169" s="148">
        <f t="shared" si="64"/>
        <v>48701.8</v>
      </c>
      <c r="V169" s="379"/>
      <c r="W169" s="379"/>
      <c r="X169" s="267" t="e">
        <f>IF(B169&lt;&gt;0,VLOOKUP(B169,#REF!,4,FALSE),"")</f>
        <v>#REF!</v>
      </c>
      <c r="Y169" s="350" t="s">
        <v>3131</v>
      </c>
      <c r="Z169" s="334">
        <f t="shared" si="29"/>
        <v>32027.396499999999</v>
      </c>
      <c r="AB169" s="267" t="e">
        <f>IF(B169&lt;&gt;0,VLOOKUP(B169,#REF!,2,FALSE),"")</f>
        <v>#REF!</v>
      </c>
    </row>
    <row r="170" spans="1:28" s="267" customFormat="1" ht="60">
      <c r="A170" s="19" t="s">
        <v>740</v>
      </c>
      <c r="B170" s="20">
        <v>92764</v>
      </c>
      <c r="C170" s="19" t="s">
        <v>1541</v>
      </c>
      <c r="D170" s="21" t="s">
        <v>12</v>
      </c>
      <c r="E170" s="21" t="s">
        <v>45</v>
      </c>
      <c r="F170" s="22">
        <v>2207</v>
      </c>
      <c r="G170" s="22">
        <f t="shared" si="28"/>
        <v>10.064</v>
      </c>
      <c r="H170" s="22">
        <f t="shared" si="67"/>
        <v>12.76</v>
      </c>
      <c r="I170" s="147">
        <f t="shared" si="68"/>
        <v>28161.32</v>
      </c>
      <c r="J170" s="148">
        <v>13.06</v>
      </c>
      <c r="K170" s="148">
        <v>16.559999999999999</v>
      </c>
      <c r="L170" s="148">
        <v>25583.54</v>
      </c>
      <c r="M170" s="148">
        <v>10.28</v>
      </c>
      <c r="N170" s="148">
        <v>13.04</v>
      </c>
      <c r="O170" s="148">
        <v>8633.7800000000007</v>
      </c>
      <c r="P170" s="494"/>
      <c r="Q170" s="148">
        <f t="shared" si="65"/>
        <v>0</v>
      </c>
      <c r="R170" s="148"/>
      <c r="S170" s="148">
        <f t="shared" si="66"/>
        <v>0</v>
      </c>
      <c r="T170" s="148">
        <f t="shared" si="69"/>
        <v>2207</v>
      </c>
      <c r="U170" s="148">
        <f t="shared" si="64"/>
        <v>34217.32</v>
      </c>
      <c r="V170" s="379"/>
      <c r="W170" s="379"/>
      <c r="X170" s="267" t="e">
        <f>IF(B170&lt;&gt;0,VLOOKUP(B170,#REF!,4,FALSE),"")</f>
        <v>#REF!</v>
      </c>
      <c r="Y170" s="350" t="s">
        <v>3041</v>
      </c>
      <c r="Z170" s="334">
        <f t="shared" si="29"/>
        <v>22211.248</v>
      </c>
      <c r="AB170" s="267" t="e">
        <f>IF(B170&lt;&gt;0,VLOOKUP(B170,#REF!,2,FALSE),"")</f>
        <v>#REF!</v>
      </c>
    </row>
    <row r="171" spans="1:28" s="267" customFormat="1" ht="60">
      <c r="A171" s="19" t="s">
        <v>741</v>
      </c>
      <c r="B171" s="20">
        <v>92765</v>
      </c>
      <c r="C171" s="19" t="s">
        <v>1552</v>
      </c>
      <c r="D171" s="21" t="s">
        <v>12</v>
      </c>
      <c r="E171" s="21" t="s">
        <v>45</v>
      </c>
      <c r="F171" s="22">
        <v>3002</v>
      </c>
      <c r="G171" s="22">
        <f t="shared" si="28"/>
        <v>11.542999999999999</v>
      </c>
      <c r="H171" s="22">
        <f t="shared" si="67"/>
        <v>14.64</v>
      </c>
      <c r="I171" s="147">
        <f t="shared" si="68"/>
        <v>43949.279999999999</v>
      </c>
      <c r="J171" s="148">
        <v>13.18</v>
      </c>
      <c r="K171" s="148">
        <v>16.71</v>
      </c>
      <c r="L171" s="148">
        <v>35114.39</v>
      </c>
      <c r="M171" s="148">
        <v>10.6</v>
      </c>
      <c r="N171" s="148">
        <v>13.44</v>
      </c>
      <c r="O171" s="148">
        <v>12104.06</v>
      </c>
      <c r="P171" s="494"/>
      <c r="Q171" s="148">
        <f t="shared" si="65"/>
        <v>0</v>
      </c>
      <c r="R171" s="148"/>
      <c r="S171" s="148">
        <f t="shared" si="66"/>
        <v>0</v>
      </c>
      <c r="T171" s="148">
        <f t="shared" si="69"/>
        <v>3002</v>
      </c>
      <c r="U171" s="148">
        <f t="shared" si="64"/>
        <v>47218.45</v>
      </c>
      <c r="V171" s="379"/>
      <c r="W171" s="379"/>
      <c r="X171" s="267" t="e">
        <f>IF(B171&lt;&gt;0,VLOOKUP(B171,#REF!,4,FALSE),"")</f>
        <v>#REF!</v>
      </c>
      <c r="Y171" s="350" t="s">
        <v>1871</v>
      </c>
      <c r="Z171" s="334">
        <f t="shared" si="29"/>
        <v>34652.085999999996</v>
      </c>
      <c r="AB171" s="267" t="e">
        <f>IF(B171&lt;&gt;0,VLOOKUP(B171,#REF!,2,FALSE),"")</f>
        <v>#REF!</v>
      </c>
    </row>
    <row r="172" spans="1:28" s="267" customFormat="1" ht="60">
      <c r="A172" s="19" t="s">
        <v>742</v>
      </c>
      <c r="B172" s="20">
        <v>92766</v>
      </c>
      <c r="C172" s="19" t="s">
        <v>1553</v>
      </c>
      <c r="D172" s="21" t="s">
        <v>12</v>
      </c>
      <c r="E172" s="21" t="s">
        <v>45</v>
      </c>
      <c r="F172" s="22">
        <v>1007</v>
      </c>
      <c r="G172" s="22">
        <f t="shared" si="28"/>
        <v>11.39</v>
      </c>
      <c r="H172" s="22">
        <f t="shared" si="67"/>
        <v>14.44</v>
      </c>
      <c r="I172" s="147">
        <f t="shared" si="68"/>
        <v>14541.08</v>
      </c>
      <c r="J172" s="148">
        <v>11.39</v>
      </c>
      <c r="K172" s="148">
        <v>14.44</v>
      </c>
      <c r="L172" s="148">
        <v>10178.76</v>
      </c>
      <c r="M172" s="148">
        <v>12.69</v>
      </c>
      <c r="N172" s="148">
        <v>16.09</v>
      </c>
      <c r="O172" s="148">
        <v>4860.79</v>
      </c>
      <c r="P172" s="494"/>
      <c r="Q172" s="148">
        <f t="shared" si="65"/>
        <v>0</v>
      </c>
      <c r="R172" s="148"/>
      <c r="S172" s="148">
        <f t="shared" si="66"/>
        <v>0</v>
      </c>
      <c r="T172" s="148">
        <f t="shared" si="69"/>
        <v>1007</v>
      </c>
      <c r="U172" s="148">
        <f t="shared" si="64"/>
        <v>15039.55</v>
      </c>
      <c r="V172" s="379"/>
      <c r="W172" s="379"/>
      <c r="X172" s="267" t="e">
        <f>IF(B172&lt;&gt;0,VLOOKUP(B172,#REF!,4,FALSE),"")</f>
        <v>#REF!</v>
      </c>
      <c r="Y172" s="350" t="s">
        <v>3189</v>
      </c>
      <c r="Z172" s="334">
        <f t="shared" si="29"/>
        <v>11469.730000000001</v>
      </c>
      <c r="AB172" s="267" t="e">
        <f>IF(B172&lt;&gt;0,VLOOKUP(B172,#REF!,2,FALSE),"")</f>
        <v>#REF!</v>
      </c>
    </row>
    <row r="173" spans="1:28" s="267" customFormat="1" ht="75">
      <c r="A173" s="19" t="s">
        <v>743</v>
      </c>
      <c r="B173" s="20">
        <v>92725</v>
      </c>
      <c r="C173" s="19" t="s">
        <v>1542</v>
      </c>
      <c r="D173" s="21" t="s">
        <v>1914</v>
      </c>
      <c r="E173" s="21" t="s">
        <v>35</v>
      </c>
      <c r="F173" s="22">
        <v>79.81</v>
      </c>
      <c r="G173" s="22">
        <f t="shared" si="28"/>
        <v>394.35749999999996</v>
      </c>
      <c r="H173" s="22">
        <f t="shared" si="67"/>
        <v>500.08</v>
      </c>
      <c r="I173" s="147">
        <f t="shared" si="68"/>
        <v>39911.379999999997</v>
      </c>
      <c r="J173" s="148">
        <v>491.9</v>
      </c>
      <c r="K173" s="148">
        <v>623.78</v>
      </c>
      <c r="L173" s="148">
        <v>34848.720000000001</v>
      </c>
      <c r="M173" s="148">
        <v>600.08000000000004</v>
      </c>
      <c r="N173" s="148">
        <v>760.96</v>
      </c>
      <c r="O173" s="148">
        <v>18219.669999999998</v>
      </c>
      <c r="P173" s="494"/>
      <c r="Q173" s="148">
        <f t="shared" si="65"/>
        <v>0</v>
      </c>
      <c r="R173" s="148"/>
      <c r="S173" s="148">
        <f t="shared" si="66"/>
        <v>0</v>
      </c>
      <c r="T173" s="148">
        <f t="shared" si="69"/>
        <v>79.81</v>
      </c>
      <c r="U173" s="148">
        <f t="shared" si="64"/>
        <v>53068.39</v>
      </c>
      <c r="V173" s="379"/>
      <c r="W173" s="379"/>
      <c r="X173" s="268">
        <f>'COMPOSIÇÃO DE CUSTOS'!G130</f>
        <v>394.36</v>
      </c>
      <c r="Y173" s="335">
        <v>463.95</v>
      </c>
      <c r="Z173" s="334">
        <f t="shared" si="29"/>
        <v>31473.672074999999</v>
      </c>
      <c r="AA173" s="268"/>
    </row>
    <row r="174" spans="1:28" s="23" customFormat="1" ht="23.25" customHeight="1">
      <c r="A174" s="229" t="s">
        <v>744</v>
      </c>
      <c r="B174" s="229"/>
      <c r="C174" s="229" t="s">
        <v>60</v>
      </c>
      <c r="D174" s="230"/>
      <c r="E174" s="230"/>
      <c r="F174" s="230"/>
      <c r="G174" s="22"/>
      <c r="H174" s="230"/>
      <c r="I174" s="445"/>
      <c r="J174" s="440"/>
      <c r="K174" s="440"/>
      <c r="L174" s="440"/>
      <c r="M174" s="440"/>
      <c r="N174" s="440"/>
      <c r="O174" s="440"/>
      <c r="P174" s="492"/>
      <c r="Q174" s="148"/>
      <c r="R174" s="148"/>
      <c r="S174" s="148"/>
      <c r="T174" s="148"/>
      <c r="U174" s="148"/>
      <c r="V174" s="330">
        <f>SUM(Q185:Q187)-S175</f>
        <v>419437.86</v>
      </c>
      <c r="W174" s="330"/>
      <c r="X174" s="23" t="str">
        <f>IF(B174&lt;&gt;0,VLOOKUP(B174,#REF!,4,FALSE),"")</f>
        <v/>
      </c>
      <c r="Y174" s="347"/>
      <c r="Z174" s="334">
        <f t="shared" si="29"/>
        <v>0</v>
      </c>
      <c r="AB174" s="23" t="str">
        <f>IF(B174&lt;&gt;0,VLOOKUP(B174,#REF!,2,FALSE),"")</f>
        <v/>
      </c>
    </row>
    <row r="175" spans="1:28" s="38" customFormat="1" ht="90">
      <c r="A175" s="449" t="s">
        <v>745</v>
      </c>
      <c r="B175" s="448">
        <v>92489</v>
      </c>
      <c r="C175" s="449" t="s">
        <v>1833</v>
      </c>
      <c r="D175" s="447" t="s">
        <v>1914</v>
      </c>
      <c r="E175" s="447" t="s">
        <v>26</v>
      </c>
      <c r="F175" s="450">
        <v>1404.19</v>
      </c>
      <c r="G175" s="450">
        <f t="shared" si="28"/>
        <v>28.823499999999996</v>
      </c>
      <c r="H175" s="450">
        <f t="shared" ref="H175:H184" si="70">ROUND(G175*(1+$X$14),2)</f>
        <v>36.549999999999997</v>
      </c>
      <c r="I175" s="451">
        <f t="shared" ref="I175:I184" si="71">ROUND(H175*F175,2)</f>
        <v>51323.14</v>
      </c>
      <c r="J175" s="452">
        <v>42.66</v>
      </c>
      <c r="K175" s="452">
        <v>54.1</v>
      </c>
      <c r="L175" s="452">
        <v>34185.01</v>
      </c>
      <c r="M175" s="452">
        <v>41.72</v>
      </c>
      <c r="N175" s="452">
        <v>52.91</v>
      </c>
      <c r="O175" s="452">
        <v>40862.629999999997</v>
      </c>
      <c r="P175" s="493"/>
      <c r="Q175" s="452">
        <f t="shared" si="65"/>
        <v>0</v>
      </c>
      <c r="R175" s="452">
        <f>F175</f>
        <v>1404.19</v>
      </c>
      <c r="S175" s="452">
        <f>L175+O175</f>
        <v>75047.64</v>
      </c>
      <c r="T175" s="452">
        <f t="shared" ref="T175:T184" si="72">F175+P175-R175</f>
        <v>0</v>
      </c>
      <c r="U175" s="452">
        <f t="shared" si="64"/>
        <v>0</v>
      </c>
      <c r="V175" s="453"/>
      <c r="W175" s="453"/>
      <c r="X175" s="42">
        <f>'COMPOSIÇÃO DE CUSTOS'!G141</f>
        <v>28.84</v>
      </c>
      <c r="Y175" s="336">
        <v>33.909999999999997</v>
      </c>
      <c r="Z175" s="336">
        <f t="shared" si="29"/>
        <v>40473.670464999996</v>
      </c>
      <c r="AA175" s="42"/>
      <c r="AB175" s="38" t="e">
        <f>IF(B175&lt;&gt;0,VLOOKUP(B175,#REF!,2,FALSE),"")</f>
        <v>#REF!</v>
      </c>
    </row>
    <row r="176" spans="1:28" s="267" customFormat="1" ht="60">
      <c r="A176" s="19" t="s">
        <v>746</v>
      </c>
      <c r="B176" s="20">
        <v>92481</v>
      </c>
      <c r="C176" s="19" t="s">
        <v>1535</v>
      </c>
      <c r="D176" s="21" t="s">
        <v>1914</v>
      </c>
      <c r="E176" s="21" t="s">
        <v>26</v>
      </c>
      <c r="F176" s="22">
        <v>51.68</v>
      </c>
      <c r="G176" s="22">
        <f t="shared" si="28"/>
        <v>197.89699999999999</v>
      </c>
      <c r="H176" s="22">
        <f t="shared" si="70"/>
        <v>250.95</v>
      </c>
      <c r="I176" s="147">
        <f t="shared" si="71"/>
        <v>12969.1</v>
      </c>
      <c r="J176" s="148">
        <v>234.24</v>
      </c>
      <c r="K176" s="148">
        <v>297.04000000000002</v>
      </c>
      <c r="L176" s="148">
        <v>6907.96</v>
      </c>
      <c r="M176" s="148">
        <v>284.67</v>
      </c>
      <c r="N176" s="148">
        <v>360.99</v>
      </c>
      <c r="O176" s="148">
        <v>10260.780000000001</v>
      </c>
      <c r="P176" s="494"/>
      <c r="Q176" s="148">
        <f t="shared" si="65"/>
        <v>0</v>
      </c>
      <c r="R176" s="148"/>
      <c r="S176" s="148">
        <f t="shared" si="66"/>
        <v>0</v>
      </c>
      <c r="T176" s="148">
        <f t="shared" si="72"/>
        <v>51.68</v>
      </c>
      <c r="U176" s="148">
        <f t="shared" si="64"/>
        <v>17168.740000000002</v>
      </c>
      <c r="V176" s="379"/>
      <c r="W176" s="379"/>
      <c r="X176" s="268">
        <f>'COMPOSIÇÃO DE CUSTOS'!G152</f>
        <v>197.9</v>
      </c>
      <c r="Y176" s="335">
        <v>232.82</v>
      </c>
      <c r="Z176" s="334">
        <f t="shared" si="29"/>
        <v>10227.31696</v>
      </c>
      <c r="AA176" s="268"/>
      <c r="AB176" s="267" t="e">
        <f>IF(B176&lt;&gt;0,VLOOKUP(B176,#REF!,2,FALSE),"")</f>
        <v>#REF!</v>
      </c>
    </row>
    <row r="177" spans="1:28" s="267" customFormat="1" ht="60">
      <c r="A177" s="19" t="s">
        <v>3395</v>
      </c>
      <c r="B177" s="20">
        <v>92769</v>
      </c>
      <c r="C177" s="19" t="s">
        <v>1556</v>
      </c>
      <c r="D177" s="21" t="s">
        <v>12</v>
      </c>
      <c r="E177" s="21" t="s">
        <v>45</v>
      </c>
      <c r="F177" s="22">
        <v>195</v>
      </c>
      <c r="G177" s="22">
        <f t="shared" si="28"/>
        <v>12.954000000000001</v>
      </c>
      <c r="H177" s="22">
        <f t="shared" si="70"/>
        <v>16.43</v>
      </c>
      <c r="I177" s="147">
        <f t="shared" si="71"/>
        <v>3203.85</v>
      </c>
      <c r="J177" s="148">
        <v>12.954000000000001</v>
      </c>
      <c r="K177" s="148">
        <v>16.43</v>
      </c>
      <c r="L177" s="148">
        <v>1441.73</v>
      </c>
      <c r="M177" s="148">
        <v>14.43</v>
      </c>
      <c r="N177" s="148">
        <v>18.3</v>
      </c>
      <c r="O177" s="148">
        <v>1962.68</v>
      </c>
      <c r="P177" s="494"/>
      <c r="Q177" s="148">
        <f t="shared" si="65"/>
        <v>0</v>
      </c>
      <c r="R177" s="148"/>
      <c r="S177" s="148">
        <f t="shared" si="66"/>
        <v>0</v>
      </c>
      <c r="T177" s="148">
        <f t="shared" si="72"/>
        <v>195</v>
      </c>
      <c r="U177" s="148">
        <f t="shared" si="64"/>
        <v>3404.41</v>
      </c>
      <c r="V177" s="379"/>
      <c r="W177" s="379"/>
      <c r="X177" s="267" t="e">
        <f>IF(B177&lt;&gt;0,VLOOKUP(B177,#REF!,4,FALSE),"")</f>
        <v>#REF!</v>
      </c>
      <c r="Y177" s="350" t="s">
        <v>3146</v>
      </c>
      <c r="Z177" s="334">
        <f t="shared" si="29"/>
        <v>2526.0300000000002</v>
      </c>
      <c r="AB177" s="267" t="e">
        <f>IF(B177&lt;&gt;0,VLOOKUP(B177,#REF!,2,FALSE),"")</f>
        <v>#REF!</v>
      </c>
    </row>
    <row r="178" spans="1:28" s="267" customFormat="1" ht="60">
      <c r="A178" s="19" t="s">
        <v>3396</v>
      </c>
      <c r="B178" s="20">
        <v>92770</v>
      </c>
      <c r="C178" s="19" t="s">
        <v>1557</v>
      </c>
      <c r="D178" s="21" t="s">
        <v>12</v>
      </c>
      <c r="E178" s="21" t="s">
        <v>45</v>
      </c>
      <c r="F178" s="22">
        <v>206</v>
      </c>
      <c r="G178" s="22">
        <f t="shared" si="28"/>
        <v>12.783999999999999</v>
      </c>
      <c r="H178" s="22">
        <f t="shared" si="70"/>
        <v>16.21</v>
      </c>
      <c r="I178" s="147">
        <f t="shared" si="71"/>
        <v>3339.26</v>
      </c>
      <c r="J178" s="148">
        <v>12.783999999999999</v>
      </c>
      <c r="K178" s="148">
        <v>16.21</v>
      </c>
      <c r="L178" s="148">
        <v>1502.67</v>
      </c>
      <c r="M178" s="148">
        <v>14.24</v>
      </c>
      <c r="N178" s="148">
        <v>18.059999999999999</v>
      </c>
      <c r="O178" s="148">
        <v>2046.2</v>
      </c>
      <c r="P178" s="494"/>
      <c r="Q178" s="148">
        <f t="shared" si="65"/>
        <v>0</v>
      </c>
      <c r="R178" s="148"/>
      <c r="S178" s="148">
        <f t="shared" si="66"/>
        <v>0</v>
      </c>
      <c r="T178" s="148">
        <f t="shared" si="72"/>
        <v>206</v>
      </c>
      <c r="U178" s="148">
        <f t="shared" si="64"/>
        <v>3548.87</v>
      </c>
      <c r="V178" s="379"/>
      <c r="W178" s="379"/>
      <c r="X178" s="267" t="e">
        <f>IF(B178&lt;&gt;0,VLOOKUP(B178,#REF!,4,FALSE),"")</f>
        <v>#REF!</v>
      </c>
      <c r="Y178" s="350" t="s">
        <v>1837</v>
      </c>
      <c r="Z178" s="334">
        <f t="shared" si="29"/>
        <v>2633.5039999999999</v>
      </c>
      <c r="AB178" s="267" t="e">
        <f>IF(B178&lt;&gt;0,VLOOKUP(B178,#REF!,2,FALSE),"")</f>
        <v>#REF!</v>
      </c>
    </row>
    <row r="179" spans="1:28" s="267" customFormat="1" ht="60">
      <c r="A179" s="19" t="s">
        <v>3397</v>
      </c>
      <c r="B179" s="20">
        <v>92771</v>
      </c>
      <c r="C179" s="19" t="s">
        <v>1558</v>
      </c>
      <c r="D179" s="21" t="s">
        <v>12</v>
      </c>
      <c r="E179" s="21" t="s">
        <v>45</v>
      </c>
      <c r="F179" s="22">
        <v>1281</v>
      </c>
      <c r="G179" s="22">
        <f t="shared" si="28"/>
        <v>11.721499999999999</v>
      </c>
      <c r="H179" s="22">
        <f t="shared" si="70"/>
        <v>14.86</v>
      </c>
      <c r="I179" s="147">
        <f t="shared" si="71"/>
        <v>19035.66</v>
      </c>
      <c r="J179" s="148">
        <v>11.721499999999999</v>
      </c>
      <c r="K179" s="148">
        <v>14.86</v>
      </c>
      <c r="L179" s="148">
        <v>8566.0499999999993</v>
      </c>
      <c r="M179" s="148">
        <v>13.06</v>
      </c>
      <c r="N179" s="148">
        <v>16.559999999999999</v>
      </c>
      <c r="O179" s="148">
        <v>11667.35</v>
      </c>
      <c r="P179" s="494"/>
      <c r="Q179" s="148">
        <f t="shared" si="65"/>
        <v>0</v>
      </c>
      <c r="R179" s="148"/>
      <c r="S179" s="148">
        <f t="shared" si="66"/>
        <v>0</v>
      </c>
      <c r="T179" s="148">
        <f t="shared" si="72"/>
        <v>1281</v>
      </c>
      <c r="U179" s="148">
        <f t="shared" si="64"/>
        <v>20233.400000000001</v>
      </c>
      <c r="V179" s="379"/>
      <c r="W179" s="379"/>
      <c r="X179" s="267" t="e">
        <f>IF(B179&lt;&gt;0,VLOOKUP(B179,#REF!,4,FALSE),"")</f>
        <v>#REF!</v>
      </c>
      <c r="Y179" s="350" t="s">
        <v>3035</v>
      </c>
      <c r="Z179" s="334">
        <f t="shared" si="29"/>
        <v>15015.241499999998</v>
      </c>
      <c r="AB179" s="267" t="e">
        <f>IF(B179&lt;&gt;0,VLOOKUP(B179,#REF!,2,FALSE),"")</f>
        <v>#REF!</v>
      </c>
    </row>
    <row r="180" spans="1:28" s="267" customFormat="1" ht="60">
      <c r="A180" s="19" t="s">
        <v>3398</v>
      </c>
      <c r="B180" s="20">
        <v>92772</v>
      </c>
      <c r="C180" s="19" t="s">
        <v>1559</v>
      </c>
      <c r="D180" s="21" t="s">
        <v>12</v>
      </c>
      <c r="E180" s="21" t="s">
        <v>45</v>
      </c>
      <c r="F180" s="22">
        <v>1963</v>
      </c>
      <c r="G180" s="22">
        <f t="shared" si="28"/>
        <v>10.047000000000001</v>
      </c>
      <c r="H180" s="22">
        <f t="shared" si="70"/>
        <v>12.74</v>
      </c>
      <c r="I180" s="147">
        <f t="shared" si="71"/>
        <v>25008.62</v>
      </c>
      <c r="J180" s="148">
        <v>10.047000000000001</v>
      </c>
      <c r="K180" s="148">
        <v>12.74</v>
      </c>
      <c r="L180" s="148">
        <v>11253.88</v>
      </c>
      <c r="M180" s="148">
        <v>11.19</v>
      </c>
      <c r="N180" s="148">
        <v>14.19</v>
      </c>
      <c r="O180" s="148">
        <v>15320.23</v>
      </c>
      <c r="P180" s="494"/>
      <c r="Q180" s="148">
        <f t="shared" si="65"/>
        <v>0</v>
      </c>
      <c r="R180" s="148"/>
      <c r="S180" s="148">
        <f t="shared" si="66"/>
        <v>0</v>
      </c>
      <c r="T180" s="148">
        <f t="shared" si="72"/>
        <v>1963</v>
      </c>
      <c r="U180" s="148">
        <f t="shared" si="64"/>
        <v>26574.11</v>
      </c>
      <c r="V180" s="379"/>
      <c r="W180" s="379"/>
      <c r="X180" s="267" t="e">
        <f>IF(B180&lt;&gt;0,VLOOKUP(B180,#REF!,4,FALSE),"")</f>
        <v>#REF!</v>
      </c>
      <c r="Y180" s="350" t="s">
        <v>3121</v>
      </c>
      <c r="Z180" s="334">
        <f t="shared" si="29"/>
        <v>19722.261000000002</v>
      </c>
      <c r="AB180" s="267" t="e">
        <f>IF(B180&lt;&gt;0,VLOOKUP(B180,#REF!,2,FALSE),"")</f>
        <v>#REF!</v>
      </c>
    </row>
    <row r="181" spans="1:28" s="267" customFormat="1" ht="60">
      <c r="A181" s="19" t="s">
        <v>3399</v>
      </c>
      <c r="B181" s="20">
        <v>92773</v>
      </c>
      <c r="C181" s="19" t="s">
        <v>1560</v>
      </c>
      <c r="D181" s="21" t="s">
        <v>12</v>
      </c>
      <c r="E181" s="21" t="s">
        <v>45</v>
      </c>
      <c r="F181" s="22">
        <v>187</v>
      </c>
      <c r="G181" s="22">
        <f t="shared" si="28"/>
        <v>9.8345000000000002</v>
      </c>
      <c r="H181" s="22">
        <f t="shared" si="70"/>
        <v>12.47</v>
      </c>
      <c r="I181" s="147">
        <f t="shared" si="71"/>
        <v>2331.89</v>
      </c>
      <c r="J181" s="148">
        <v>12.829999999999998</v>
      </c>
      <c r="K181" s="148">
        <v>16.27</v>
      </c>
      <c r="L181" s="148">
        <v>1369.12</v>
      </c>
      <c r="M181" s="148">
        <v>9.9899999999999984</v>
      </c>
      <c r="N181" s="148">
        <v>12.67</v>
      </c>
      <c r="O181" s="148">
        <v>1303.1099999999999</v>
      </c>
      <c r="P181" s="494"/>
      <c r="Q181" s="148">
        <f t="shared" si="65"/>
        <v>0</v>
      </c>
      <c r="R181" s="148"/>
      <c r="S181" s="148">
        <f t="shared" si="66"/>
        <v>0</v>
      </c>
      <c r="T181" s="148">
        <f t="shared" si="72"/>
        <v>187</v>
      </c>
      <c r="U181" s="148">
        <f t="shared" si="64"/>
        <v>2672.2299999999996</v>
      </c>
      <c r="V181" s="379"/>
      <c r="W181" s="379"/>
      <c r="X181" s="267" t="e">
        <f>IF(B181&lt;&gt;0,VLOOKUP(B181,#REF!,4,FALSE),"")</f>
        <v>#REF!</v>
      </c>
      <c r="Y181" s="350" t="s">
        <v>3117</v>
      </c>
      <c r="Z181" s="334">
        <f t="shared" si="29"/>
        <v>1839.0515</v>
      </c>
      <c r="AB181" s="267" t="e">
        <f>IF(B181&lt;&gt;0,VLOOKUP(B181,#REF!,2,FALSE),"")</f>
        <v>#REF!</v>
      </c>
    </row>
    <row r="182" spans="1:28" s="267" customFormat="1" ht="60">
      <c r="A182" s="19" t="s">
        <v>3400</v>
      </c>
      <c r="B182" s="20">
        <v>92774</v>
      </c>
      <c r="C182" s="19" t="s">
        <v>1561</v>
      </c>
      <c r="D182" s="21" t="s">
        <v>12</v>
      </c>
      <c r="E182" s="21" t="s">
        <v>45</v>
      </c>
      <c r="F182" s="22">
        <v>3676</v>
      </c>
      <c r="G182" s="22">
        <f t="shared" si="28"/>
        <v>11.39</v>
      </c>
      <c r="H182" s="22">
        <f t="shared" si="70"/>
        <v>14.44</v>
      </c>
      <c r="I182" s="147">
        <f t="shared" si="71"/>
        <v>53081.440000000002</v>
      </c>
      <c r="J182" s="148">
        <v>13</v>
      </c>
      <c r="K182" s="148">
        <v>16.489999999999998</v>
      </c>
      <c r="L182" s="148">
        <v>27277.759999999998</v>
      </c>
      <c r="M182" s="148">
        <v>10.39</v>
      </c>
      <c r="N182" s="148">
        <v>13.18</v>
      </c>
      <c r="O182" s="148">
        <v>26647.32</v>
      </c>
      <c r="P182" s="494"/>
      <c r="Q182" s="148">
        <f t="shared" si="65"/>
        <v>0</v>
      </c>
      <c r="R182" s="148"/>
      <c r="S182" s="148">
        <f t="shared" si="66"/>
        <v>0</v>
      </c>
      <c r="T182" s="148">
        <f t="shared" si="72"/>
        <v>3676</v>
      </c>
      <c r="U182" s="148">
        <f t="shared" si="64"/>
        <v>53925.08</v>
      </c>
      <c r="V182" s="379"/>
      <c r="W182" s="379"/>
      <c r="X182" s="267" t="e">
        <f>IF(B182&lt;&gt;0,VLOOKUP(B182,#REF!,4,FALSE),"")</f>
        <v>#REF!</v>
      </c>
      <c r="Y182" s="350" t="s">
        <v>3189</v>
      </c>
      <c r="Z182" s="334">
        <f t="shared" si="29"/>
        <v>41869.64</v>
      </c>
      <c r="AB182" s="267" t="e">
        <f>IF(B182&lt;&gt;0,VLOOKUP(B182,#REF!,2,FALSE),"")</f>
        <v>#REF!</v>
      </c>
    </row>
    <row r="183" spans="1:28" s="267" customFormat="1" ht="60">
      <c r="A183" s="19" t="s">
        <v>3401</v>
      </c>
      <c r="B183" s="20">
        <v>85662</v>
      </c>
      <c r="C183" s="19" t="s">
        <v>61</v>
      </c>
      <c r="D183" s="21" t="s">
        <v>1914</v>
      </c>
      <c r="E183" s="21" t="s">
        <v>26</v>
      </c>
      <c r="F183" s="22">
        <v>1404.19</v>
      </c>
      <c r="G183" s="22">
        <f t="shared" si="28"/>
        <v>15.512499999999999</v>
      </c>
      <c r="H183" s="22">
        <f t="shared" si="70"/>
        <v>19.670000000000002</v>
      </c>
      <c r="I183" s="147">
        <f t="shared" si="71"/>
        <v>27620.42</v>
      </c>
      <c r="J183" s="148">
        <v>15.512499999999999</v>
      </c>
      <c r="K183" s="148">
        <v>19.670000000000002</v>
      </c>
      <c r="L183" s="148">
        <v>12429.19</v>
      </c>
      <c r="M183" s="148">
        <v>15.94</v>
      </c>
      <c r="N183" s="148">
        <v>20.21</v>
      </c>
      <c r="O183" s="148">
        <v>15608.27</v>
      </c>
      <c r="P183" s="494"/>
      <c r="Q183" s="148">
        <f t="shared" si="65"/>
        <v>0</v>
      </c>
      <c r="R183" s="148"/>
      <c r="S183" s="148">
        <f t="shared" si="66"/>
        <v>0</v>
      </c>
      <c r="T183" s="148">
        <f t="shared" si="72"/>
        <v>1404.19</v>
      </c>
      <c r="U183" s="148">
        <f t="shared" si="64"/>
        <v>28037.46</v>
      </c>
      <c r="V183" s="379"/>
      <c r="W183" s="379"/>
      <c r="X183" s="266">
        <f>'COMPOSIÇÃO DE CUSTOS'!G160</f>
        <v>15.53</v>
      </c>
      <c r="Y183" s="350">
        <v>18.25</v>
      </c>
      <c r="Z183" s="334">
        <f t="shared" si="29"/>
        <v>21782.497374999999</v>
      </c>
      <c r="AA183" s="266"/>
    </row>
    <row r="184" spans="1:28" s="267" customFormat="1" ht="75">
      <c r="A184" s="19" t="s">
        <v>3402</v>
      </c>
      <c r="B184" s="20">
        <v>92725</v>
      </c>
      <c r="C184" s="19" t="s">
        <v>1542</v>
      </c>
      <c r="D184" s="21" t="s">
        <v>1914</v>
      </c>
      <c r="E184" s="21" t="s">
        <v>35</v>
      </c>
      <c r="F184" s="22">
        <v>174.65</v>
      </c>
      <c r="G184" s="22">
        <f t="shared" si="28"/>
        <v>394.35749999999996</v>
      </c>
      <c r="H184" s="22">
        <f t="shared" si="70"/>
        <v>500.08</v>
      </c>
      <c r="I184" s="147">
        <f t="shared" si="71"/>
        <v>87338.97</v>
      </c>
      <c r="J184" s="148">
        <v>491.9</v>
      </c>
      <c r="K184" s="148">
        <v>623.78</v>
      </c>
      <c r="L184" s="148">
        <v>49024.43</v>
      </c>
      <c r="M184" s="148">
        <v>600.08000000000004</v>
      </c>
      <c r="N184" s="148">
        <v>760.96</v>
      </c>
      <c r="O184" s="148">
        <v>73095.92</v>
      </c>
      <c r="P184" s="494"/>
      <c r="Q184" s="148">
        <f t="shared" si="65"/>
        <v>0</v>
      </c>
      <c r="R184" s="148"/>
      <c r="S184" s="148">
        <f t="shared" si="66"/>
        <v>0</v>
      </c>
      <c r="T184" s="148">
        <f t="shared" si="72"/>
        <v>174.65</v>
      </c>
      <c r="U184" s="148">
        <f t="shared" si="64"/>
        <v>122120.35</v>
      </c>
      <c r="V184" s="379"/>
      <c r="W184" s="379"/>
      <c r="X184" s="266">
        <f>X173</f>
        <v>394.36</v>
      </c>
      <c r="Y184" s="350">
        <v>463.95</v>
      </c>
      <c r="Z184" s="334">
        <f t="shared" si="29"/>
        <v>68874.537375</v>
      </c>
      <c r="AA184" s="266"/>
    </row>
    <row r="185" spans="1:28" s="38" customFormat="1" ht="45">
      <c r="A185" s="449" t="s">
        <v>3828</v>
      </c>
      <c r="B185" s="448">
        <v>7337</v>
      </c>
      <c r="C185" s="449" t="s">
        <v>3836</v>
      </c>
      <c r="D185" s="447" t="s">
        <v>44</v>
      </c>
      <c r="E185" s="447" t="s">
        <v>26</v>
      </c>
      <c r="F185" s="450"/>
      <c r="G185" s="450">
        <f>(V185-(V185*$Y$15))*$S$16</f>
        <v>33.634140545033169</v>
      </c>
      <c r="H185" s="450">
        <f>ROUND(G185*(1+$X$14),2)</f>
        <v>42.65</v>
      </c>
      <c r="I185" s="451"/>
      <c r="J185" s="452"/>
      <c r="K185" s="452"/>
      <c r="L185" s="452"/>
      <c r="M185" s="452"/>
      <c r="N185" s="452"/>
      <c r="O185" s="452"/>
      <c r="P185" s="493">
        <v>1404.19</v>
      </c>
      <c r="Q185" s="452">
        <f>ROUND(P185*H185,2)</f>
        <v>59888.7</v>
      </c>
      <c r="R185" s="452"/>
      <c r="S185" s="452"/>
      <c r="T185" s="452"/>
      <c r="U185" s="452">
        <f t="shared" si="64"/>
        <v>59888.7</v>
      </c>
      <c r="V185" s="478">
        <f>COMP!G26</f>
        <v>35.520000000000003</v>
      </c>
      <c r="W185" s="449" t="s">
        <v>3822</v>
      </c>
      <c r="X185" s="65"/>
      <c r="Y185" s="351"/>
      <c r="Z185" s="336"/>
      <c r="AA185" s="65"/>
    </row>
    <row r="186" spans="1:28" s="38" customFormat="1" ht="45">
      <c r="A186" s="449" t="s">
        <v>3829</v>
      </c>
      <c r="B186" s="448">
        <v>7338</v>
      </c>
      <c r="C186" s="449" t="s">
        <v>3837</v>
      </c>
      <c r="D186" s="447" t="s">
        <v>44</v>
      </c>
      <c r="E186" s="447" t="s">
        <v>26</v>
      </c>
      <c r="F186" s="450"/>
      <c r="G186" s="450">
        <f>(V186-(V186*$Y$15))*$S$16</f>
        <v>48.24491725139189</v>
      </c>
      <c r="H186" s="450">
        <f>ROUND(G186*(1+$X$14),2)</f>
        <v>61.18</v>
      </c>
      <c r="I186" s="451"/>
      <c r="J186" s="452"/>
      <c r="K186" s="452"/>
      <c r="L186" s="452"/>
      <c r="M186" s="452"/>
      <c r="N186" s="452"/>
      <c r="O186" s="452"/>
      <c r="P186" s="493">
        <v>1404.19</v>
      </c>
      <c r="Q186" s="452">
        <f>ROUND(P186*H186,2)</f>
        <v>85908.34</v>
      </c>
      <c r="R186" s="452"/>
      <c r="S186" s="452"/>
      <c r="T186" s="452"/>
      <c r="U186" s="452">
        <f t="shared" si="64"/>
        <v>85908.34</v>
      </c>
      <c r="V186" s="478">
        <f>COMP!G33</f>
        <v>50.95</v>
      </c>
      <c r="W186" s="449" t="s">
        <v>3831</v>
      </c>
      <c r="X186" s="65"/>
      <c r="Y186" s="351"/>
      <c r="Z186" s="336"/>
      <c r="AA186" s="65"/>
    </row>
    <row r="187" spans="1:28" s="38" customFormat="1" ht="60">
      <c r="A187" s="449" t="s">
        <v>3830</v>
      </c>
      <c r="B187" s="448">
        <v>7307</v>
      </c>
      <c r="C187" s="449" t="s">
        <v>3838</v>
      </c>
      <c r="D187" s="447" t="s">
        <v>44</v>
      </c>
      <c r="E187" s="447" t="s">
        <v>35</v>
      </c>
      <c r="F187" s="450"/>
      <c r="G187" s="450">
        <f>(V187-(V187*$Y$15))*$S$16</f>
        <v>48.955097583846133</v>
      </c>
      <c r="H187" s="450">
        <f>ROUND(G187*(1+$X$14),2)</f>
        <v>62.08</v>
      </c>
      <c r="I187" s="451"/>
      <c r="J187" s="452"/>
      <c r="K187" s="452"/>
      <c r="L187" s="452"/>
      <c r="M187" s="452"/>
      <c r="N187" s="452"/>
      <c r="O187" s="452"/>
      <c r="P187" s="493">
        <f>4*1404.19</f>
        <v>5616.76</v>
      </c>
      <c r="Q187" s="452">
        <f>ROUND(P187*H187,2)</f>
        <v>348688.46</v>
      </c>
      <c r="R187" s="452"/>
      <c r="S187" s="452"/>
      <c r="T187" s="452"/>
      <c r="U187" s="452">
        <f t="shared" si="64"/>
        <v>348688.46</v>
      </c>
      <c r="V187" s="478">
        <f>COMP!G40</f>
        <v>51.7</v>
      </c>
      <c r="W187" s="449" t="s">
        <v>3833</v>
      </c>
      <c r="X187" s="65"/>
      <c r="Y187" s="351"/>
      <c r="Z187" s="336"/>
      <c r="AA187" s="65"/>
    </row>
    <row r="188" spans="1:28">
      <c r="A188" s="229" t="s">
        <v>747</v>
      </c>
      <c r="B188" s="229"/>
      <c r="C188" s="229" t="s">
        <v>62</v>
      </c>
      <c r="D188" s="230"/>
      <c r="E188" s="230"/>
      <c r="F188" s="230"/>
      <c r="G188" s="22"/>
      <c r="H188" s="230"/>
      <c r="I188" s="445"/>
      <c r="J188" s="440"/>
      <c r="K188" s="440"/>
      <c r="L188" s="440"/>
      <c r="M188" s="440"/>
      <c r="N188" s="440"/>
      <c r="O188" s="440"/>
      <c r="P188" s="492"/>
      <c r="Q188" s="440"/>
      <c r="R188" s="440"/>
      <c r="S188" s="440"/>
      <c r="T188" s="148"/>
      <c r="U188" s="148"/>
      <c r="V188" s="330"/>
      <c r="W188" s="330"/>
      <c r="X188" s="2" t="str">
        <f>IF(B188&lt;&gt;0,VLOOKUP(B188,#REF!,4,FALSE),"")</f>
        <v/>
      </c>
      <c r="Z188" s="334">
        <f t="shared" si="29"/>
        <v>0</v>
      </c>
      <c r="AB188" s="2" t="str">
        <f>IF(B188&lt;&gt;0,VLOOKUP(B188,#REF!,2,FALSE),"")</f>
        <v/>
      </c>
    </row>
    <row r="189" spans="1:28" s="267" customFormat="1" ht="45">
      <c r="A189" s="19" t="s">
        <v>748</v>
      </c>
      <c r="B189" s="130">
        <v>95938</v>
      </c>
      <c r="C189" s="19" t="s">
        <v>1834</v>
      </c>
      <c r="D189" s="21" t="s">
        <v>1914</v>
      </c>
      <c r="E189" s="21" t="s">
        <v>26</v>
      </c>
      <c r="F189" s="22">
        <v>47.61</v>
      </c>
      <c r="G189" s="22">
        <f t="shared" si="28"/>
        <v>226.35500000000002</v>
      </c>
      <c r="H189" s="22">
        <f>ROUND(G189*(1+$X$14),2)</f>
        <v>287.04000000000002</v>
      </c>
      <c r="I189" s="147">
        <f>ROUND(H189*F189,2)</f>
        <v>13665.97</v>
      </c>
      <c r="J189" s="148">
        <v>226.35500000000002</v>
      </c>
      <c r="K189" s="148">
        <v>287.04000000000002</v>
      </c>
      <c r="L189" s="148">
        <v>9566.18</v>
      </c>
      <c r="M189" s="148">
        <v>252.16</v>
      </c>
      <c r="N189" s="148">
        <v>319.76</v>
      </c>
      <c r="O189" s="148">
        <v>4567.13</v>
      </c>
      <c r="P189" s="494"/>
      <c r="Q189" s="148">
        <f>ROUND(P189*N189,2)</f>
        <v>0</v>
      </c>
      <c r="R189" s="148"/>
      <c r="S189" s="148">
        <f>ROUND(R189*N189,2)</f>
        <v>0</v>
      </c>
      <c r="T189" s="148">
        <f>F189+P189-R189</f>
        <v>47.61</v>
      </c>
      <c r="U189" s="148">
        <f t="shared" si="64"/>
        <v>14133.310000000001</v>
      </c>
      <c r="V189" s="379"/>
      <c r="W189" s="379"/>
      <c r="X189" s="266">
        <f>'COMPOSIÇÃO DE CUSTOS'!G171</f>
        <v>226.37</v>
      </c>
      <c r="Y189" s="350">
        <v>266.3</v>
      </c>
      <c r="Z189" s="334">
        <f t="shared" si="29"/>
        <v>10776.761550000001</v>
      </c>
      <c r="AA189" s="266"/>
    </row>
    <row r="190" spans="1:28" s="267" customFormat="1" ht="60">
      <c r="A190" s="449" t="s">
        <v>749</v>
      </c>
      <c r="B190" s="448">
        <v>95944</v>
      </c>
      <c r="C190" s="449" t="s">
        <v>1562</v>
      </c>
      <c r="D190" s="447" t="s">
        <v>12</v>
      </c>
      <c r="E190" s="447" t="s">
        <v>45</v>
      </c>
      <c r="F190" s="450">
        <v>196</v>
      </c>
      <c r="G190" s="450">
        <f t="shared" si="28"/>
        <v>16.787500000000001</v>
      </c>
      <c r="H190" s="450">
        <f>ROUND(G190*(1+$X$14),2)</f>
        <v>21.29</v>
      </c>
      <c r="I190" s="451">
        <f>ROUND(H190*F190,2)</f>
        <v>4172.84</v>
      </c>
      <c r="J190" s="452">
        <v>16.787500000000001</v>
      </c>
      <c r="K190" s="452">
        <v>21.29</v>
      </c>
      <c r="L190" s="452">
        <v>2920.99</v>
      </c>
      <c r="M190" s="452">
        <v>18.7</v>
      </c>
      <c r="N190" s="452">
        <v>23.71</v>
      </c>
      <c r="O190" s="452">
        <v>1394.15</v>
      </c>
      <c r="P190" s="493"/>
      <c r="Q190" s="452">
        <f>ROUND(P190*N190,2)</f>
        <v>0</v>
      </c>
      <c r="R190" s="452">
        <f>F190/2</f>
        <v>98</v>
      </c>
      <c r="S190" s="452">
        <f>ROUND(R190*N190,2)</f>
        <v>2323.58</v>
      </c>
      <c r="T190" s="452">
        <f>F190+P190-R190</f>
        <v>98</v>
      </c>
      <c r="U190" s="452">
        <f t="shared" si="64"/>
        <v>1991.56</v>
      </c>
      <c r="V190" s="379"/>
      <c r="W190" s="379"/>
      <c r="X190" s="267" t="e">
        <f>IF(B190&lt;&gt;0,VLOOKUP(B190,#REF!,4,FALSE),"")</f>
        <v>#REF!</v>
      </c>
      <c r="Y190" s="350" t="s">
        <v>2646</v>
      </c>
      <c r="Z190" s="334">
        <f t="shared" si="29"/>
        <v>3290.3500000000004</v>
      </c>
      <c r="AB190" s="267" t="e">
        <f>IF(B190&lt;&gt;0,VLOOKUP(B190,#REF!,2,FALSE),"")</f>
        <v>#REF!</v>
      </c>
    </row>
    <row r="191" spans="1:28" s="267" customFormat="1" ht="60">
      <c r="A191" s="449" t="s">
        <v>750</v>
      </c>
      <c r="B191" s="448">
        <v>95945</v>
      </c>
      <c r="C191" s="449" t="s">
        <v>1563</v>
      </c>
      <c r="D191" s="447" t="s">
        <v>12</v>
      </c>
      <c r="E191" s="447" t="s">
        <v>45</v>
      </c>
      <c r="F191" s="450">
        <v>240</v>
      </c>
      <c r="G191" s="450">
        <f t="shared" si="28"/>
        <v>14.908999999999999</v>
      </c>
      <c r="H191" s="450">
        <f>ROUND(G191*(1+$X$14),2)</f>
        <v>18.91</v>
      </c>
      <c r="I191" s="451">
        <f>ROUND(H191*F191,2)</f>
        <v>4538.3999999999996</v>
      </c>
      <c r="J191" s="452">
        <v>14.908999999999999</v>
      </c>
      <c r="K191" s="452">
        <v>18.91</v>
      </c>
      <c r="L191" s="452">
        <v>3176.88</v>
      </c>
      <c r="M191" s="452">
        <v>16.61</v>
      </c>
      <c r="N191" s="452">
        <v>21.06</v>
      </c>
      <c r="O191" s="452">
        <v>1516.32</v>
      </c>
      <c r="P191" s="493"/>
      <c r="Q191" s="452">
        <f>ROUND(P191*N191,2)</f>
        <v>0</v>
      </c>
      <c r="R191" s="452">
        <f>F191/2</f>
        <v>120</v>
      </c>
      <c r="S191" s="452">
        <f>ROUND(R191*N191,2)</f>
        <v>2527.1999999999998</v>
      </c>
      <c r="T191" s="452">
        <f>F191+P191-R191</f>
        <v>120</v>
      </c>
      <c r="U191" s="452">
        <f t="shared" si="64"/>
        <v>2166</v>
      </c>
      <c r="V191" s="379"/>
      <c r="W191" s="379"/>
      <c r="X191" s="267" t="e">
        <f>IF(B191&lt;&gt;0,VLOOKUP(B191,#REF!,4,FALSE),"")</f>
        <v>#REF!</v>
      </c>
      <c r="Y191" s="350" t="s">
        <v>3167</v>
      </c>
      <c r="Z191" s="334">
        <f t="shared" si="29"/>
        <v>3578.16</v>
      </c>
      <c r="AB191" s="267" t="e">
        <f>IF(B191&lt;&gt;0,VLOOKUP(B191,#REF!,2,FALSE),"")</f>
        <v>#REF!</v>
      </c>
    </row>
    <row r="192" spans="1:28" s="267" customFormat="1" ht="60">
      <c r="A192" s="449" t="s">
        <v>751</v>
      </c>
      <c r="B192" s="448">
        <v>95946</v>
      </c>
      <c r="C192" s="449" t="s">
        <v>1564</v>
      </c>
      <c r="D192" s="447" t="s">
        <v>12</v>
      </c>
      <c r="E192" s="447" t="s">
        <v>45</v>
      </c>
      <c r="F192" s="450">
        <v>356</v>
      </c>
      <c r="G192" s="450">
        <f t="shared" si="28"/>
        <v>12.7415</v>
      </c>
      <c r="H192" s="450">
        <f>ROUND(G192*(1+$X$14),2)</f>
        <v>16.16</v>
      </c>
      <c r="I192" s="451">
        <f>ROUND(H192*F192,2)</f>
        <v>5752.96</v>
      </c>
      <c r="J192" s="452">
        <v>12.7415</v>
      </c>
      <c r="K192" s="452">
        <v>16.16</v>
      </c>
      <c r="L192" s="452">
        <v>4027.07</v>
      </c>
      <c r="M192" s="452">
        <v>14.19</v>
      </c>
      <c r="N192" s="452">
        <v>17.989999999999998</v>
      </c>
      <c r="O192" s="452">
        <v>1921.33</v>
      </c>
      <c r="P192" s="493"/>
      <c r="Q192" s="452">
        <f>ROUND(P192*N192,2)</f>
        <v>0</v>
      </c>
      <c r="R192" s="452">
        <f>F192/2</f>
        <v>178</v>
      </c>
      <c r="S192" s="452">
        <f>ROUND(R192*N192,2)</f>
        <v>3202.22</v>
      </c>
      <c r="T192" s="452">
        <f>F192+P192-R192</f>
        <v>178</v>
      </c>
      <c r="U192" s="452">
        <f t="shared" si="64"/>
        <v>2746.1800000000003</v>
      </c>
      <c r="V192" s="379"/>
      <c r="W192" s="379"/>
      <c r="X192" s="267" t="e">
        <f>IF(B192&lt;&gt;0,VLOOKUP(B192,#REF!,4,FALSE),"")</f>
        <v>#REF!</v>
      </c>
      <c r="Y192" s="350" t="s">
        <v>3101</v>
      </c>
      <c r="Z192" s="334">
        <f t="shared" si="29"/>
        <v>4535.9740000000002</v>
      </c>
      <c r="AB192" s="267" t="e">
        <f>IF(B192&lt;&gt;0,VLOOKUP(B192,#REF!,2,FALSE),"")</f>
        <v>#REF!</v>
      </c>
    </row>
    <row r="193" spans="1:28" s="267" customFormat="1" ht="75">
      <c r="A193" s="19" t="s">
        <v>3415</v>
      </c>
      <c r="B193" s="20">
        <v>92725</v>
      </c>
      <c r="C193" s="19" t="s">
        <v>1542</v>
      </c>
      <c r="D193" s="21" t="s">
        <v>1914</v>
      </c>
      <c r="E193" s="21" t="s">
        <v>35</v>
      </c>
      <c r="F193" s="22">
        <v>6.5</v>
      </c>
      <c r="G193" s="22">
        <f t="shared" ref="G193:G259" si="73">Y193-(Y193*$Y$15)</f>
        <v>394.35749999999996</v>
      </c>
      <c r="H193" s="22">
        <f>ROUND(G193*(1+$X$14),2)</f>
        <v>500.08</v>
      </c>
      <c r="I193" s="147">
        <f>ROUND(H193*F193,2)</f>
        <v>3250.52</v>
      </c>
      <c r="J193" s="148">
        <v>491.9</v>
      </c>
      <c r="K193" s="148">
        <v>623.78</v>
      </c>
      <c r="L193" s="148">
        <v>2838.2</v>
      </c>
      <c r="M193" s="148">
        <v>600.08000000000004</v>
      </c>
      <c r="N193" s="148">
        <v>760.96</v>
      </c>
      <c r="O193" s="148">
        <v>1483.87</v>
      </c>
      <c r="P193" s="494"/>
      <c r="Q193" s="148">
        <f>ROUND(P193*N193,2)</f>
        <v>0</v>
      </c>
      <c r="R193" s="148"/>
      <c r="S193" s="148">
        <f>ROUND(R193*N193,2)</f>
        <v>0</v>
      </c>
      <c r="T193" s="148">
        <f>F193+P193-R193</f>
        <v>6.5</v>
      </c>
      <c r="U193" s="148">
        <f t="shared" si="64"/>
        <v>4322.07</v>
      </c>
      <c r="V193" s="379"/>
      <c r="W193" s="379"/>
      <c r="X193" s="268">
        <f>X184</f>
        <v>394.36</v>
      </c>
      <c r="Y193" s="335">
        <v>463.95</v>
      </c>
      <c r="Z193" s="334">
        <f t="shared" ref="Z193:Z259" si="74">F193*G193</f>
        <v>2563.3237499999996</v>
      </c>
      <c r="AA193" s="268"/>
    </row>
    <row r="194" spans="1:28" ht="15" customHeight="1">
      <c r="A194" s="229" t="s">
        <v>752</v>
      </c>
      <c r="B194" s="229"/>
      <c r="C194" s="229" t="s">
        <v>63</v>
      </c>
      <c r="D194" s="230"/>
      <c r="E194" s="230"/>
      <c r="F194" s="230"/>
      <c r="G194" s="22"/>
      <c r="H194" s="230"/>
      <c r="I194" s="445"/>
      <c r="J194" s="440"/>
      <c r="K194" s="440"/>
      <c r="L194" s="440"/>
      <c r="M194" s="440"/>
      <c r="N194" s="440"/>
      <c r="O194" s="440"/>
      <c r="P194" s="492"/>
      <c r="Q194" s="440"/>
      <c r="R194" s="440"/>
      <c r="S194" s="440"/>
      <c r="T194" s="148"/>
      <c r="U194" s="148"/>
      <c r="V194" s="330"/>
      <c r="W194" s="330"/>
      <c r="X194" s="27" t="str">
        <f>IF(B194&lt;&gt;0,VLOOKUP(B194,#REF!,4,FALSE),"")</f>
        <v/>
      </c>
      <c r="Z194" s="334">
        <f t="shared" si="74"/>
        <v>0</v>
      </c>
      <c r="AA194" s="27"/>
      <c r="AB194" s="2" t="str">
        <f>IF(B194&lt;&gt;0,VLOOKUP(B194,#REF!,2,FALSE),"")</f>
        <v/>
      </c>
    </row>
    <row r="195" spans="1:28" s="267" customFormat="1" ht="60">
      <c r="A195" s="19" t="s">
        <v>753</v>
      </c>
      <c r="B195" s="20">
        <v>92452</v>
      </c>
      <c r="C195" s="19" t="s">
        <v>1832</v>
      </c>
      <c r="D195" s="21" t="s">
        <v>12</v>
      </c>
      <c r="E195" s="21" t="s">
        <v>26</v>
      </c>
      <c r="F195" s="22">
        <v>122.44</v>
      </c>
      <c r="G195" s="22">
        <f t="shared" si="73"/>
        <v>86.716999999999999</v>
      </c>
      <c r="H195" s="22">
        <f t="shared" ref="H195:H204" si="75">ROUND(G195*(1+$X$14),2)</f>
        <v>109.97</v>
      </c>
      <c r="I195" s="147">
        <f t="shared" ref="I195:I204" si="76">ROUND(H195*F195,2)</f>
        <v>13464.73</v>
      </c>
      <c r="J195" s="148"/>
      <c r="K195" s="148"/>
      <c r="L195" s="148"/>
      <c r="M195" s="148">
        <v>124.60000000000001</v>
      </c>
      <c r="N195" s="148">
        <v>158.01</v>
      </c>
      <c r="O195" s="148">
        <v>19346.740000000002</v>
      </c>
      <c r="P195" s="494"/>
      <c r="Q195" s="148">
        <f t="shared" ref="Q195:Q203" si="77">ROUND(P195*N195,2)</f>
        <v>0</v>
      </c>
      <c r="R195" s="148"/>
      <c r="S195" s="148">
        <f>ROUND(R195*N195,2)</f>
        <v>0</v>
      </c>
      <c r="T195" s="148">
        <f t="shared" ref="T195:T203" si="78">F195+P195-R195</f>
        <v>122.44</v>
      </c>
      <c r="U195" s="148">
        <f t="shared" si="64"/>
        <v>19346.740000000002</v>
      </c>
      <c r="V195" s="379"/>
      <c r="W195" s="379"/>
      <c r="X195" s="266" t="e">
        <f>IF(B195&lt;&gt;0,VLOOKUP(B195,#REF!,4,FALSE),"")</f>
        <v>#REF!</v>
      </c>
      <c r="Y195" s="350" t="s">
        <v>3213</v>
      </c>
      <c r="Z195" s="334">
        <f t="shared" si="74"/>
        <v>10617.62948</v>
      </c>
      <c r="AA195" s="266"/>
      <c r="AB195" s="267" t="e">
        <f>IF(B195&lt;&gt;0,VLOOKUP(B195,#REF!,2,FALSE),"")</f>
        <v>#REF!</v>
      </c>
    </row>
    <row r="196" spans="1:28" s="267" customFormat="1" ht="60">
      <c r="A196" s="19" t="s">
        <v>754</v>
      </c>
      <c r="B196" s="20">
        <v>92481</v>
      </c>
      <c r="C196" s="19" t="s">
        <v>1535</v>
      </c>
      <c r="D196" s="21" t="s">
        <v>1914</v>
      </c>
      <c r="E196" s="21" t="s">
        <v>26</v>
      </c>
      <c r="F196" s="22">
        <v>77.42</v>
      </c>
      <c r="G196" s="22">
        <f t="shared" si="73"/>
        <v>197.89699999999999</v>
      </c>
      <c r="H196" s="22">
        <f t="shared" si="75"/>
        <v>250.95</v>
      </c>
      <c r="I196" s="147">
        <f t="shared" si="76"/>
        <v>19428.55</v>
      </c>
      <c r="J196" s="148"/>
      <c r="K196" s="148"/>
      <c r="L196" s="148"/>
      <c r="M196" s="148">
        <v>284.67</v>
      </c>
      <c r="N196" s="148">
        <v>360.99</v>
      </c>
      <c r="O196" s="148">
        <v>27947.85</v>
      </c>
      <c r="P196" s="494"/>
      <c r="Q196" s="148">
        <f t="shared" si="77"/>
        <v>0</v>
      </c>
      <c r="R196" s="148"/>
      <c r="S196" s="148">
        <f>ROUND(R196*P196,2)</f>
        <v>0</v>
      </c>
      <c r="T196" s="148">
        <f t="shared" si="78"/>
        <v>77.42</v>
      </c>
      <c r="U196" s="148">
        <f t="shared" si="64"/>
        <v>27947.85</v>
      </c>
      <c r="V196" s="379"/>
      <c r="W196" s="379"/>
      <c r="X196" s="268">
        <f>'COMPOSIÇÃO DE CUSTOS'!G182</f>
        <v>197.9</v>
      </c>
      <c r="Y196" s="335">
        <v>232.82</v>
      </c>
      <c r="Z196" s="334">
        <f t="shared" si="74"/>
        <v>15321.185739999999</v>
      </c>
      <c r="AA196" s="268"/>
    </row>
    <row r="197" spans="1:28" s="267" customFormat="1" ht="60">
      <c r="A197" s="19" t="s">
        <v>755</v>
      </c>
      <c r="B197" s="20">
        <v>92759</v>
      </c>
      <c r="C197" s="19" t="s">
        <v>1536</v>
      </c>
      <c r="D197" s="21" t="s">
        <v>12</v>
      </c>
      <c r="E197" s="21" t="s">
        <v>45</v>
      </c>
      <c r="F197" s="22">
        <v>9</v>
      </c>
      <c r="G197" s="22">
        <f t="shared" si="73"/>
        <v>13.5915</v>
      </c>
      <c r="H197" s="22">
        <f t="shared" si="75"/>
        <v>17.239999999999998</v>
      </c>
      <c r="I197" s="147">
        <f t="shared" si="76"/>
        <v>155.16</v>
      </c>
      <c r="J197" s="148"/>
      <c r="K197" s="148"/>
      <c r="L197" s="148"/>
      <c r="M197" s="148">
        <v>15.14</v>
      </c>
      <c r="N197" s="148">
        <v>19.2</v>
      </c>
      <c r="O197" s="148">
        <v>172.8</v>
      </c>
      <c r="P197" s="494"/>
      <c r="Q197" s="148">
        <f t="shared" si="77"/>
        <v>0</v>
      </c>
      <c r="R197" s="148"/>
      <c r="S197" s="148">
        <f>ROUND(R197*P197,2)</f>
        <v>0</v>
      </c>
      <c r="T197" s="148">
        <f t="shared" si="78"/>
        <v>9</v>
      </c>
      <c r="U197" s="148">
        <f t="shared" si="64"/>
        <v>172.8</v>
      </c>
      <c r="V197" s="379"/>
      <c r="W197" s="379"/>
      <c r="X197" s="267" t="e">
        <f>IF(B197&lt;&gt;0,VLOOKUP(B197,#REF!,4,FALSE),"")</f>
        <v>#REF!</v>
      </c>
      <c r="Y197" s="350" t="s">
        <v>1853</v>
      </c>
      <c r="Z197" s="334">
        <f t="shared" si="74"/>
        <v>122.3235</v>
      </c>
      <c r="AB197" s="267" t="e">
        <f>IF(B197&lt;&gt;0,VLOOKUP(B197,#REF!,2,FALSE),"")</f>
        <v>#REF!</v>
      </c>
    </row>
    <row r="198" spans="1:28" s="267" customFormat="1" ht="60">
      <c r="A198" s="19" t="s">
        <v>756</v>
      </c>
      <c r="B198" s="20">
        <v>92760</v>
      </c>
      <c r="C198" s="19" t="s">
        <v>1537</v>
      </c>
      <c r="D198" s="21" t="s">
        <v>12</v>
      </c>
      <c r="E198" s="21" t="s">
        <v>45</v>
      </c>
      <c r="F198" s="22">
        <v>630</v>
      </c>
      <c r="G198" s="22">
        <f t="shared" si="73"/>
        <v>13.5915</v>
      </c>
      <c r="H198" s="22">
        <f t="shared" si="75"/>
        <v>17.239999999999998</v>
      </c>
      <c r="I198" s="147">
        <f t="shared" si="76"/>
        <v>10861.2</v>
      </c>
      <c r="J198" s="148"/>
      <c r="K198" s="148"/>
      <c r="L198" s="148"/>
      <c r="M198" s="148">
        <v>13.069999999999999</v>
      </c>
      <c r="N198" s="148">
        <v>16.57</v>
      </c>
      <c r="O198" s="148">
        <v>10439.1</v>
      </c>
      <c r="P198" s="494"/>
      <c r="Q198" s="148">
        <f t="shared" si="77"/>
        <v>0</v>
      </c>
      <c r="R198" s="148"/>
      <c r="S198" s="148">
        <f t="shared" ref="S198:S204" si="79">ROUND(R198*N198,2)</f>
        <v>0</v>
      </c>
      <c r="T198" s="148">
        <f t="shared" si="78"/>
        <v>630</v>
      </c>
      <c r="U198" s="148">
        <f t="shared" si="64"/>
        <v>10439.1</v>
      </c>
      <c r="V198" s="379"/>
      <c r="W198" s="379"/>
      <c r="X198" s="267" t="e">
        <f>IF(B198&lt;&gt;0,VLOOKUP(B198,#REF!,4,FALSE),"")</f>
        <v>#REF!</v>
      </c>
      <c r="Y198" s="350" t="s">
        <v>1853</v>
      </c>
      <c r="Z198" s="334">
        <f t="shared" si="74"/>
        <v>8562.6450000000004</v>
      </c>
      <c r="AB198" s="267" t="e">
        <f>IF(B198&lt;&gt;0,VLOOKUP(B198,#REF!,2,FALSE),"")</f>
        <v>#REF!</v>
      </c>
    </row>
    <row r="199" spans="1:28" s="267" customFormat="1" ht="60">
      <c r="A199" s="19" t="s">
        <v>757</v>
      </c>
      <c r="B199" s="20">
        <v>92761</v>
      </c>
      <c r="C199" s="19" t="s">
        <v>1538</v>
      </c>
      <c r="D199" s="21" t="s">
        <v>12</v>
      </c>
      <c r="E199" s="21" t="s">
        <v>45</v>
      </c>
      <c r="F199" s="22">
        <v>120</v>
      </c>
      <c r="G199" s="22">
        <f t="shared" si="73"/>
        <v>13.276999999999999</v>
      </c>
      <c r="H199" s="22">
        <f t="shared" si="75"/>
        <v>16.84</v>
      </c>
      <c r="I199" s="147">
        <f t="shared" si="76"/>
        <v>2020.8</v>
      </c>
      <c r="J199" s="148"/>
      <c r="K199" s="148"/>
      <c r="L199" s="148"/>
      <c r="M199" s="148">
        <v>14.79</v>
      </c>
      <c r="N199" s="148">
        <v>18.760000000000002</v>
      </c>
      <c r="O199" s="148">
        <v>2251.1999999999998</v>
      </c>
      <c r="P199" s="494"/>
      <c r="Q199" s="148">
        <f t="shared" si="77"/>
        <v>0</v>
      </c>
      <c r="R199" s="148"/>
      <c r="S199" s="148">
        <f t="shared" si="79"/>
        <v>0</v>
      </c>
      <c r="T199" s="148">
        <f t="shared" si="78"/>
        <v>120</v>
      </c>
      <c r="U199" s="148">
        <f t="shared" si="64"/>
        <v>2251.1999999999998</v>
      </c>
      <c r="V199" s="379"/>
      <c r="W199" s="379"/>
      <c r="X199" s="267" t="e">
        <f>IF(B199&lt;&gt;0,VLOOKUP(B199,#REF!,4,FALSE),"")</f>
        <v>#REF!</v>
      </c>
      <c r="Y199" s="350" t="s">
        <v>3214</v>
      </c>
      <c r="Z199" s="334">
        <f t="shared" si="74"/>
        <v>1593.24</v>
      </c>
      <c r="AB199" s="267" t="e">
        <f>IF(B199&lt;&gt;0,VLOOKUP(B199,#REF!,2,FALSE),"")</f>
        <v>#REF!</v>
      </c>
    </row>
    <row r="200" spans="1:28" s="267" customFormat="1" ht="60">
      <c r="A200" s="19" t="s">
        <v>758</v>
      </c>
      <c r="B200" s="20">
        <v>92762</v>
      </c>
      <c r="C200" s="19" t="s">
        <v>1539</v>
      </c>
      <c r="D200" s="21" t="s">
        <v>12</v>
      </c>
      <c r="E200" s="21" t="s">
        <v>45</v>
      </c>
      <c r="F200" s="22">
        <v>49</v>
      </c>
      <c r="G200" s="22">
        <f t="shared" si="73"/>
        <v>12.1295</v>
      </c>
      <c r="H200" s="22">
        <f t="shared" si="75"/>
        <v>15.38</v>
      </c>
      <c r="I200" s="147">
        <f t="shared" si="76"/>
        <v>753.62</v>
      </c>
      <c r="J200" s="148"/>
      <c r="K200" s="148"/>
      <c r="L200" s="148"/>
      <c r="M200" s="148">
        <v>11.49</v>
      </c>
      <c r="N200" s="148">
        <v>14.57</v>
      </c>
      <c r="O200" s="148">
        <v>713.93</v>
      </c>
      <c r="P200" s="494"/>
      <c r="Q200" s="148">
        <f t="shared" si="77"/>
        <v>0</v>
      </c>
      <c r="R200" s="148"/>
      <c r="S200" s="148">
        <f t="shared" si="79"/>
        <v>0</v>
      </c>
      <c r="T200" s="148">
        <f t="shared" si="78"/>
        <v>49</v>
      </c>
      <c r="U200" s="148">
        <f t="shared" si="64"/>
        <v>713.93</v>
      </c>
      <c r="V200" s="379"/>
      <c r="W200" s="379"/>
      <c r="X200" s="267" t="e">
        <f>IF(B200&lt;&gt;0,VLOOKUP(B200,#REF!,4,FALSE),"")</f>
        <v>#REF!</v>
      </c>
      <c r="Y200" s="350" t="s">
        <v>3151</v>
      </c>
      <c r="Z200" s="334">
        <f t="shared" si="74"/>
        <v>594.34550000000002</v>
      </c>
      <c r="AB200" s="267" t="e">
        <f>IF(B200&lt;&gt;0,VLOOKUP(B200,#REF!,2,FALSE),"")</f>
        <v>#REF!</v>
      </c>
    </row>
    <row r="201" spans="1:28" s="267" customFormat="1" ht="60">
      <c r="A201" s="19" t="s">
        <v>759</v>
      </c>
      <c r="B201" s="20">
        <v>92763</v>
      </c>
      <c r="C201" s="19" t="s">
        <v>1540</v>
      </c>
      <c r="D201" s="21" t="s">
        <v>12</v>
      </c>
      <c r="E201" s="21" t="s">
        <v>45</v>
      </c>
      <c r="F201" s="22">
        <v>451</v>
      </c>
      <c r="G201" s="22">
        <f t="shared" si="73"/>
        <v>10.361499999999999</v>
      </c>
      <c r="H201" s="22">
        <f t="shared" si="75"/>
        <v>13.14</v>
      </c>
      <c r="I201" s="147">
        <f t="shared" si="76"/>
        <v>5926.14</v>
      </c>
      <c r="J201" s="148"/>
      <c r="K201" s="148"/>
      <c r="L201" s="148"/>
      <c r="M201" s="148">
        <v>10.50122</v>
      </c>
      <c r="N201" s="148">
        <v>13.32</v>
      </c>
      <c r="O201" s="148">
        <v>6007.32</v>
      </c>
      <c r="P201" s="494"/>
      <c r="Q201" s="148">
        <f t="shared" si="77"/>
        <v>0</v>
      </c>
      <c r="R201" s="148"/>
      <c r="S201" s="148">
        <f t="shared" si="79"/>
        <v>0</v>
      </c>
      <c r="T201" s="148">
        <f t="shared" si="78"/>
        <v>451</v>
      </c>
      <c r="U201" s="148">
        <f t="shared" si="64"/>
        <v>6007.32</v>
      </c>
      <c r="V201" s="379"/>
      <c r="W201" s="379"/>
      <c r="X201" s="267" t="e">
        <f>IF(B201&lt;&gt;0,VLOOKUP(B201,#REF!,4,FALSE),"")</f>
        <v>#REF!</v>
      </c>
      <c r="Y201" s="350" t="s">
        <v>3131</v>
      </c>
      <c r="Z201" s="334">
        <f t="shared" si="74"/>
        <v>4673.0365000000002</v>
      </c>
      <c r="AB201" s="267" t="e">
        <f>IF(B201&lt;&gt;0,VLOOKUP(B201,#REF!,2,FALSE),"")</f>
        <v>#REF!</v>
      </c>
    </row>
    <row r="202" spans="1:28" s="267" customFormat="1" ht="60">
      <c r="A202" s="19" t="s">
        <v>760</v>
      </c>
      <c r="B202" s="20">
        <v>92764</v>
      </c>
      <c r="C202" s="19" t="s">
        <v>1541</v>
      </c>
      <c r="D202" s="21" t="s">
        <v>12</v>
      </c>
      <c r="E202" s="21" t="s">
        <v>45</v>
      </c>
      <c r="F202" s="22">
        <v>191</v>
      </c>
      <c r="G202" s="22">
        <f t="shared" si="73"/>
        <v>10.064</v>
      </c>
      <c r="H202" s="22">
        <f t="shared" si="75"/>
        <v>12.76</v>
      </c>
      <c r="I202" s="147">
        <f t="shared" si="76"/>
        <v>2437.16</v>
      </c>
      <c r="J202" s="148"/>
      <c r="K202" s="148"/>
      <c r="L202" s="148"/>
      <c r="M202" s="148">
        <v>10.28</v>
      </c>
      <c r="N202" s="148">
        <v>13.04</v>
      </c>
      <c r="O202" s="148">
        <v>2490.64</v>
      </c>
      <c r="P202" s="494"/>
      <c r="Q202" s="148">
        <f t="shared" si="77"/>
        <v>0</v>
      </c>
      <c r="R202" s="148"/>
      <c r="S202" s="148">
        <f t="shared" si="79"/>
        <v>0</v>
      </c>
      <c r="T202" s="148">
        <f t="shared" si="78"/>
        <v>191</v>
      </c>
      <c r="U202" s="148">
        <f t="shared" si="64"/>
        <v>2490.64</v>
      </c>
      <c r="V202" s="379"/>
      <c r="W202" s="379"/>
      <c r="X202" s="267" t="e">
        <f>IF(B202&lt;&gt;0,VLOOKUP(B202,#REF!,4,FALSE),"")</f>
        <v>#REF!</v>
      </c>
      <c r="Y202" s="350" t="s">
        <v>3041</v>
      </c>
      <c r="Z202" s="334">
        <f t="shared" si="74"/>
        <v>1922.2239999999999</v>
      </c>
      <c r="AB202" s="267" t="e">
        <f>IF(B202&lt;&gt;0,VLOOKUP(B202,#REF!,2,FALSE),"")</f>
        <v>#REF!</v>
      </c>
    </row>
    <row r="203" spans="1:28" s="267" customFormat="1" ht="60">
      <c r="A203" s="19" t="s">
        <v>761</v>
      </c>
      <c r="B203" s="20">
        <v>92765</v>
      </c>
      <c r="C203" s="19" t="s">
        <v>1552</v>
      </c>
      <c r="D203" s="21" t="s">
        <v>12</v>
      </c>
      <c r="E203" s="21" t="s">
        <v>45</v>
      </c>
      <c r="F203" s="22">
        <v>132</v>
      </c>
      <c r="G203" s="22">
        <f t="shared" si="73"/>
        <v>11.542999999999999</v>
      </c>
      <c r="H203" s="22">
        <f t="shared" si="75"/>
        <v>14.64</v>
      </c>
      <c r="I203" s="147">
        <f t="shared" si="76"/>
        <v>1932.48</v>
      </c>
      <c r="J203" s="148"/>
      <c r="K203" s="148"/>
      <c r="L203" s="148"/>
      <c r="M203" s="148">
        <v>10.6</v>
      </c>
      <c r="N203" s="148">
        <v>13.44</v>
      </c>
      <c r="O203" s="148">
        <v>1774.08</v>
      </c>
      <c r="P203" s="494"/>
      <c r="Q203" s="148">
        <f t="shared" si="77"/>
        <v>0</v>
      </c>
      <c r="R203" s="148"/>
      <c r="S203" s="148">
        <f t="shared" si="79"/>
        <v>0</v>
      </c>
      <c r="T203" s="148">
        <f t="shared" si="78"/>
        <v>132</v>
      </c>
      <c r="U203" s="148">
        <f t="shared" si="64"/>
        <v>1774.08</v>
      </c>
      <c r="V203" s="379"/>
      <c r="W203" s="379"/>
      <c r="X203" s="267" t="e">
        <f>IF(B203&lt;&gt;0,VLOOKUP(B203,#REF!,4,FALSE),"")</f>
        <v>#REF!</v>
      </c>
      <c r="Y203" s="350" t="s">
        <v>1871</v>
      </c>
      <c r="Z203" s="334">
        <f t="shared" si="74"/>
        <v>1523.6759999999999</v>
      </c>
      <c r="AB203" s="267" t="e">
        <f>IF(B203&lt;&gt;0,VLOOKUP(B203,#REF!,2,FALSE),"")</f>
        <v>#REF!</v>
      </c>
    </row>
    <row r="204" spans="1:28" s="38" customFormat="1" ht="75">
      <c r="A204" s="449" t="s">
        <v>762</v>
      </c>
      <c r="B204" s="448">
        <v>92725</v>
      </c>
      <c r="C204" s="449" t="s">
        <v>1542</v>
      </c>
      <c r="D204" s="447" t="s">
        <v>1914</v>
      </c>
      <c r="E204" s="447" t="s">
        <v>35</v>
      </c>
      <c r="F204" s="450">
        <v>22.86</v>
      </c>
      <c r="G204" s="450">
        <f t="shared" si="73"/>
        <v>394.35749999999996</v>
      </c>
      <c r="H204" s="450">
        <f t="shared" si="75"/>
        <v>500.08</v>
      </c>
      <c r="I204" s="451">
        <f t="shared" si="76"/>
        <v>11431.83</v>
      </c>
      <c r="J204" s="452"/>
      <c r="K204" s="452"/>
      <c r="L204" s="452"/>
      <c r="M204" s="452">
        <f>M193</f>
        <v>600.08000000000004</v>
      </c>
      <c r="N204" s="452">
        <f>N193</f>
        <v>760.96</v>
      </c>
      <c r="O204" s="452"/>
      <c r="P204" s="493">
        <f>F204</f>
        <v>22.86</v>
      </c>
      <c r="Q204" s="452">
        <f>ROUND(P204*N204,2)</f>
        <v>17395.55</v>
      </c>
      <c r="R204" s="452"/>
      <c r="S204" s="452">
        <f t="shared" si="79"/>
        <v>0</v>
      </c>
      <c r="T204" s="452">
        <f>F204</f>
        <v>22.86</v>
      </c>
      <c r="U204" s="452">
        <f t="shared" si="64"/>
        <v>17395.55</v>
      </c>
      <c r="V204" s="453"/>
      <c r="W204" s="453"/>
      <c r="X204" s="42">
        <f>X193</f>
        <v>394.36</v>
      </c>
      <c r="Y204" s="336">
        <v>463.95</v>
      </c>
      <c r="Z204" s="336">
        <f t="shared" si="74"/>
        <v>9015.0124499999984</v>
      </c>
      <c r="AA204" s="42"/>
    </row>
    <row r="205" spans="1:28" ht="15" customHeight="1">
      <c r="A205" s="229" t="s">
        <v>763</v>
      </c>
      <c r="B205" s="229"/>
      <c r="C205" s="229" t="s">
        <v>64</v>
      </c>
      <c r="D205" s="230"/>
      <c r="E205" s="230"/>
      <c r="F205" s="230"/>
      <c r="G205" s="22"/>
      <c r="H205" s="230"/>
      <c r="I205" s="445"/>
      <c r="J205" s="440"/>
      <c r="K205" s="440"/>
      <c r="L205" s="440"/>
      <c r="M205" s="440"/>
      <c r="N205" s="440"/>
      <c r="O205" s="440"/>
      <c r="P205" s="492"/>
      <c r="Q205" s="440"/>
      <c r="R205" s="440"/>
      <c r="S205" s="440"/>
      <c r="T205" s="148"/>
      <c r="U205" s="148"/>
      <c r="V205" s="330"/>
      <c r="W205" s="330"/>
      <c r="Z205" s="334">
        <f t="shared" si="74"/>
        <v>0</v>
      </c>
    </row>
    <row r="206" spans="1:28" s="55" customFormat="1">
      <c r="A206" s="270" t="s">
        <v>3368</v>
      </c>
      <c r="B206" s="229"/>
      <c r="C206" s="229" t="s">
        <v>65</v>
      </c>
      <c r="D206" s="230"/>
      <c r="E206" s="230"/>
      <c r="F206" s="230"/>
      <c r="G206" s="22"/>
      <c r="H206" s="230"/>
      <c r="I206" s="445"/>
      <c r="J206" s="440"/>
      <c r="K206" s="440"/>
      <c r="L206" s="440"/>
      <c r="M206" s="440"/>
      <c r="N206" s="440"/>
      <c r="O206" s="440"/>
      <c r="P206" s="492"/>
      <c r="Q206" s="440"/>
      <c r="R206" s="440"/>
      <c r="S206" s="440"/>
      <c r="T206" s="148"/>
      <c r="U206" s="148"/>
      <c r="V206" s="330"/>
      <c r="W206" s="330"/>
      <c r="Y206" s="349"/>
      <c r="Z206" s="334">
        <f t="shared" si="74"/>
        <v>0</v>
      </c>
    </row>
    <row r="207" spans="1:28" s="55" customFormat="1" ht="111" customHeight="1">
      <c r="A207" s="36" t="s">
        <v>3369</v>
      </c>
      <c r="B207" s="20">
        <v>11914</v>
      </c>
      <c r="C207" s="19" t="s">
        <v>66</v>
      </c>
      <c r="D207" s="21" t="s">
        <v>44</v>
      </c>
      <c r="E207" s="21" t="s">
        <v>26</v>
      </c>
      <c r="F207" s="22">
        <v>672.47</v>
      </c>
      <c r="G207" s="22">
        <f t="shared" si="73"/>
        <v>174.726</v>
      </c>
      <c r="H207" s="22">
        <f>ROUND(G207*(1+$X$14),2)</f>
        <v>221.57</v>
      </c>
      <c r="I207" s="147">
        <f>ROUND(H207*F207,2)</f>
        <v>148999.18</v>
      </c>
      <c r="J207" s="148"/>
      <c r="K207" s="148"/>
      <c r="L207" s="148"/>
      <c r="M207" s="148">
        <v>239.74358974358975</v>
      </c>
      <c r="N207" s="148">
        <v>304.02</v>
      </c>
      <c r="O207" s="148">
        <v>204444.33</v>
      </c>
      <c r="P207" s="494"/>
      <c r="Q207" s="148">
        <f>ROUND(P207*N207,2)</f>
        <v>0</v>
      </c>
      <c r="R207" s="148"/>
      <c r="S207" s="148">
        <f>ROUND(R207*N207,2)</f>
        <v>0</v>
      </c>
      <c r="T207" s="148">
        <f>F207+P207-R207</f>
        <v>672.47</v>
      </c>
      <c r="U207" s="148">
        <f t="shared" si="64"/>
        <v>204444.33</v>
      </c>
      <c r="V207" s="379"/>
      <c r="W207" s="379"/>
      <c r="X207" s="57">
        <f>'COMPOSIÇÃO DE CUSTOS'!G192</f>
        <v>182.85</v>
      </c>
      <c r="Y207" s="334">
        <v>205.56</v>
      </c>
      <c r="Z207" s="334">
        <f t="shared" si="74"/>
        <v>117497.99322</v>
      </c>
      <c r="AA207" s="57"/>
    </row>
    <row r="208" spans="1:28" s="55" customFormat="1" ht="45">
      <c r="A208" s="36" t="s">
        <v>3370</v>
      </c>
      <c r="B208" s="20">
        <v>11489</v>
      </c>
      <c r="C208" s="19" t="s">
        <v>67</v>
      </c>
      <c r="D208" s="21" t="s">
        <v>44</v>
      </c>
      <c r="E208" s="21" t="s">
        <v>26</v>
      </c>
      <c r="F208" s="22">
        <v>672.47</v>
      </c>
      <c r="G208" s="22">
        <f t="shared" si="73"/>
        <v>382.5</v>
      </c>
      <c r="H208" s="22">
        <f>ROUND(G208*(1+$X$14),2)</f>
        <v>485.05</v>
      </c>
      <c r="I208" s="147">
        <f>ROUND(H208*F208,2)</f>
        <v>326181.57</v>
      </c>
      <c r="J208" s="148"/>
      <c r="K208" s="148"/>
      <c r="L208" s="148"/>
      <c r="M208" s="148">
        <v>435.73504273504273</v>
      </c>
      <c r="N208" s="148">
        <v>552.55999999999995</v>
      </c>
      <c r="O208" s="148">
        <v>371580.02</v>
      </c>
      <c r="P208" s="494"/>
      <c r="Q208" s="148">
        <f>ROUND(P208*N208,2)</f>
        <v>0</v>
      </c>
      <c r="R208" s="148"/>
      <c r="S208" s="148">
        <f>ROUND(R208*N208,2)</f>
        <v>0</v>
      </c>
      <c r="T208" s="148">
        <f>F208+P208-R208</f>
        <v>672.47</v>
      </c>
      <c r="U208" s="148">
        <f t="shared" si="64"/>
        <v>371580.02</v>
      </c>
      <c r="V208" s="379"/>
      <c r="W208" s="379"/>
      <c r="X208" s="57">
        <f>'COMPOSIÇÃO DE CUSTOS'!G197</f>
        <v>382.5</v>
      </c>
      <c r="Y208" s="334">
        <v>450</v>
      </c>
      <c r="Z208" s="334">
        <f t="shared" si="74"/>
        <v>257219.77500000002</v>
      </c>
      <c r="AA208" s="57"/>
    </row>
    <row r="209" spans="1:27" ht="15" customHeight="1">
      <c r="A209" s="270" t="s">
        <v>3371</v>
      </c>
      <c r="B209" s="229"/>
      <c r="C209" s="229" t="s">
        <v>69</v>
      </c>
      <c r="D209" s="230"/>
      <c r="E209" s="230"/>
      <c r="F209" s="230"/>
      <c r="G209" s="22"/>
      <c r="H209" s="230"/>
      <c r="I209" s="445"/>
      <c r="J209" s="440"/>
      <c r="K209" s="440"/>
      <c r="L209" s="440"/>
      <c r="M209" s="440"/>
      <c r="N209" s="440"/>
      <c r="O209" s="440"/>
      <c r="P209" s="492"/>
      <c r="Q209" s="440"/>
      <c r="R209" s="440"/>
      <c r="S209" s="440"/>
      <c r="T209" s="148"/>
      <c r="U209" s="148"/>
      <c r="V209" s="330"/>
      <c r="W209" s="330"/>
      <c r="Z209" s="334">
        <f t="shared" si="74"/>
        <v>0</v>
      </c>
    </row>
    <row r="210" spans="1:27" s="38" customFormat="1" ht="111" customHeight="1">
      <c r="A210" s="36" t="s">
        <v>3372</v>
      </c>
      <c r="B210" s="20">
        <v>72111</v>
      </c>
      <c r="C210" s="19" t="s">
        <v>2566</v>
      </c>
      <c r="D210" s="21" t="s">
        <v>1914</v>
      </c>
      <c r="E210" s="21" t="s">
        <v>26</v>
      </c>
      <c r="F210" s="22">
        <v>27.85</v>
      </c>
      <c r="G210" s="22">
        <f t="shared" si="73"/>
        <v>106.063</v>
      </c>
      <c r="H210" s="22">
        <f>ROUND(G210*(1+$X$14),2)</f>
        <v>134.5</v>
      </c>
      <c r="I210" s="147">
        <f>ROUND(H210*F210,2)</f>
        <v>3745.83</v>
      </c>
      <c r="J210" s="148"/>
      <c r="K210" s="148"/>
      <c r="L210" s="148"/>
      <c r="M210" s="148">
        <v>118.16</v>
      </c>
      <c r="N210" s="148">
        <v>149.84</v>
      </c>
      <c r="O210" s="148">
        <v>4173.04</v>
      </c>
      <c r="P210" s="494"/>
      <c r="Q210" s="148">
        <f>ROUND(P210*N210,2)</f>
        <v>0</v>
      </c>
      <c r="R210" s="148"/>
      <c r="S210" s="148">
        <f>ROUND(R210*N210,2)</f>
        <v>0</v>
      </c>
      <c r="T210" s="148">
        <f>F210+P210-R210</f>
        <v>27.85</v>
      </c>
      <c r="U210" s="148">
        <f t="shared" si="64"/>
        <v>4173.04</v>
      </c>
      <c r="V210" s="379"/>
      <c r="W210" s="379"/>
      <c r="X210" s="42">
        <f>'COMPOSIÇÃO DE CUSTOS'!G2279</f>
        <v>106.07</v>
      </c>
      <c r="Y210" s="336">
        <v>124.78</v>
      </c>
      <c r="Z210" s="334">
        <f t="shared" si="74"/>
        <v>2953.85455</v>
      </c>
      <c r="AA210" s="42"/>
    </row>
    <row r="211" spans="1:27" ht="26.25" customHeight="1">
      <c r="A211" s="19"/>
      <c r="B211" s="21"/>
      <c r="C211" s="19"/>
      <c r="D211" s="21"/>
      <c r="E211" s="21"/>
      <c r="F211" s="22"/>
      <c r="G211" s="22"/>
      <c r="H211" s="22"/>
      <c r="I211" s="147"/>
      <c r="J211" s="148"/>
      <c r="K211" s="148"/>
      <c r="L211" s="148"/>
      <c r="M211" s="148"/>
      <c r="N211" s="148"/>
      <c r="O211" s="148"/>
      <c r="P211" s="494"/>
      <c r="Q211" s="148"/>
      <c r="R211" s="148"/>
      <c r="S211" s="148"/>
      <c r="T211" s="148"/>
      <c r="U211" s="148"/>
      <c r="V211" s="379"/>
      <c r="W211" s="379"/>
      <c r="Z211" s="334">
        <f t="shared" si="74"/>
        <v>0</v>
      </c>
    </row>
    <row r="212" spans="1:27" ht="15" customHeight="1">
      <c r="A212" s="229" t="s">
        <v>766</v>
      </c>
      <c r="B212" s="229"/>
      <c r="C212" s="229" t="s">
        <v>71</v>
      </c>
      <c r="D212" s="230"/>
      <c r="E212" s="230"/>
      <c r="F212" s="230"/>
      <c r="G212" s="22"/>
      <c r="H212" s="230"/>
      <c r="I212" s="445">
        <f>ROUND(SUM(I213:I214),2)</f>
        <v>76702.02</v>
      </c>
      <c r="J212" s="440"/>
      <c r="K212" s="440"/>
      <c r="L212" s="440"/>
      <c r="M212" s="440"/>
      <c r="N212" s="440"/>
      <c r="O212" s="440">
        <f>ROUND(SUM(O213:O214),2)</f>
        <v>80081.56</v>
      </c>
      <c r="P212" s="492"/>
      <c r="Q212" s="440">
        <f>ROUND(SUM(Q213:Q214),2)</f>
        <v>0</v>
      </c>
      <c r="R212" s="440"/>
      <c r="S212" s="440">
        <f>ROUND(SUM(S213:S214),2)</f>
        <v>0</v>
      </c>
      <c r="T212" s="148"/>
      <c r="U212" s="440">
        <f>O212+Q212-S212+L212</f>
        <v>80081.56</v>
      </c>
      <c r="V212" s="330"/>
      <c r="W212" s="330"/>
      <c r="Z212" s="334">
        <f t="shared" si="74"/>
        <v>0</v>
      </c>
    </row>
    <row r="213" spans="1:27" s="23" customFormat="1" ht="105">
      <c r="A213" s="19" t="s">
        <v>767</v>
      </c>
      <c r="B213" s="130" t="s">
        <v>2497</v>
      </c>
      <c r="C213" s="19" t="s">
        <v>72</v>
      </c>
      <c r="D213" s="21" t="s">
        <v>1914</v>
      </c>
      <c r="E213" s="21" t="s">
        <v>17</v>
      </c>
      <c r="F213" s="22">
        <v>58</v>
      </c>
      <c r="G213" s="22">
        <f t="shared" si="73"/>
        <v>745.88350000000003</v>
      </c>
      <c r="H213" s="22">
        <f>ROUND(G213*(1+$X$14),2)</f>
        <v>945.85</v>
      </c>
      <c r="I213" s="147">
        <f>ROUND(H213*F213,2)</f>
        <v>54859.3</v>
      </c>
      <c r="J213" s="148"/>
      <c r="K213" s="148"/>
      <c r="L213" s="148"/>
      <c r="M213" s="148">
        <v>757.97</v>
      </c>
      <c r="N213" s="148">
        <v>961.18</v>
      </c>
      <c r="O213" s="148">
        <v>55748.44</v>
      </c>
      <c r="P213" s="494"/>
      <c r="Q213" s="148">
        <f>ROUND(P213*N213,2)</f>
        <v>0</v>
      </c>
      <c r="R213" s="148"/>
      <c r="S213" s="148">
        <f>ROUND(R213*N213,2)</f>
        <v>0</v>
      </c>
      <c r="T213" s="148">
        <f>F213+P213-R213</f>
        <v>58</v>
      </c>
      <c r="U213" s="148">
        <f>O213+Q213-S213+L213</f>
        <v>55748.44</v>
      </c>
      <c r="V213" s="379">
        <f>(0.8+0.4)*(58+16)+(1+0.4)*6+(1.5+0.4)*2+1.3*2</f>
        <v>103.60000000000001</v>
      </c>
      <c r="W213" s="379"/>
      <c r="X213" s="31">
        <f>'COMPOSIÇÃO DE CUSTOS'!G206</f>
        <v>745.89</v>
      </c>
      <c r="Y213" s="346">
        <v>877.51</v>
      </c>
      <c r="Z213" s="334">
        <f t="shared" si="74"/>
        <v>43261.243000000002</v>
      </c>
      <c r="AA213" s="31"/>
    </row>
    <row r="214" spans="1:27" ht="105">
      <c r="A214" s="19" t="s">
        <v>768</v>
      </c>
      <c r="B214" s="130" t="s">
        <v>2499</v>
      </c>
      <c r="C214" s="19" t="s">
        <v>73</v>
      </c>
      <c r="D214" s="21" t="s">
        <v>1914</v>
      </c>
      <c r="E214" s="21" t="s">
        <v>17</v>
      </c>
      <c r="F214" s="22">
        <v>16</v>
      </c>
      <c r="G214" s="22">
        <f t="shared" si="73"/>
        <v>1076.5505000000001</v>
      </c>
      <c r="H214" s="22">
        <f>ROUND(G214*(1+$X$14),2)</f>
        <v>1365.17</v>
      </c>
      <c r="I214" s="147">
        <f>ROUND(H214*F214,2)</f>
        <v>21842.720000000001</v>
      </c>
      <c r="J214" s="148"/>
      <c r="K214" s="148"/>
      <c r="L214" s="148"/>
      <c r="M214" s="148">
        <v>1199.29</v>
      </c>
      <c r="N214" s="148">
        <v>1520.82</v>
      </c>
      <c r="O214" s="148">
        <v>24333.119999999999</v>
      </c>
      <c r="P214" s="494"/>
      <c r="Q214" s="148">
        <f>ROUND(P214*N214,2)</f>
        <v>0</v>
      </c>
      <c r="R214" s="148"/>
      <c r="S214" s="148">
        <f>ROUND(R214*N214,2)</f>
        <v>0</v>
      </c>
      <c r="T214" s="148">
        <f>F214+P214-R214</f>
        <v>16</v>
      </c>
      <c r="U214" s="148">
        <f>O214+Q214-S214+L214</f>
        <v>24333.119999999999</v>
      </c>
      <c r="V214" s="379"/>
      <c r="W214" s="379"/>
      <c r="X214" s="33">
        <f>'COMPOSIÇÃO DE CUSTOS'!G216</f>
        <v>1076.56</v>
      </c>
      <c r="Y214" s="337">
        <v>1266.53</v>
      </c>
      <c r="Z214" s="334">
        <f t="shared" si="74"/>
        <v>17224.808000000001</v>
      </c>
      <c r="AA214" s="33"/>
    </row>
    <row r="215" spans="1:27" ht="33.75" customHeight="1">
      <c r="A215" s="19"/>
      <c r="B215" s="21"/>
      <c r="C215" s="19"/>
      <c r="D215" s="21"/>
      <c r="E215" s="21"/>
      <c r="F215" s="22"/>
      <c r="G215" s="22"/>
      <c r="H215" s="22"/>
      <c r="I215" s="147"/>
      <c r="J215" s="148"/>
      <c r="K215" s="148"/>
      <c r="L215" s="148"/>
      <c r="M215" s="148"/>
      <c r="N215" s="148"/>
      <c r="O215" s="148"/>
      <c r="P215" s="494"/>
      <c r="Q215" s="148"/>
      <c r="R215" s="148"/>
      <c r="S215" s="148"/>
      <c r="T215" s="148"/>
      <c r="U215" s="148"/>
      <c r="V215" s="379"/>
      <c r="W215" s="379"/>
      <c r="Z215" s="334">
        <f t="shared" si="74"/>
        <v>0</v>
      </c>
    </row>
    <row r="216" spans="1:27" s="38" customFormat="1" ht="15" customHeight="1">
      <c r="A216" s="229" t="s">
        <v>769</v>
      </c>
      <c r="B216" s="229"/>
      <c r="C216" s="229" t="s">
        <v>74</v>
      </c>
      <c r="D216" s="230"/>
      <c r="E216" s="230"/>
      <c r="F216" s="230"/>
      <c r="G216" s="22"/>
      <c r="H216" s="230"/>
      <c r="I216" s="445">
        <f>ROUND(SUM(I218:I230),2)</f>
        <v>90822.65</v>
      </c>
      <c r="J216" s="440"/>
      <c r="K216" s="440"/>
      <c r="L216" s="440"/>
      <c r="M216" s="440"/>
      <c r="N216" s="440"/>
      <c r="O216" s="440">
        <f>ROUND(SUM(O218:O230),2)</f>
        <v>253300.45</v>
      </c>
      <c r="P216" s="492"/>
      <c r="Q216" s="440">
        <f>ROUND(SUM(Q218:Q230),2)</f>
        <v>36258.61</v>
      </c>
      <c r="R216" s="440"/>
      <c r="S216" s="440">
        <f>ROUND(SUM(S218:S230),2)</f>
        <v>0</v>
      </c>
      <c r="T216" s="148"/>
      <c r="U216" s="440">
        <f t="shared" ref="U216:U223" si="80">O216+Q216-S216+L216</f>
        <v>289559.06</v>
      </c>
      <c r="V216" s="330"/>
      <c r="W216" s="330"/>
      <c r="Y216" s="351"/>
      <c r="Z216" s="334">
        <f t="shared" si="74"/>
        <v>0</v>
      </c>
    </row>
    <row r="217" spans="1:27" s="55" customFormat="1">
      <c r="A217" s="229" t="s">
        <v>770</v>
      </c>
      <c r="B217" s="229"/>
      <c r="C217" s="229" t="s">
        <v>75</v>
      </c>
      <c r="D217" s="230"/>
      <c r="E217" s="230"/>
      <c r="F217" s="230"/>
      <c r="G217" s="22"/>
      <c r="H217" s="230"/>
      <c r="I217" s="445"/>
      <c r="J217" s="440"/>
      <c r="K217" s="440"/>
      <c r="L217" s="440"/>
      <c r="M217" s="440"/>
      <c r="N217" s="440"/>
      <c r="O217" s="440"/>
      <c r="P217" s="492"/>
      <c r="Q217" s="440"/>
      <c r="R217" s="440"/>
      <c r="S217" s="440"/>
      <c r="T217" s="148"/>
      <c r="U217" s="148"/>
      <c r="V217" s="330"/>
      <c r="W217" s="330"/>
      <c r="Y217" s="349"/>
      <c r="Z217" s="334">
        <f t="shared" si="74"/>
        <v>0</v>
      </c>
    </row>
    <row r="218" spans="1:27" s="55" customFormat="1" ht="78.75" customHeight="1">
      <c r="A218" s="19" t="s">
        <v>771</v>
      </c>
      <c r="B218" s="20" t="s">
        <v>2628</v>
      </c>
      <c r="C218" s="19" t="s">
        <v>76</v>
      </c>
      <c r="D218" s="21" t="s">
        <v>1914</v>
      </c>
      <c r="E218" s="21" t="s">
        <v>17</v>
      </c>
      <c r="F218" s="22">
        <v>4</v>
      </c>
      <c r="G218" s="22">
        <f t="shared" si="73"/>
        <v>1132.2085</v>
      </c>
      <c r="H218" s="22">
        <f t="shared" ref="H218:H225" si="81">ROUND(G218*(1+$X$14),2)</f>
        <v>1435.75</v>
      </c>
      <c r="I218" s="147">
        <f t="shared" ref="I218:I225" si="82">ROUND(H218*F218,2)</f>
        <v>5743</v>
      </c>
      <c r="J218" s="148"/>
      <c r="K218" s="148"/>
      <c r="L218" s="148"/>
      <c r="M218" s="148">
        <v>1261.29</v>
      </c>
      <c r="N218" s="148">
        <v>1599.44</v>
      </c>
      <c r="O218" s="148">
        <v>6397.76</v>
      </c>
      <c r="P218" s="494"/>
      <c r="Q218" s="148">
        <f t="shared" ref="Q218:Q225" si="83">ROUND(P218*N218,2)</f>
        <v>0</v>
      </c>
      <c r="R218" s="148"/>
      <c r="S218" s="148">
        <f>ROUND(R218*N218,2)</f>
        <v>0</v>
      </c>
      <c r="T218" s="148">
        <f t="shared" ref="T218:T226" si="84">F218+P218-R218</f>
        <v>4</v>
      </c>
      <c r="U218" s="148">
        <f t="shared" si="80"/>
        <v>6397.76</v>
      </c>
      <c r="V218" s="379">
        <f>2*4+(1.72+0.4)*3+2.2</f>
        <v>16.559999999999999</v>
      </c>
      <c r="W218" s="379"/>
      <c r="X218" s="57">
        <f>'COMPOSIÇÃO DE CUSTOS'!G226</f>
        <v>1132.21</v>
      </c>
      <c r="Y218" s="334">
        <v>1332.01</v>
      </c>
      <c r="Z218" s="334">
        <f t="shared" si="74"/>
        <v>4528.8339999999998</v>
      </c>
      <c r="AA218" s="57"/>
    </row>
    <row r="219" spans="1:27" s="55" customFormat="1" ht="30">
      <c r="A219" s="19" t="s">
        <v>772</v>
      </c>
      <c r="B219" s="20">
        <v>90838</v>
      </c>
      <c r="C219" s="19" t="s">
        <v>77</v>
      </c>
      <c r="D219" s="21" t="s">
        <v>1914</v>
      </c>
      <c r="E219" s="21" t="s">
        <v>17</v>
      </c>
      <c r="F219" s="22">
        <v>6</v>
      </c>
      <c r="G219" s="22">
        <f t="shared" si="73"/>
        <v>1392.3764999999999</v>
      </c>
      <c r="H219" s="22">
        <f t="shared" si="81"/>
        <v>1765.67</v>
      </c>
      <c r="I219" s="147">
        <f t="shared" si="82"/>
        <v>10594.02</v>
      </c>
      <c r="J219" s="148"/>
      <c r="K219" s="148"/>
      <c r="L219" s="148"/>
      <c r="M219" s="148">
        <v>1551.12</v>
      </c>
      <c r="N219" s="148">
        <v>1966.98</v>
      </c>
      <c r="O219" s="148">
        <v>11801.88</v>
      </c>
      <c r="P219" s="494"/>
      <c r="Q219" s="148">
        <f t="shared" si="83"/>
        <v>0</v>
      </c>
      <c r="R219" s="148"/>
      <c r="S219" s="148">
        <f>ROUND(R219*N219,2)</f>
        <v>0</v>
      </c>
      <c r="T219" s="148">
        <f t="shared" si="84"/>
        <v>6</v>
      </c>
      <c r="U219" s="148">
        <f t="shared" si="80"/>
        <v>11801.88</v>
      </c>
      <c r="V219" s="379"/>
      <c r="W219" s="379"/>
      <c r="X219" s="57">
        <f>'COMPOSIÇÃO DE CUSTOS'!G235</f>
        <v>1392.38</v>
      </c>
      <c r="Y219" s="334">
        <v>1638.09</v>
      </c>
      <c r="Z219" s="334">
        <f t="shared" si="74"/>
        <v>8354.2589999999982</v>
      </c>
      <c r="AA219" s="57"/>
    </row>
    <row r="220" spans="1:27" s="55" customFormat="1" ht="45">
      <c r="A220" s="19" t="s">
        <v>773</v>
      </c>
      <c r="B220" s="20" t="s">
        <v>2630</v>
      </c>
      <c r="C220" s="19" t="s">
        <v>78</v>
      </c>
      <c r="D220" s="21" t="s">
        <v>1914</v>
      </c>
      <c r="E220" s="21" t="s">
        <v>17</v>
      </c>
      <c r="F220" s="22">
        <v>3</v>
      </c>
      <c r="G220" s="22">
        <f t="shared" si="73"/>
        <v>1495.1075000000001</v>
      </c>
      <c r="H220" s="22">
        <f t="shared" si="81"/>
        <v>1895.95</v>
      </c>
      <c r="I220" s="147">
        <f t="shared" si="82"/>
        <v>5687.85</v>
      </c>
      <c r="J220" s="148"/>
      <c r="K220" s="148"/>
      <c r="L220" s="148"/>
      <c r="M220" s="148">
        <v>1665.56</v>
      </c>
      <c r="N220" s="148">
        <v>2112.1</v>
      </c>
      <c r="O220" s="148">
        <v>6336.3</v>
      </c>
      <c r="P220" s="494"/>
      <c r="Q220" s="148">
        <f t="shared" si="83"/>
        <v>0</v>
      </c>
      <c r="R220" s="148"/>
      <c r="S220" s="148">
        <f>ROUND(R220*N220,2)</f>
        <v>0</v>
      </c>
      <c r="T220" s="148">
        <f t="shared" si="84"/>
        <v>3</v>
      </c>
      <c r="U220" s="148">
        <f t="shared" si="80"/>
        <v>6336.3</v>
      </c>
      <c r="V220" s="379"/>
      <c r="W220" s="379"/>
      <c r="X220" s="57">
        <f>'COMPOSIÇÃO DE CUSTOS'!G249</f>
        <v>1495.1</v>
      </c>
      <c r="Y220" s="334">
        <v>1758.95</v>
      </c>
      <c r="Z220" s="334">
        <f t="shared" si="74"/>
        <v>4485.3225000000002</v>
      </c>
      <c r="AA220" s="57"/>
    </row>
    <row r="221" spans="1:27" s="55" customFormat="1" ht="45">
      <c r="A221" s="19" t="s">
        <v>774</v>
      </c>
      <c r="B221" s="20" t="s">
        <v>2631</v>
      </c>
      <c r="C221" s="19" t="s">
        <v>79</v>
      </c>
      <c r="D221" s="21" t="s">
        <v>1914</v>
      </c>
      <c r="E221" s="21" t="s">
        <v>17</v>
      </c>
      <c r="F221" s="22">
        <v>1</v>
      </c>
      <c r="G221" s="22">
        <f t="shared" si="73"/>
        <v>1631.558</v>
      </c>
      <c r="H221" s="22">
        <f t="shared" si="81"/>
        <v>2068.98</v>
      </c>
      <c r="I221" s="147">
        <f t="shared" si="82"/>
        <v>2068.98</v>
      </c>
      <c r="J221" s="148"/>
      <c r="K221" s="148"/>
      <c r="L221" s="148"/>
      <c r="M221" s="148">
        <v>1817.57</v>
      </c>
      <c r="N221" s="148">
        <v>2304.86</v>
      </c>
      <c r="O221" s="148">
        <v>2304.86</v>
      </c>
      <c r="P221" s="494"/>
      <c r="Q221" s="148">
        <f t="shared" si="83"/>
        <v>0</v>
      </c>
      <c r="R221" s="148"/>
      <c r="S221" s="148">
        <f>ROUND(R221*N221,2)</f>
        <v>0</v>
      </c>
      <c r="T221" s="148">
        <f t="shared" si="84"/>
        <v>1</v>
      </c>
      <c r="U221" s="148">
        <f t="shared" si="80"/>
        <v>2304.86</v>
      </c>
      <c r="V221" s="379"/>
      <c r="W221" s="379"/>
      <c r="X221" s="57">
        <f>'COMPOSIÇÃO DE CUSTOS'!G263</f>
        <v>1631.55</v>
      </c>
      <c r="Y221" s="334">
        <v>1919.48</v>
      </c>
      <c r="Z221" s="334">
        <f t="shared" si="74"/>
        <v>1631.558</v>
      </c>
      <c r="AA221" s="57"/>
    </row>
    <row r="222" spans="1:27" s="55" customFormat="1" ht="45">
      <c r="A222" s="19" t="s">
        <v>775</v>
      </c>
      <c r="B222" s="20">
        <v>10812</v>
      </c>
      <c r="C222" s="19" t="s">
        <v>2060</v>
      </c>
      <c r="D222" s="21" t="s">
        <v>44</v>
      </c>
      <c r="E222" s="21" t="s">
        <v>52</v>
      </c>
      <c r="F222" s="22">
        <v>1.5</v>
      </c>
      <c r="G222" s="22">
        <f t="shared" si="73"/>
        <v>268.37049999999999</v>
      </c>
      <c r="H222" s="22">
        <f t="shared" si="81"/>
        <v>340.32</v>
      </c>
      <c r="I222" s="147">
        <f t="shared" si="82"/>
        <v>510.48</v>
      </c>
      <c r="J222" s="148"/>
      <c r="K222" s="148"/>
      <c r="L222" s="148"/>
      <c r="M222" s="148">
        <v>298.97000000000003</v>
      </c>
      <c r="N222" s="148">
        <v>379.12</v>
      </c>
      <c r="O222" s="148">
        <v>568.67999999999995</v>
      </c>
      <c r="P222" s="494"/>
      <c r="Q222" s="148">
        <f t="shared" si="83"/>
        <v>0</v>
      </c>
      <c r="R222" s="148"/>
      <c r="S222" s="148">
        <f>ROUND(R222*N222,2)</f>
        <v>0</v>
      </c>
      <c r="T222" s="148">
        <f t="shared" si="84"/>
        <v>1.5</v>
      </c>
      <c r="U222" s="148">
        <f t="shared" si="80"/>
        <v>568.67999999999995</v>
      </c>
      <c r="V222" s="379"/>
      <c r="W222" s="379"/>
      <c r="X222" s="57">
        <f>'COMPOSIÇÃO DE CUSTOS'!G2097</f>
        <v>268.36</v>
      </c>
      <c r="Y222" s="334">
        <v>315.73</v>
      </c>
      <c r="Z222" s="334">
        <f t="shared" si="74"/>
        <v>402.55574999999999</v>
      </c>
      <c r="AA222" s="57"/>
    </row>
    <row r="223" spans="1:27" ht="45">
      <c r="A223" s="19" t="s">
        <v>776</v>
      </c>
      <c r="B223" s="20" t="s">
        <v>2634</v>
      </c>
      <c r="C223" s="19" t="s">
        <v>80</v>
      </c>
      <c r="D223" s="21" t="s">
        <v>1914</v>
      </c>
      <c r="E223" s="21" t="s">
        <v>17</v>
      </c>
      <c r="F223" s="22">
        <v>1</v>
      </c>
      <c r="G223" s="22">
        <f t="shared" si="73"/>
        <v>1428.2804999999998</v>
      </c>
      <c r="H223" s="22">
        <f t="shared" si="81"/>
        <v>1811.2</v>
      </c>
      <c r="I223" s="147">
        <f t="shared" si="82"/>
        <v>1811.2</v>
      </c>
      <c r="J223" s="148"/>
      <c r="K223" s="148"/>
      <c r="L223" s="148"/>
      <c r="M223" s="148">
        <v>1591.12</v>
      </c>
      <c r="N223" s="148">
        <v>2017.7</v>
      </c>
      <c r="O223" s="148">
        <v>2017.7</v>
      </c>
      <c r="P223" s="494"/>
      <c r="Q223" s="148">
        <f t="shared" si="83"/>
        <v>0</v>
      </c>
      <c r="R223" s="148"/>
      <c r="S223" s="148">
        <f>ROUND(R223*P223,2)</f>
        <v>0</v>
      </c>
      <c r="T223" s="148">
        <f t="shared" si="84"/>
        <v>1</v>
      </c>
      <c r="U223" s="148">
        <f t="shared" si="80"/>
        <v>2017.7</v>
      </c>
      <c r="V223" s="379"/>
      <c r="W223" s="379"/>
      <c r="X223" s="33">
        <f>'COMPOSIÇÃO DE CUSTOS'!G277</f>
        <v>1428.27</v>
      </c>
      <c r="Y223" s="337">
        <v>1680.33</v>
      </c>
      <c r="Z223" s="337">
        <f t="shared" si="74"/>
        <v>1428.2804999999998</v>
      </c>
      <c r="AA223" s="33"/>
    </row>
    <row r="224" spans="1:27" s="55" customFormat="1" ht="60">
      <c r="A224" s="19" t="s">
        <v>777</v>
      </c>
      <c r="B224" s="21" t="s">
        <v>2062</v>
      </c>
      <c r="C224" s="19" t="s">
        <v>81</v>
      </c>
      <c r="D224" s="21" t="s">
        <v>1914</v>
      </c>
      <c r="E224" s="21" t="s">
        <v>17</v>
      </c>
      <c r="F224" s="22">
        <v>2</v>
      </c>
      <c r="G224" s="22">
        <f t="shared" si="73"/>
        <v>652.94449999999995</v>
      </c>
      <c r="H224" s="22">
        <f t="shared" si="81"/>
        <v>828</v>
      </c>
      <c r="I224" s="147">
        <f t="shared" si="82"/>
        <v>1656</v>
      </c>
      <c r="J224" s="148"/>
      <c r="K224" s="148"/>
      <c r="L224" s="148"/>
      <c r="M224" s="148">
        <v>727.39</v>
      </c>
      <c r="N224" s="148">
        <v>922.4</v>
      </c>
      <c r="O224" s="148">
        <v>1844.8</v>
      </c>
      <c r="P224" s="494"/>
      <c r="Q224" s="148">
        <f t="shared" si="83"/>
        <v>0</v>
      </c>
      <c r="R224" s="148"/>
      <c r="S224" s="148">
        <f>ROUND(R224*N224,2)</f>
        <v>0</v>
      </c>
      <c r="T224" s="148">
        <f t="shared" si="84"/>
        <v>2</v>
      </c>
      <c r="U224" s="148">
        <f>O224+Q224-S224+L224</f>
        <v>1844.8</v>
      </c>
      <c r="V224" s="379"/>
      <c r="W224" s="379"/>
      <c r="X224" s="57">
        <f>'COMPOSIÇÃO DE CUSTOS'!G288</f>
        <v>652.96</v>
      </c>
      <c r="Y224" s="334">
        <v>768.17</v>
      </c>
      <c r="Z224" s="334">
        <f t="shared" si="74"/>
        <v>1305.8889999999999</v>
      </c>
      <c r="AA224" s="57"/>
    </row>
    <row r="225" spans="1:30" ht="65.25" customHeight="1">
      <c r="A225" s="19" t="s">
        <v>2673</v>
      </c>
      <c r="B225" s="20">
        <v>11946</v>
      </c>
      <c r="C225" s="19" t="s">
        <v>2063</v>
      </c>
      <c r="D225" s="21" t="s">
        <v>44</v>
      </c>
      <c r="E225" s="21" t="s">
        <v>26</v>
      </c>
      <c r="F225" s="22">
        <v>5</v>
      </c>
      <c r="G225" s="22">
        <f t="shared" si="73"/>
        <v>266.06700000000001</v>
      </c>
      <c r="H225" s="22">
        <f t="shared" si="81"/>
        <v>337.4</v>
      </c>
      <c r="I225" s="147">
        <f t="shared" si="82"/>
        <v>1687</v>
      </c>
      <c r="J225" s="148"/>
      <c r="K225" s="148"/>
      <c r="L225" s="148"/>
      <c r="M225" s="148">
        <v>296.39999999999998</v>
      </c>
      <c r="N225" s="148">
        <v>375.86</v>
      </c>
      <c r="O225" s="148">
        <v>1879.3</v>
      </c>
      <c r="P225" s="494"/>
      <c r="Q225" s="148">
        <f t="shared" si="83"/>
        <v>0</v>
      </c>
      <c r="R225" s="148"/>
      <c r="S225" s="148">
        <f>ROUND(R225*N225,2)</f>
        <v>0</v>
      </c>
      <c r="T225" s="148">
        <f t="shared" si="84"/>
        <v>5</v>
      </c>
      <c r="U225" s="148">
        <f>O225+Q225-S225+L225</f>
        <v>1879.3</v>
      </c>
      <c r="V225" s="379"/>
      <c r="W225" s="379"/>
      <c r="X225" s="33">
        <f>'COMPOSIÇÃO DE CUSTOS'!G2060</f>
        <v>266.07</v>
      </c>
      <c r="Y225" s="337">
        <v>313.02</v>
      </c>
      <c r="Z225" s="337">
        <f t="shared" si="74"/>
        <v>1330.335</v>
      </c>
      <c r="AA225" s="33"/>
    </row>
    <row r="226" spans="1:30" s="23" customFormat="1" ht="84.75" customHeight="1">
      <c r="A226" s="449" t="s">
        <v>3797</v>
      </c>
      <c r="B226" s="448">
        <v>91338</v>
      </c>
      <c r="C226" s="449" t="s">
        <v>3806</v>
      </c>
      <c r="D226" s="447" t="s">
        <v>12</v>
      </c>
      <c r="E226" s="447" t="s">
        <v>26</v>
      </c>
      <c r="F226" s="450"/>
      <c r="G226" s="450">
        <f>(V226-(V226*$Y$15))*$S$16</f>
        <v>624.64621321345794</v>
      </c>
      <c r="H226" s="450">
        <f>ROUND(G226*(1+$X$14),2)</f>
        <v>792.11</v>
      </c>
      <c r="I226" s="451"/>
      <c r="J226" s="452"/>
      <c r="K226" s="452"/>
      <c r="L226" s="452"/>
      <c r="M226" s="452"/>
      <c r="N226" s="452"/>
      <c r="O226" s="452"/>
      <c r="P226" s="493">
        <f>24*0.8*1.6</f>
        <v>30.720000000000006</v>
      </c>
      <c r="Q226" s="452">
        <f>ROUND(P226*H226,2)</f>
        <v>24333.62</v>
      </c>
      <c r="R226" s="452"/>
      <c r="S226" s="452">
        <f>ROUND(H226*R226,2)</f>
        <v>0</v>
      </c>
      <c r="T226" s="452">
        <f t="shared" si="84"/>
        <v>30.720000000000006</v>
      </c>
      <c r="U226" s="452">
        <f>O226+Q226-S226+L226</f>
        <v>24333.62</v>
      </c>
      <c r="V226" s="529">
        <v>659.67</v>
      </c>
      <c r="W226" s="529"/>
      <c r="X226" s="31"/>
      <c r="Y226" s="346"/>
      <c r="Z226" s="346"/>
      <c r="AA226" s="31"/>
    </row>
    <row r="227" spans="1:30" s="23" customFormat="1" ht="51" customHeight="1">
      <c r="A227" s="449" t="s">
        <v>4115</v>
      </c>
      <c r="B227" s="530">
        <v>90831</v>
      </c>
      <c r="C227" s="456" t="s">
        <v>3787</v>
      </c>
      <c r="D227" s="447" t="s">
        <v>12</v>
      </c>
      <c r="E227" s="447" t="s">
        <v>17</v>
      </c>
      <c r="F227" s="450"/>
      <c r="G227" s="450">
        <f>(V227-(V227*$Y$15))*$S$16</f>
        <v>88.554752921494966</v>
      </c>
      <c r="H227" s="450">
        <f>ROUND(G227*(1+$X$14),2)</f>
        <v>112.3</v>
      </c>
      <c r="I227" s="451"/>
      <c r="J227" s="452"/>
      <c r="K227" s="452"/>
      <c r="L227" s="452"/>
      <c r="M227" s="452"/>
      <c r="N227" s="452"/>
      <c r="O227" s="452"/>
      <c r="P227" s="493">
        <v>24</v>
      </c>
      <c r="Q227" s="452">
        <f>ROUND(P227*H227,2)</f>
        <v>2695.2</v>
      </c>
      <c r="R227" s="452"/>
      <c r="S227" s="452">
        <f>ROUND(H227*R227,2)</f>
        <v>0</v>
      </c>
      <c r="T227" s="452">
        <f t="shared" ref="T227" si="85">F227+P227-R227</f>
        <v>24</v>
      </c>
      <c r="U227" s="452">
        <f>O227+Q227-S227+L227</f>
        <v>2695.2</v>
      </c>
      <c r="V227" s="529">
        <v>93.52</v>
      </c>
      <c r="W227" s="529"/>
      <c r="X227" s="31"/>
      <c r="Y227" s="346"/>
      <c r="Z227" s="346"/>
      <c r="AA227" s="31"/>
    </row>
    <row r="228" spans="1:30" s="38" customFormat="1" ht="90">
      <c r="A228" s="449" t="s">
        <v>4193</v>
      </c>
      <c r="B228" s="530">
        <v>100763</v>
      </c>
      <c r="C228" s="456" t="s">
        <v>4172</v>
      </c>
      <c r="D228" s="447" t="s">
        <v>12</v>
      </c>
      <c r="E228" s="447" t="s">
        <v>45</v>
      </c>
      <c r="F228" s="450"/>
      <c r="G228" s="450">
        <f>(V228-(V228*$Y$15))*$S$16</f>
        <v>13.341921179040465</v>
      </c>
      <c r="H228" s="450">
        <f>ROUND(G228*(1+$X$14),2)</f>
        <v>16.920000000000002</v>
      </c>
      <c r="I228" s="451"/>
      <c r="J228" s="452"/>
      <c r="K228" s="452"/>
      <c r="L228" s="452"/>
      <c r="M228" s="452"/>
      <c r="N228" s="452"/>
      <c r="O228" s="452"/>
      <c r="P228" s="493">
        <f>7.64*23.8*3</f>
        <v>545.49599999999998</v>
      </c>
      <c r="Q228" s="451">
        <f>ROUND(P228*H228,2)</f>
        <v>9229.7900000000009</v>
      </c>
      <c r="R228" s="452"/>
      <c r="S228" s="452"/>
      <c r="T228" s="452">
        <f>P228</f>
        <v>545.49599999999998</v>
      </c>
      <c r="U228" s="452">
        <f t="shared" ref="U228" si="86">L228+Q228-S228+O228</f>
        <v>9229.7900000000009</v>
      </c>
      <c r="V228" s="453">
        <v>14.09</v>
      </c>
      <c r="W228" s="453">
        <v>14.09</v>
      </c>
      <c r="X228" s="42"/>
      <c r="Y228" s="336"/>
      <c r="Z228" s="39"/>
      <c r="AA228" s="39"/>
      <c r="AB228" s="39"/>
      <c r="AC228" s="39"/>
      <c r="AD228" s="39"/>
    </row>
    <row r="229" spans="1:30" s="55" customFormat="1">
      <c r="A229" s="229" t="s">
        <v>778</v>
      </c>
      <c r="B229" s="229"/>
      <c r="C229" s="229" t="s">
        <v>82</v>
      </c>
      <c r="D229" s="230"/>
      <c r="E229" s="230"/>
      <c r="F229" s="230"/>
      <c r="G229" s="22"/>
      <c r="H229" s="230"/>
      <c r="I229" s="445"/>
      <c r="J229" s="440"/>
      <c r="K229" s="440"/>
      <c r="L229" s="440"/>
      <c r="M229" s="440"/>
      <c r="N229" s="440"/>
      <c r="O229" s="440"/>
      <c r="P229" s="492"/>
      <c r="Q229" s="440"/>
      <c r="R229" s="440"/>
      <c r="S229" s="440"/>
      <c r="T229" s="148"/>
      <c r="U229" s="148"/>
      <c r="V229" s="330"/>
      <c r="W229" s="330"/>
      <c r="X229" s="57"/>
      <c r="Y229" s="334"/>
      <c r="Z229" s="334">
        <f t="shared" si="74"/>
        <v>0</v>
      </c>
      <c r="AA229" s="57"/>
    </row>
    <row r="230" spans="1:30" s="55" customFormat="1" ht="45">
      <c r="A230" s="19" t="s">
        <v>779</v>
      </c>
      <c r="B230" s="20">
        <v>94575</v>
      </c>
      <c r="C230" s="19" t="s">
        <v>83</v>
      </c>
      <c r="D230" s="21" t="s">
        <v>1914</v>
      </c>
      <c r="E230" s="21" t="s">
        <v>26</v>
      </c>
      <c r="F230" s="22">
        <v>139.26</v>
      </c>
      <c r="G230" s="22">
        <f t="shared" si="73"/>
        <v>345.7885</v>
      </c>
      <c r="H230" s="22">
        <f>ROUND(G230*(1+$X$14),2)</f>
        <v>438.49</v>
      </c>
      <c r="I230" s="147">
        <f>ROUND(H230*F230,2)</f>
        <v>61064.12</v>
      </c>
      <c r="J230" s="148"/>
      <c r="K230" s="148"/>
      <c r="L230" s="148"/>
      <c r="M230" s="148">
        <v>1246.6311500000002</v>
      </c>
      <c r="N230" s="148">
        <v>1580.85</v>
      </c>
      <c r="O230" s="148">
        <v>220149.17</v>
      </c>
      <c r="P230" s="494"/>
      <c r="Q230" s="148">
        <f>ROUND(P230*N230,2)</f>
        <v>0</v>
      </c>
      <c r="R230" s="148"/>
      <c r="S230" s="148">
        <f>ROUND(R230*N230,2)</f>
        <v>0</v>
      </c>
      <c r="T230" s="148">
        <f>F230+P230-R230</f>
        <v>139.26</v>
      </c>
      <c r="U230" s="148">
        <f>O230+Q230-S230+L230</f>
        <v>220149.17</v>
      </c>
      <c r="V230" s="379"/>
      <c r="W230" s="379"/>
      <c r="X230" s="57">
        <f>'COMPOSIÇÃO DE CUSTOS'!G299</f>
        <v>345.79</v>
      </c>
      <c r="Y230" s="334">
        <v>406.81</v>
      </c>
      <c r="Z230" s="334">
        <f t="shared" si="74"/>
        <v>48154.506509999999</v>
      </c>
      <c r="AA230" s="57"/>
    </row>
    <row r="231" spans="1:30" ht="27" customHeight="1">
      <c r="A231" s="19"/>
      <c r="B231" s="21"/>
      <c r="C231" s="19"/>
      <c r="D231" s="21"/>
      <c r="E231" s="21"/>
      <c r="F231" s="22"/>
      <c r="G231" s="22"/>
      <c r="H231" s="22"/>
      <c r="I231" s="147"/>
      <c r="J231" s="148"/>
      <c r="K231" s="148"/>
      <c r="L231" s="148"/>
      <c r="M231" s="148"/>
      <c r="N231" s="148"/>
      <c r="O231" s="148"/>
      <c r="P231" s="494"/>
      <c r="Q231" s="148"/>
      <c r="R231" s="148"/>
      <c r="S231" s="148"/>
      <c r="T231" s="148"/>
      <c r="U231" s="148"/>
      <c r="V231" s="379"/>
      <c r="W231" s="379"/>
      <c r="Z231" s="334">
        <f t="shared" si="74"/>
        <v>0</v>
      </c>
    </row>
    <row r="232" spans="1:30" s="38" customFormat="1" ht="19.5" customHeight="1">
      <c r="A232" s="229" t="s">
        <v>780</v>
      </c>
      <c r="B232" s="229"/>
      <c r="C232" s="229" t="s">
        <v>84</v>
      </c>
      <c r="D232" s="230"/>
      <c r="E232" s="230"/>
      <c r="F232" s="230"/>
      <c r="G232" s="22"/>
      <c r="H232" s="230"/>
      <c r="I232" s="445">
        <f>ROUND(SUM(I233:I237),2)</f>
        <v>627329.52</v>
      </c>
      <c r="J232" s="440"/>
      <c r="K232" s="440"/>
      <c r="L232" s="440"/>
      <c r="M232" s="440"/>
      <c r="N232" s="440"/>
      <c r="O232" s="440">
        <f>ROUND(SUM(O233:O237),2)</f>
        <v>1351024.21</v>
      </c>
      <c r="P232" s="492"/>
      <c r="Q232" s="440">
        <f>ROUND(SUM(Q233:Q237),2)</f>
        <v>0</v>
      </c>
      <c r="R232" s="440"/>
      <c r="S232" s="440">
        <f>ROUND(SUM(S233:S237),2)</f>
        <v>0</v>
      </c>
      <c r="T232" s="148"/>
      <c r="U232" s="440">
        <f>O232+Q232-S232+L232</f>
        <v>1351024.21</v>
      </c>
      <c r="V232" s="330"/>
      <c r="W232" s="330"/>
      <c r="Y232" s="351"/>
      <c r="Z232" s="334">
        <f t="shared" si="74"/>
        <v>0</v>
      </c>
      <c r="AB232" s="65"/>
    </row>
    <row r="233" spans="1:30" s="55" customFormat="1" ht="51" customHeight="1">
      <c r="A233" s="19" t="s">
        <v>781</v>
      </c>
      <c r="B233" s="20" t="s">
        <v>2636</v>
      </c>
      <c r="C233" s="19" t="s">
        <v>85</v>
      </c>
      <c r="D233" s="21" t="s">
        <v>1914</v>
      </c>
      <c r="E233" s="21" t="s">
        <v>26</v>
      </c>
      <c r="F233" s="22">
        <v>48.68</v>
      </c>
      <c r="G233" s="22">
        <f t="shared" si="73"/>
        <v>708.95100000000002</v>
      </c>
      <c r="H233" s="22">
        <f>ROUND(G233*(1+$X$14),2)</f>
        <v>899.02</v>
      </c>
      <c r="I233" s="147">
        <f>ROUND(H233*F233,2)</f>
        <v>43764.29</v>
      </c>
      <c r="J233" s="148"/>
      <c r="K233" s="148"/>
      <c r="L233" s="148"/>
      <c r="M233" s="148">
        <v>1712.97</v>
      </c>
      <c r="N233" s="148">
        <v>2172.2199999999998</v>
      </c>
      <c r="O233" s="148">
        <v>105743.67</v>
      </c>
      <c r="P233" s="494"/>
      <c r="Q233" s="148">
        <f>ROUND(P233*N233,2)</f>
        <v>0</v>
      </c>
      <c r="R233" s="148"/>
      <c r="S233" s="148">
        <f>ROUND(R233*N233,2)</f>
        <v>0</v>
      </c>
      <c r="T233" s="148">
        <f>F233+P233-R233</f>
        <v>48.68</v>
      </c>
      <c r="U233" s="148">
        <f t="shared" ref="U233:U239" si="87">O233+Q233-S233+L233</f>
        <v>105743.67</v>
      </c>
      <c r="V233" s="379"/>
      <c r="W233" s="379"/>
      <c r="X233" s="57">
        <f>'COMPOSIÇÃO DE CUSTOS'!G313</f>
        <v>708.95</v>
      </c>
      <c r="Y233" s="334">
        <v>834.06</v>
      </c>
      <c r="Z233" s="334">
        <f t="shared" si="74"/>
        <v>34511.734680000001</v>
      </c>
      <c r="AA233" s="57"/>
    </row>
    <row r="234" spans="1:30" s="55" customFormat="1" ht="48.75" customHeight="1">
      <c r="A234" s="19" t="s">
        <v>782</v>
      </c>
      <c r="B234" s="21" t="s">
        <v>2066</v>
      </c>
      <c r="C234" s="19" t="s">
        <v>86</v>
      </c>
      <c r="D234" s="21" t="s">
        <v>1914</v>
      </c>
      <c r="E234" s="21" t="s">
        <v>26</v>
      </c>
      <c r="F234" s="22">
        <v>60.65</v>
      </c>
      <c r="G234" s="22">
        <f t="shared" si="73"/>
        <v>462.63799999999998</v>
      </c>
      <c r="H234" s="22">
        <f>ROUND(G234*(1+$X$14),2)</f>
        <v>586.66999999999996</v>
      </c>
      <c r="I234" s="147">
        <f>ROUND(H234*F234,2)</f>
        <v>35581.54</v>
      </c>
      <c r="J234" s="148"/>
      <c r="K234" s="148"/>
      <c r="L234" s="148"/>
      <c r="M234" s="148">
        <v>1325.365</v>
      </c>
      <c r="N234" s="148">
        <v>1680.7</v>
      </c>
      <c r="O234" s="148">
        <v>101934.46</v>
      </c>
      <c r="P234" s="494"/>
      <c r="Q234" s="148">
        <f>ROUND(P234*N234,2)</f>
        <v>0</v>
      </c>
      <c r="R234" s="148"/>
      <c r="S234" s="148">
        <f>ROUND(R234*N234,2)</f>
        <v>0</v>
      </c>
      <c r="T234" s="148">
        <f>F234+P234-R234</f>
        <v>60.65</v>
      </c>
      <c r="U234" s="148">
        <f t="shared" si="87"/>
        <v>101934.46</v>
      </c>
      <c r="V234" s="379"/>
      <c r="W234" s="379"/>
      <c r="X234" s="57">
        <f>'COMPOSIÇÃO DE CUSTOS'!G325</f>
        <v>462.65</v>
      </c>
      <c r="Y234" s="334">
        <v>544.28</v>
      </c>
      <c r="Z234" s="334">
        <f t="shared" si="74"/>
        <v>28058.994699999999</v>
      </c>
      <c r="AA234" s="57"/>
    </row>
    <row r="235" spans="1:30" s="55" customFormat="1" ht="63.75" customHeight="1">
      <c r="A235" s="19" t="s">
        <v>2670</v>
      </c>
      <c r="B235" s="21" t="s">
        <v>2069</v>
      </c>
      <c r="C235" s="19" t="s">
        <v>87</v>
      </c>
      <c r="D235" s="21" t="s">
        <v>1914</v>
      </c>
      <c r="E235" s="21" t="s">
        <v>26</v>
      </c>
      <c r="F235" s="22">
        <v>1.43</v>
      </c>
      <c r="G235" s="22">
        <f t="shared" si="73"/>
        <v>686.34100000000001</v>
      </c>
      <c r="H235" s="22">
        <f>ROUND(G235*(1+$X$14),2)</f>
        <v>870.35</v>
      </c>
      <c r="I235" s="147">
        <f>ROUND(H235*F235,2)</f>
        <v>1244.5999999999999</v>
      </c>
      <c r="J235" s="148"/>
      <c r="K235" s="148"/>
      <c r="L235" s="148"/>
      <c r="M235" s="148">
        <v>764.59</v>
      </c>
      <c r="N235" s="148">
        <v>969.58</v>
      </c>
      <c r="O235" s="148">
        <v>1386.5</v>
      </c>
      <c r="P235" s="494"/>
      <c r="Q235" s="148">
        <f>ROUND(P235*N235,2)</f>
        <v>0</v>
      </c>
      <c r="R235" s="148"/>
      <c r="S235" s="148">
        <f>ROUND(R235*N235,2)</f>
        <v>0</v>
      </c>
      <c r="T235" s="148">
        <f>F235+P235-R235</f>
        <v>1.43</v>
      </c>
      <c r="U235" s="148">
        <f t="shared" si="87"/>
        <v>1386.5</v>
      </c>
      <c r="V235" s="379"/>
      <c r="W235" s="379"/>
      <c r="X235" s="57">
        <f>'COMPOSIÇÃO DE CUSTOS'!G349</f>
        <v>686.34</v>
      </c>
      <c r="Y235" s="334">
        <v>807.46</v>
      </c>
      <c r="Z235" s="334">
        <f t="shared" si="74"/>
        <v>981.46762999999999</v>
      </c>
      <c r="AA235" s="57"/>
    </row>
    <row r="236" spans="1:30" ht="60">
      <c r="A236" s="19" t="s">
        <v>2671</v>
      </c>
      <c r="B236" s="21" t="s">
        <v>2067</v>
      </c>
      <c r="C236" s="19" t="s">
        <v>88</v>
      </c>
      <c r="D236" s="21" t="s">
        <v>1914</v>
      </c>
      <c r="E236" s="21" t="s">
        <v>26</v>
      </c>
      <c r="F236" s="22">
        <v>2.4500000000000002</v>
      </c>
      <c r="G236" s="22">
        <f t="shared" si="73"/>
        <v>626.85800000000006</v>
      </c>
      <c r="H236" s="22">
        <f>ROUND(G236*(1+$X$14),2)</f>
        <v>794.92</v>
      </c>
      <c r="I236" s="147">
        <f>ROUND(H236*F236,2)</f>
        <v>1947.55</v>
      </c>
      <c r="J236" s="148"/>
      <c r="K236" s="148"/>
      <c r="L236" s="148"/>
      <c r="M236" s="148">
        <v>698.33</v>
      </c>
      <c r="N236" s="148">
        <v>885.55</v>
      </c>
      <c r="O236" s="148">
        <v>2169.6</v>
      </c>
      <c r="P236" s="494"/>
      <c r="Q236" s="148">
        <f>ROUND(P236*N236,2)</f>
        <v>0</v>
      </c>
      <c r="R236" s="148"/>
      <c r="S236" s="148">
        <f>ROUND(R236*N236,2)</f>
        <v>0</v>
      </c>
      <c r="T236" s="148">
        <f>F236+P236-R236</f>
        <v>2.4500000000000002</v>
      </c>
      <c r="U236" s="148">
        <f t="shared" si="87"/>
        <v>2169.6</v>
      </c>
      <c r="V236" s="379"/>
      <c r="W236" s="379"/>
      <c r="X236" s="33">
        <f>'COMPOSIÇÃO DE CUSTOS'!G337</f>
        <v>626.86</v>
      </c>
      <c r="Y236" s="337">
        <v>737.48</v>
      </c>
      <c r="Z236" s="334">
        <f t="shared" si="74"/>
        <v>1535.8021000000003</v>
      </c>
      <c r="AA236" s="33"/>
    </row>
    <row r="237" spans="1:30" s="267" customFormat="1" ht="45">
      <c r="A237" s="19" t="s">
        <v>2672</v>
      </c>
      <c r="B237" s="20">
        <v>11347</v>
      </c>
      <c r="C237" s="19" t="s">
        <v>3414</v>
      </c>
      <c r="D237" s="21" t="s">
        <v>44</v>
      </c>
      <c r="E237" s="21" t="s">
        <v>26</v>
      </c>
      <c r="F237" s="22">
        <v>404.34</v>
      </c>
      <c r="G237" s="22">
        <f t="shared" si="73"/>
        <v>1062.5</v>
      </c>
      <c r="H237" s="22">
        <f>ROUND(G237*(1+$X$14),2)</f>
        <v>1347.36</v>
      </c>
      <c r="I237" s="147">
        <f>ROUND(H237*F237,2)</f>
        <v>544791.54</v>
      </c>
      <c r="J237" s="148"/>
      <c r="K237" s="148"/>
      <c r="L237" s="148"/>
      <c r="M237" s="148">
        <v>2222.9203424586531</v>
      </c>
      <c r="N237" s="148">
        <v>2818.89</v>
      </c>
      <c r="O237" s="148">
        <v>1139789.98</v>
      </c>
      <c r="P237" s="494"/>
      <c r="Q237" s="148">
        <f>ROUND(P237*N237,2)</f>
        <v>0</v>
      </c>
      <c r="R237" s="148"/>
      <c r="S237" s="148">
        <f>ROUND(R237*N237,2)</f>
        <v>0</v>
      </c>
      <c r="T237" s="148">
        <f>F237+P237-R237</f>
        <v>404.34</v>
      </c>
      <c r="U237" s="148">
        <f t="shared" si="87"/>
        <v>1139789.98</v>
      </c>
      <c r="V237" s="379"/>
      <c r="W237" s="379"/>
      <c r="X237" s="268">
        <f>'COMPOSIÇÃO DE CUSTOS'!G354</f>
        <v>1062.5</v>
      </c>
      <c r="Y237" s="335">
        <v>1250</v>
      </c>
      <c r="Z237" s="334">
        <f t="shared" si="74"/>
        <v>429611.25</v>
      </c>
      <c r="AA237" s="268"/>
    </row>
    <row r="238" spans="1:30" ht="27.75" customHeight="1">
      <c r="A238" s="19"/>
      <c r="B238" s="21"/>
      <c r="C238" s="19"/>
      <c r="D238" s="21"/>
      <c r="E238" s="21"/>
      <c r="F238" s="22"/>
      <c r="G238" s="22"/>
      <c r="H238" s="22"/>
      <c r="I238" s="147"/>
      <c r="J238" s="148"/>
      <c r="K238" s="148"/>
      <c r="L238" s="148"/>
      <c r="M238" s="148"/>
      <c r="N238" s="148"/>
      <c r="O238" s="148"/>
      <c r="P238" s="494"/>
      <c r="Q238" s="148"/>
      <c r="R238" s="148"/>
      <c r="S238" s="148"/>
      <c r="T238" s="148"/>
      <c r="U238" s="148"/>
      <c r="V238" s="379"/>
      <c r="W238" s="379"/>
      <c r="Z238" s="334">
        <f t="shared" si="74"/>
        <v>0</v>
      </c>
    </row>
    <row r="239" spans="1:30" s="38" customFormat="1">
      <c r="A239" s="229" t="s">
        <v>783</v>
      </c>
      <c r="B239" s="229"/>
      <c r="C239" s="229" t="s">
        <v>90</v>
      </c>
      <c r="D239" s="230"/>
      <c r="E239" s="230"/>
      <c r="F239" s="230"/>
      <c r="G239" s="22"/>
      <c r="H239" s="230"/>
      <c r="I239" s="445">
        <f>I240</f>
        <v>35904.92</v>
      </c>
      <c r="J239" s="440"/>
      <c r="K239" s="440"/>
      <c r="L239" s="440"/>
      <c r="M239" s="440"/>
      <c r="N239" s="440"/>
      <c r="O239" s="440">
        <f>O240</f>
        <v>42054.720000000001</v>
      </c>
      <c r="P239" s="492"/>
      <c r="Q239" s="440">
        <f>Q240</f>
        <v>0</v>
      </c>
      <c r="R239" s="440"/>
      <c r="S239" s="440">
        <f>S240</f>
        <v>0</v>
      </c>
      <c r="T239" s="148"/>
      <c r="U239" s="440">
        <f t="shared" si="87"/>
        <v>42054.720000000001</v>
      </c>
      <c r="V239" s="330"/>
      <c r="W239" s="330"/>
      <c r="Y239" s="351"/>
      <c r="Z239" s="334">
        <f t="shared" si="74"/>
        <v>0</v>
      </c>
    </row>
    <row r="240" spans="1:30" ht="45">
      <c r="A240" s="19" t="s">
        <v>784</v>
      </c>
      <c r="B240" s="20" t="s">
        <v>2675</v>
      </c>
      <c r="C240" s="19" t="s">
        <v>91</v>
      </c>
      <c r="D240" s="21" t="s">
        <v>1914</v>
      </c>
      <c r="E240" s="21" t="s">
        <v>26</v>
      </c>
      <c r="F240" s="22">
        <v>55.74</v>
      </c>
      <c r="G240" s="22">
        <f t="shared" si="73"/>
        <v>507.96850000000001</v>
      </c>
      <c r="H240" s="22">
        <f>ROUND(G240*(1+$X$14),2)</f>
        <v>644.15</v>
      </c>
      <c r="I240" s="147">
        <f>ROUND(H240*F240,2)</f>
        <v>35904.92</v>
      </c>
      <c r="J240" s="148"/>
      <c r="K240" s="148"/>
      <c r="L240" s="148"/>
      <c r="M240" s="148">
        <v>594.97</v>
      </c>
      <c r="N240" s="148">
        <v>754.48</v>
      </c>
      <c r="O240" s="148">
        <v>42054.720000000001</v>
      </c>
      <c r="P240" s="494"/>
      <c r="Q240" s="148">
        <f>ROUND(P240*N240,2)</f>
        <v>0</v>
      </c>
      <c r="R240" s="148"/>
      <c r="S240" s="148">
        <f>ROUND(R240*N240,2)</f>
        <v>0</v>
      </c>
      <c r="T240" s="148">
        <f>F240+P240-R240</f>
        <v>55.74</v>
      </c>
      <c r="U240" s="148">
        <f>O240+Q240-S240+L240</f>
        <v>42054.720000000001</v>
      </c>
      <c r="V240" s="379"/>
      <c r="W240" s="379"/>
      <c r="X240" s="2">
        <f>'COMPOSIÇÃO DE CUSTOS'!G2333</f>
        <v>507.98</v>
      </c>
      <c r="Y240" s="340">
        <v>597.61</v>
      </c>
      <c r="Z240" s="334">
        <f t="shared" si="74"/>
        <v>28314.164190000003</v>
      </c>
      <c r="AB240" s="2" t="e">
        <f>IF(B240&lt;&gt;0,VLOOKUP(B240,#REF!,2,FALSE),"")</f>
        <v>#REF!</v>
      </c>
    </row>
    <row r="241" spans="1:28" ht="27" customHeight="1">
      <c r="A241" s="19"/>
      <c r="B241" s="21"/>
      <c r="C241" s="19"/>
      <c r="D241" s="21"/>
      <c r="E241" s="21"/>
      <c r="F241" s="22"/>
      <c r="G241" s="22"/>
      <c r="H241" s="22"/>
      <c r="I241" s="147"/>
      <c r="J241" s="148"/>
      <c r="K241" s="148"/>
      <c r="L241" s="148"/>
      <c r="M241" s="148"/>
      <c r="N241" s="148"/>
      <c r="O241" s="148"/>
      <c r="P241" s="494"/>
      <c r="Q241" s="148"/>
      <c r="R241" s="148"/>
      <c r="S241" s="148"/>
      <c r="T241" s="148"/>
      <c r="U241" s="148"/>
      <c r="V241" s="379"/>
      <c r="W241" s="379"/>
      <c r="Z241" s="334">
        <f t="shared" si="74"/>
        <v>0</v>
      </c>
    </row>
    <row r="242" spans="1:28" s="38" customFormat="1" ht="15" customHeight="1">
      <c r="A242" s="229" t="s">
        <v>785</v>
      </c>
      <c r="B242" s="229"/>
      <c r="C242" s="229" t="s">
        <v>92</v>
      </c>
      <c r="D242" s="230"/>
      <c r="E242" s="230"/>
      <c r="F242" s="230"/>
      <c r="G242" s="22"/>
      <c r="H242" s="230"/>
      <c r="I242" s="445">
        <f>ROUND(SUM(I243:I248),2)</f>
        <v>228807.99</v>
      </c>
      <c r="J242" s="440"/>
      <c r="K242" s="440"/>
      <c r="L242" s="440"/>
      <c r="M242" s="440"/>
      <c r="N242" s="440"/>
      <c r="O242" s="440">
        <f>ROUND(SUM(O243:O248),2)</f>
        <v>308932.03999999998</v>
      </c>
      <c r="P242" s="492"/>
      <c r="Q242" s="440">
        <f>ROUND(SUM(Q243:Q248),2)</f>
        <v>0</v>
      </c>
      <c r="R242" s="440"/>
      <c r="S242" s="440">
        <f>ROUND(SUM(S243:S248),2)</f>
        <v>0</v>
      </c>
      <c r="T242" s="148"/>
      <c r="U242" s="440">
        <f t="shared" ref="U242:U251" si="88">O242+Q242-S242+L242</f>
        <v>308932.03999999998</v>
      </c>
      <c r="V242" s="330"/>
      <c r="W242" s="330"/>
      <c r="Y242" s="351"/>
      <c r="Z242" s="334">
        <f t="shared" si="74"/>
        <v>0</v>
      </c>
    </row>
    <row r="243" spans="1:28" ht="75">
      <c r="A243" s="19" t="s">
        <v>786</v>
      </c>
      <c r="B243" s="20">
        <v>92580</v>
      </c>
      <c r="C243" s="19" t="s">
        <v>1565</v>
      </c>
      <c r="D243" s="21" t="s">
        <v>12</v>
      </c>
      <c r="E243" s="21" t="s">
        <v>26</v>
      </c>
      <c r="F243" s="22">
        <v>742.71</v>
      </c>
      <c r="G243" s="22">
        <f t="shared" si="73"/>
        <v>37.4255</v>
      </c>
      <c r="H243" s="22">
        <f t="shared" ref="H243:H248" si="89">ROUND(G243*(1+$X$14),2)</f>
        <v>47.46</v>
      </c>
      <c r="I243" s="147">
        <f t="shared" ref="I243:I248" si="90">ROUND(H243*F243,2)</f>
        <v>35249.019999999997</v>
      </c>
      <c r="J243" s="148"/>
      <c r="K243" s="148"/>
      <c r="L243" s="148"/>
      <c r="M243" s="148">
        <v>47.35</v>
      </c>
      <c r="N243" s="148">
        <v>60.04</v>
      </c>
      <c r="O243" s="148">
        <v>44592.31</v>
      </c>
      <c r="P243" s="494"/>
      <c r="Q243" s="148">
        <f t="shared" ref="Q243:Q248" si="91">ROUND(P243*N243,2)</f>
        <v>0</v>
      </c>
      <c r="R243" s="148"/>
      <c r="S243" s="148">
        <f t="shared" ref="S243:S248" si="92">ROUND(R243*N243,2)</f>
        <v>0</v>
      </c>
      <c r="T243" s="148">
        <f t="shared" ref="T243:T248" si="93">F243+P243-R243</f>
        <v>742.71</v>
      </c>
      <c r="U243" s="148">
        <f t="shared" si="88"/>
        <v>44592.31</v>
      </c>
      <c r="V243" s="379"/>
      <c r="W243" s="379"/>
      <c r="X243" s="2" t="e">
        <f>IF(B243&lt;&gt;0,VLOOKUP(B243,#REF!,4,FALSE),"")</f>
        <v>#REF!</v>
      </c>
      <c r="Y243" s="340" t="s">
        <v>3209</v>
      </c>
      <c r="Z243" s="334">
        <f t="shared" si="74"/>
        <v>27796.293105000001</v>
      </c>
      <c r="AB243" s="2" t="e">
        <f>IF(B243&lt;&gt;0,VLOOKUP(B243,#REF!,2,FALSE),"")</f>
        <v>#REF!</v>
      </c>
    </row>
    <row r="244" spans="1:28" ht="45">
      <c r="A244" s="19" t="s">
        <v>787</v>
      </c>
      <c r="B244" s="20">
        <v>94216</v>
      </c>
      <c r="C244" s="19" t="s">
        <v>1566</v>
      </c>
      <c r="D244" s="21" t="s">
        <v>12</v>
      </c>
      <c r="E244" s="21" t="s">
        <v>26</v>
      </c>
      <c r="F244" s="22">
        <v>742.71</v>
      </c>
      <c r="G244" s="22">
        <f t="shared" si="73"/>
        <v>185.30849999999998</v>
      </c>
      <c r="H244" s="22">
        <f t="shared" si="89"/>
        <v>234.99</v>
      </c>
      <c r="I244" s="147">
        <f t="shared" si="90"/>
        <v>174529.42</v>
      </c>
      <c r="J244" s="148"/>
      <c r="K244" s="148"/>
      <c r="L244" s="148"/>
      <c r="M244" s="148">
        <v>258.16000000000003</v>
      </c>
      <c r="N244" s="148">
        <v>327.37</v>
      </c>
      <c r="O244" s="148">
        <v>243140.97</v>
      </c>
      <c r="P244" s="494"/>
      <c r="Q244" s="148">
        <f t="shared" si="91"/>
        <v>0</v>
      </c>
      <c r="R244" s="148"/>
      <c r="S244" s="148">
        <f t="shared" si="92"/>
        <v>0</v>
      </c>
      <c r="T244" s="148">
        <f t="shared" si="93"/>
        <v>742.71</v>
      </c>
      <c r="U244" s="148">
        <f t="shared" si="88"/>
        <v>243140.97</v>
      </c>
      <c r="V244" s="379"/>
      <c r="W244" s="379"/>
      <c r="X244" s="2" t="e">
        <f>IF(B244&lt;&gt;0,VLOOKUP(B244,#REF!,4,FALSE),"")</f>
        <v>#REF!</v>
      </c>
      <c r="Y244" s="340" t="s">
        <v>3144</v>
      </c>
      <c r="Z244" s="334">
        <f t="shared" si="74"/>
        <v>137630.476035</v>
      </c>
      <c r="AB244" s="2" t="e">
        <f>IF(B244&lt;&gt;0,VLOOKUP(B244,#REF!,2,FALSE),"")</f>
        <v>#REF!</v>
      </c>
    </row>
    <row r="245" spans="1:28" s="55" customFormat="1">
      <c r="A245" s="19" t="s">
        <v>788</v>
      </c>
      <c r="B245" s="20">
        <v>9077</v>
      </c>
      <c r="C245" s="19" t="s">
        <v>1975</v>
      </c>
      <c r="D245" s="21" t="s">
        <v>44</v>
      </c>
      <c r="E245" s="21" t="s">
        <v>52</v>
      </c>
      <c r="F245" s="22">
        <v>47.65</v>
      </c>
      <c r="G245" s="22">
        <f t="shared" si="73"/>
        <v>81.021999999999991</v>
      </c>
      <c r="H245" s="22">
        <f t="shared" si="89"/>
        <v>102.74</v>
      </c>
      <c r="I245" s="147">
        <f t="shared" si="90"/>
        <v>4895.5600000000004</v>
      </c>
      <c r="J245" s="148"/>
      <c r="K245" s="148"/>
      <c r="L245" s="148"/>
      <c r="M245" s="148">
        <v>90.26</v>
      </c>
      <c r="N245" s="148">
        <v>114.46</v>
      </c>
      <c r="O245" s="148">
        <v>5454.02</v>
      </c>
      <c r="P245" s="494"/>
      <c r="Q245" s="148">
        <f t="shared" si="91"/>
        <v>0</v>
      </c>
      <c r="R245" s="148"/>
      <c r="S245" s="148">
        <f t="shared" si="92"/>
        <v>0</v>
      </c>
      <c r="T245" s="148">
        <f t="shared" si="93"/>
        <v>47.65</v>
      </c>
      <c r="U245" s="148">
        <f t="shared" si="88"/>
        <v>5454.02</v>
      </c>
      <c r="V245" s="379"/>
      <c r="W245" s="379"/>
      <c r="X245" s="56">
        <f>'COMPOSIÇÃO DE CUSTOS'!G2032</f>
        <v>81.02</v>
      </c>
      <c r="Y245" s="349">
        <v>95.32</v>
      </c>
      <c r="Z245" s="334">
        <f t="shared" si="74"/>
        <v>3860.6982999999996</v>
      </c>
      <c r="AA245" s="56"/>
    </row>
    <row r="246" spans="1:28" s="55" customFormat="1" ht="60">
      <c r="A246" s="19" t="s">
        <v>789</v>
      </c>
      <c r="B246" s="20">
        <v>71623</v>
      </c>
      <c r="C246" s="19" t="s">
        <v>93</v>
      </c>
      <c r="D246" s="21" t="s">
        <v>1914</v>
      </c>
      <c r="E246" s="21" t="s">
        <v>52</v>
      </c>
      <c r="F246" s="22">
        <v>194.87</v>
      </c>
      <c r="G246" s="22">
        <f t="shared" si="73"/>
        <v>26.8855</v>
      </c>
      <c r="H246" s="22">
        <f t="shared" si="89"/>
        <v>34.090000000000003</v>
      </c>
      <c r="I246" s="147">
        <f t="shared" si="90"/>
        <v>6643.12</v>
      </c>
      <c r="J246" s="148"/>
      <c r="K246" s="148"/>
      <c r="L246" s="148"/>
      <c r="M246" s="148">
        <v>29.95</v>
      </c>
      <c r="N246" s="148">
        <v>37.979999999999997</v>
      </c>
      <c r="O246" s="148">
        <v>7401.16</v>
      </c>
      <c r="P246" s="494"/>
      <c r="Q246" s="148">
        <f t="shared" si="91"/>
        <v>0</v>
      </c>
      <c r="R246" s="148"/>
      <c r="S246" s="148">
        <f t="shared" si="92"/>
        <v>0</v>
      </c>
      <c r="T246" s="148">
        <f t="shared" si="93"/>
        <v>194.87</v>
      </c>
      <c r="U246" s="148">
        <f t="shared" si="88"/>
        <v>7401.16</v>
      </c>
      <c r="V246" s="379"/>
      <c r="W246" s="379"/>
      <c r="X246" s="56">
        <f>'COMPOSIÇÃO DE CUSTOS'!G367</f>
        <v>26.88</v>
      </c>
      <c r="Y246" s="349">
        <v>31.63</v>
      </c>
      <c r="Z246" s="334">
        <f t="shared" si="74"/>
        <v>5239.177385</v>
      </c>
      <c r="AA246" s="56"/>
    </row>
    <row r="247" spans="1:28" ht="30">
      <c r="A247" s="19" t="s">
        <v>790</v>
      </c>
      <c r="B247" s="21" t="s">
        <v>2072</v>
      </c>
      <c r="C247" s="19" t="s">
        <v>94</v>
      </c>
      <c r="D247" s="21" t="s">
        <v>1914</v>
      </c>
      <c r="E247" s="21" t="s">
        <v>52</v>
      </c>
      <c r="F247" s="22">
        <v>167.8</v>
      </c>
      <c r="G247" s="22">
        <f t="shared" si="73"/>
        <v>29.384499999999999</v>
      </c>
      <c r="H247" s="22">
        <f t="shared" si="89"/>
        <v>37.26</v>
      </c>
      <c r="I247" s="147">
        <f t="shared" si="90"/>
        <v>6252.23</v>
      </c>
      <c r="J247" s="148"/>
      <c r="K247" s="148"/>
      <c r="L247" s="148"/>
      <c r="M247" s="148">
        <v>32.729999999999997</v>
      </c>
      <c r="N247" s="148">
        <v>41.5</v>
      </c>
      <c r="O247" s="148">
        <v>6963.7</v>
      </c>
      <c r="P247" s="494"/>
      <c r="Q247" s="148">
        <f t="shared" si="91"/>
        <v>0</v>
      </c>
      <c r="R247" s="148"/>
      <c r="S247" s="148">
        <f t="shared" si="92"/>
        <v>0</v>
      </c>
      <c r="T247" s="148">
        <f t="shared" si="93"/>
        <v>167.8</v>
      </c>
      <c r="U247" s="148">
        <f t="shared" si="88"/>
        <v>6963.7</v>
      </c>
      <c r="V247" s="379"/>
      <c r="W247" s="379"/>
      <c r="X247" s="27">
        <f>'COMPOSIÇÃO DE CUSTOS'!G376</f>
        <v>29.37</v>
      </c>
      <c r="Y247" s="340">
        <v>34.57</v>
      </c>
      <c r="Z247" s="334">
        <f t="shared" si="74"/>
        <v>4930.7191000000003</v>
      </c>
      <c r="AA247" s="27"/>
    </row>
    <row r="248" spans="1:28" s="55" customFormat="1" ht="30">
      <c r="A248" s="19" t="s">
        <v>791</v>
      </c>
      <c r="B248" s="20">
        <v>100563</v>
      </c>
      <c r="C248" s="19" t="s">
        <v>95</v>
      </c>
      <c r="D248" s="21" t="s">
        <v>1914</v>
      </c>
      <c r="E248" s="21" t="s">
        <v>26</v>
      </c>
      <c r="F248" s="22">
        <v>20.47</v>
      </c>
      <c r="G248" s="22">
        <f t="shared" si="73"/>
        <v>47.719000000000001</v>
      </c>
      <c r="H248" s="22">
        <f t="shared" si="89"/>
        <v>60.51</v>
      </c>
      <c r="I248" s="147">
        <f t="shared" si="90"/>
        <v>1238.6400000000001</v>
      </c>
      <c r="J248" s="148"/>
      <c r="K248" s="148"/>
      <c r="L248" s="148"/>
      <c r="M248" s="148">
        <v>53.16</v>
      </c>
      <c r="N248" s="148">
        <v>67.41</v>
      </c>
      <c r="O248" s="148">
        <v>1379.88</v>
      </c>
      <c r="P248" s="494"/>
      <c r="Q248" s="148">
        <f t="shared" si="91"/>
        <v>0</v>
      </c>
      <c r="R248" s="148"/>
      <c r="S248" s="148">
        <f t="shared" si="92"/>
        <v>0</v>
      </c>
      <c r="T248" s="148">
        <f t="shared" si="93"/>
        <v>20.47</v>
      </c>
      <c r="U248" s="148">
        <f t="shared" si="88"/>
        <v>1379.88</v>
      </c>
      <c r="V248" s="379"/>
      <c r="W248" s="379"/>
      <c r="X248" s="56">
        <f>'COMPOSIÇÃO DE CUSTOS'!G386</f>
        <v>47.72</v>
      </c>
      <c r="Y248" s="349">
        <v>56.14</v>
      </c>
      <c r="Z248" s="334">
        <f t="shared" si="74"/>
        <v>976.80792999999994</v>
      </c>
      <c r="AA248" s="56"/>
    </row>
    <row r="249" spans="1:28" ht="25.5" customHeight="1">
      <c r="A249" s="19"/>
      <c r="B249" s="21"/>
      <c r="C249" s="19"/>
      <c r="D249" s="21"/>
      <c r="E249" s="21"/>
      <c r="F249" s="22"/>
      <c r="G249" s="22"/>
      <c r="H249" s="22"/>
      <c r="I249" s="147"/>
      <c r="J249" s="148"/>
      <c r="K249" s="148"/>
      <c r="L249" s="148"/>
      <c r="M249" s="148"/>
      <c r="N249" s="148"/>
      <c r="O249" s="148"/>
      <c r="P249" s="494"/>
      <c r="Q249" s="148"/>
      <c r="R249" s="148"/>
      <c r="S249" s="148"/>
      <c r="T249" s="148"/>
      <c r="U249" s="148"/>
      <c r="V249" s="379"/>
      <c r="W249" s="379"/>
      <c r="Z249" s="334">
        <f t="shared" si="74"/>
        <v>0</v>
      </c>
    </row>
    <row r="250" spans="1:28" s="38" customFormat="1" ht="17.25" customHeight="1">
      <c r="A250" s="229" t="s">
        <v>792</v>
      </c>
      <c r="B250" s="229"/>
      <c r="C250" s="229" t="s">
        <v>96</v>
      </c>
      <c r="D250" s="230"/>
      <c r="E250" s="230"/>
      <c r="F250" s="230"/>
      <c r="G250" s="22"/>
      <c r="H250" s="230"/>
      <c r="I250" s="445">
        <f>ROUND(SUM(I251:I251),2)</f>
        <v>98926.77</v>
      </c>
      <c r="J250" s="440"/>
      <c r="K250" s="440"/>
      <c r="L250" s="440"/>
      <c r="M250" s="440"/>
      <c r="N250" s="440"/>
      <c r="O250" s="440">
        <f>ROUND(SUM(O251:O251),2)</f>
        <v>129402.91</v>
      </c>
      <c r="P250" s="492"/>
      <c r="Q250" s="440">
        <f>ROUND(SUM(Q251:Q251),2)</f>
        <v>0</v>
      </c>
      <c r="R250" s="440"/>
      <c r="S250" s="440">
        <f>ROUND(SUM(S251:S251),2)</f>
        <v>0</v>
      </c>
      <c r="T250" s="148"/>
      <c r="U250" s="440">
        <f t="shared" si="88"/>
        <v>129402.91</v>
      </c>
      <c r="V250" s="330"/>
      <c r="W250" s="330"/>
      <c r="Y250" s="351"/>
      <c r="Z250" s="334">
        <f t="shared" si="74"/>
        <v>0</v>
      </c>
    </row>
    <row r="251" spans="1:28" s="55" customFormat="1" ht="42.75" customHeight="1">
      <c r="A251" s="19" t="s">
        <v>793</v>
      </c>
      <c r="B251" s="20">
        <v>96114</v>
      </c>
      <c r="C251" s="19" t="s">
        <v>2685</v>
      </c>
      <c r="D251" s="21" t="s">
        <v>12</v>
      </c>
      <c r="E251" s="21" t="s">
        <v>26</v>
      </c>
      <c r="F251" s="22">
        <v>1508.72</v>
      </c>
      <c r="G251" s="22">
        <f t="shared" si="73"/>
        <v>51.705500000000001</v>
      </c>
      <c r="H251" s="22">
        <f>ROUND(G251*(1+$X$14),2)</f>
        <v>65.569999999999993</v>
      </c>
      <c r="I251" s="147">
        <f>ROUND(H251*F251,2)</f>
        <v>98926.77</v>
      </c>
      <c r="J251" s="148"/>
      <c r="K251" s="148"/>
      <c r="L251" s="148"/>
      <c r="M251" s="148">
        <v>67.64</v>
      </c>
      <c r="N251" s="148">
        <v>85.77</v>
      </c>
      <c r="O251" s="148">
        <v>129402.91</v>
      </c>
      <c r="P251" s="494"/>
      <c r="Q251" s="148">
        <f>ROUND(P251*N251,2)</f>
        <v>0</v>
      </c>
      <c r="R251" s="148"/>
      <c r="S251" s="148">
        <f>ROUND(R251*N251,2)</f>
        <v>0</v>
      </c>
      <c r="T251" s="148">
        <f>F251+P251-R251</f>
        <v>1508.72</v>
      </c>
      <c r="U251" s="148">
        <f t="shared" si="88"/>
        <v>129402.91</v>
      </c>
      <c r="V251" s="379">
        <f>'PLANILHA ORÇA - CORREGEDORIA'!F251+'PLANILHA ORÇA - EJUD'!F173+'PLANILHA ORÇA - EJUD'!F174</f>
        <v>2584.1099999999997</v>
      </c>
      <c r="W251" s="379"/>
      <c r="X251" s="55" t="e">
        <f>IF(B251&lt;&gt;0,VLOOKUP(B251,#REF!,4,FALSE),"")</f>
        <v>#REF!</v>
      </c>
      <c r="Y251" s="349" t="s">
        <v>3305</v>
      </c>
      <c r="Z251" s="334">
        <f t="shared" si="74"/>
        <v>78009.121960000004</v>
      </c>
      <c r="AB251" s="55" t="e">
        <f>IF(B251&lt;&gt;0,VLOOKUP(B251,#REF!,2,FALSE),"")</f>
        <v>#REF!</v>
      </c>
    </row>
    <row r="252" spans="1:28" ht="24.75" customHeight="1">
      <c r="A252" s="19"/>
      <c r="B252" s="21"/>
      <c r="C252" s="19"/>
      <c r="D252" s="21"/>
      <c r="E252" s="21"/>
      <c r="F252" s="22"/>
      <c r="G252" s="22"/>
      <c r="H252" s="22"/>
      <c r="I252" s="147"/>
      <c r="J252" s="148"/>
      <c r="K252" s="148"/>
      <c r="L252" s="148"/>
      <c r="M252" s="148"/>
      <c r="N252" s="148"/>
      <c r="O252" s="148"/>
      <c r="P252" s="494"/>
      <c r="Q252" s="148"/>
      <c r="R252" s="148"/>
      <c r="S252" s="148"/>
      <c r="T252" s="148"/>
      <c r="U252" s="148"/>
      <c r="V252" s="379"/>
      <c r="W252" s="379"/>
      <c r="Z252" s="334">
        <f t="shared" si="74"/>
        <v>0</v>
      </c>
    </row>
    <row r="253" spans="1:28" s="23" customFormat="1" ht="15" customHeight="1">
      <c r="A253" s="229" t="s">
        <v>795</v>
      </c>
      <c r="B253" s="229"/>
      <c r="C253" s="229" t="s">
        <v>98</v>
      </c>
      <c r="D253" s="230"/>
      <c r="E253" s="230"/>
      <c r="F253" s="230"/>
      <c r="G253" s="22"/>
      <c r="H253" s="230"/>
      <c r="I253" s="445">
        <f>ROUND(SUM(I254:I267),2)</f>
        <v>516046.45</v>
      </c>
      <c r="J253" s="440"/>
      <c r="K253" s="440"/>
      <c r="L253" s="440"/>
      <c r="M253" s="440"/>
      <c r="N253" s="440"/>
      <c r="O253" s="440">
        <f>ROUND(SUM(O254:O268),2)</f>
        <v>802069.6</v>
      </c>
      <c r="P253" s="492"/>
      <c r="Q253" s="440">
        <f>ROUND(SUM(Q254:Q268),2)</f>
        <v>161093</v>
      </c>
      <c r="R253" s="440"/>
      <c r="S253" s="440">
        <f>ROUND(SUM(S254:S267),2)</f>
        <v>89412.69</v>
      </c>
      <c r="T253" s="148"/>
      <c r="U253" s="440">
        <f t="shared" ref="U253:U268" si="94">O253+Q253-S253+L253</f>
        <v>873749.90999999992</v>
      </c>
      <c r="V253" s="330"/>
      <c r="W253" s="330"/>
      <c r="Y253" s="347"/>
      <c r="Z253" s="334">
        <f t="shared" si="74"/>
        <v>0</v>
      </c>
    </row>
    <row r="254" spans="1:28" s="23" customFormat="1" ht="60">
      <c r="A254" s="449" t="s">
        <v>796</v>
      </c>
      <c r="B254" s="448">
        <v>87878</v>
      </c>
      <c r="C254" s="449" t="s">
        <v>1567</v>
      </c>
      <c r="D254" s="447" t="s">
        <v>12</v>
      </c>
      <c r="E254" s="447" t="s">
        <v>26</v>
      </c>
      <c r="F254" s="450">
        <v>4296.8159999999998</v>
      </c>
      <c r="G254" s="450">
        <f t="shared" si="73"/>
        <v>2.9155000000000002</v>
      </c>
      <c r="H254" s="450">
        <f t="shared" ref="H254:H267" si="95">ROUND(G254*(1+$X$14),2)</f>
        <v>3.7</v>
      </c>
      <c r="I254" s="451">
        <f t="shared" ref="I254:I259" si="96">ROUND(H254*F254,2)</f>
        <v>15898.22</v>
      </c>
      <c r="J254" s="452"/>
      <c r="K254" s="452"/>
      <c r="L254" s="452"/>
      <c r="M254" s="452">
        <v>3.25</v>
      </c>
      <c r="N254" s="452">
        <v>4.12</v>
      </c>
      <c r="O254" s="452">
        <v>17702.88</v>
      </c>
      <c r="P254" s="493"/>
      <c r="Q254" s="452">
        <f>ROUND(P254*N254,2)</f>
        <v>0</v>
      </c>
      <c r="R254" s="452">
        <f>F254-2*1986.36</f>
        <v>324.096</v>
      </c>
      <c r="S254" s="452">
        <f>ROUND(R254*N254,2)</f>
        <v>1335.28</v>
      </c>
      <c r="T254" s="452">
        <f t="shared" ref="T254:T268" si="97">F254+P254-R254</f>
        <v>3972.72</v>
      </c>
      <c r="U254" s="452">
        <f t="shared" si="94"/>
        <v>16367.6</v>
      </c>
      <c r="V254" s="529">
        <v>1986.36</v>
      </c>
      <c r="W254" s="529"/>
      <c r="X254" s="23" t="e">
        <f>IF(B254&lt;&gt;0,VLOOKUP(B254,#REF!,4,FALSE),"")</f>
        <v>#REF!</v>
      </c>
      <c r="Y254" s="347" t="s">
        <v>3132</v>
      </c>
      <c r="Z254" s="346">
        <f t="shared" si="74"/>
        <v>12527.367048</v>
      </c>
      <c r="AB254" s="23" t="e">
        <f>IF(B254&lt;&gt;0,VLOOKUP(B254,#REF!,2,FALSE),"")</f>
        <v>#REF!</v>
      </c>
    </row>
    <row r="255" spans="1:28" s="38" customFormat="1" ht="90">
      <c r="A255" s="449" t="s">
        <v>797</v>
      </c>
      <c r="B255" s="448">
        <v>87535</v>
      </c>
      <c r="C255" s="449" t="s">
        <v>1568</v>
      </c>
      <c r="D255" s="447" t="s">
        <v>12</v>
      </c>
      <c r="E255" s="447" t="s">
        <v>26</v>
      </c>
      <c r="F255" s="450">
        <v>2541.2085000000002</v>
      </c>
      <c r="G255" s="450">
        <f t="shared" si="73"/>
        <v>20.094000000000001</v>
      </c>
      <c r="H255" s="450">
        <f t="shared" si="95"/>
        <v>25.48</v>
      </c>
      <c r="I255" s="451">
        <f t="shared" si="96"/>
        <v>64749.99</v>
      </c>
      <c r="J255" s="452"/>
      <c r="K255" s="452"/>
      <c r="L255" s="452"/>
      <c r="M255" s="452">
        <v>26.45</v>
      </c>
      <c r="N255" s="452">
        <v>33.54</v>
      </c>
      <c r="O255" s="452">
        <v>85232.13</v>
      </c>
      <c r="P255" s="493"/>
      <c r="Q255" s="452">
        <f t="shared" ref="Q255:Q267" si="98">ROUND(P255*N255,2)</f>
        <v>0</v>
      </c>
      <c r="R255" s="452">
        <f>F255-1162.1</f>
        <v>1379.1085000000003</v>
      </c>
      <c r="S255" s="452">
        <f t="shared" ref="S255:S267" si="99">ROUND(R255*N255,2)</f>
        <v>46255.3</v>
      </c>
      <c r="T255" s="452">
        <f t="shared" si="97"/>
        <v>1162.0999999999999</v>
      </c>
      <c r="U255" s="452">
        <f t="shared" si="94"/>
        <v>38976.83</v>
      </c>
      <c r="V255" s="453" t="s">
        <v>4091</v>
      </c>
      <c r="W255" s="453"/>
      <c r="X255" s="38" t="e">
        <f>IF(B255&lt;&gt;0,VLOOKUP(B255,#REF!,4,FALSE),"")</f>
        <v>#REF!</v>
      </c>
      <c r="Y255" s="351" t="s">
        <v>3140</v>
      </c>
      <c r="Z255" s="336">
        <f t="shared" si="74"/>
        <v>51063.043599000004</v>
      </c>
      <c r="AB255" s="38" t="e">
        <f>IF(B255&lt;&gt;0,VLOOKUP(B255,#REF!,2,FALSE),"")</f>
        <v>#REF!</v>
      </c>
    </row>
    <row r="256" spans="1:28" ht="75">
      <c r="A256" s="19" t="s">
        <v>798</v>
      </c>
      <c r="B256" s="20">
        <v>87265</v>
      </c>
      <c r="C256" s="19" t="s">
        <v>99</v>
      </c>
      <c r="D256" s="21" t="s">
        <v>12</v>
      </c>
      <c r="E256" s="21" t="s">
        <v>26</v>
      </c>
      <c r="F256" s="22">
        <f>135.8+110</f>
        <v>245.8</v>
      </c>
      <c r="G256" s="22">
        <f t="shared" si="73"/>
        <v>44.71</v>
      </c>
      <c r="H256" s="22">
        <f t="shared" si="95"/>
        <v>56.7</v>
      </c>
      <c r="I256" s="147">
        <f t="shared" si="96"/>
        <v>13936.86</v>
      </c>
      <c r="J256" s="148"/>
      <c r="K256" s="148"/>
      <c r="L256" s="148"/>
      <c r="M256" s="148">
        <v>49.81</v>
      </c>
      <c r="N256" s="148">
        <v>63.16</v>
      </c>
      <c r="O256" s="148">
        <v>15524.73</v>
      </c>
      <c r="P256" s="494"/>
      <c r="Q256" s="148">
        <f t="shared" si="98"/>
        <v>0</v>
      </c>
      <c r="R256" s="148"/>
      <c r="S256" s="148">
        <f t="shared" si="99"/>
        <v>0</v>
      </c>
      <c r="T256" s="148">
        <f t="shared" si="97"/>
        <v>245.8</v>
      </c>
      <c r="U256" s="148">
        <f t="shared" si="94"/>
        <v>15524.73</v>
      </c>
      <c r="V256" s="379"/>
      <c r="W256" s="379"/>
      <c r="X256" s="2" t="e">
        <f>IF(B256&lt;&gt;0,VLOOKUP(B256,#REF!,4,FALSE),"")</f>
        <v>#REF!</v>
      </c>
      <c r="Y256" s="340" t="s">
        <v>3311</v>
      </c>
      <c r="Z256" s="334">
        <f t="shared" si="74"/>
        <v>10989.718000000001</v>
      </c>
      <c r="AB256" s="2" t="e">
        <f>IF(B256&lt;&gt;0,VLOOKUP(B256,#REF!,2,FALSE),"")</f>
        <v>#REF!</v>
      </c>
    </row>
    <row r="257" spans="1:28" s="23" customFormat="1" ht="75">
      <c r="A257" s="449" t="s">
        <v>2447</v>
      </c>
      <c r="B257" s="448">
        <v>87273</v>
      </c>
      <c r="C257" s="449" t="s">
        <v>100</v>
      </c>
      <c r="D257" s="447" t="s">
        <v>12</v>
      </c>
      <c r="E257" s="447" t="s">
        <v>26</v>
      </c>
      <c r="F257" s="450">
        <v>569.29</v>
      </c>
      <c r="G257" s="450">
        <f t="shared" si="73"/>
        <v>49.410499999999999</v>
      </c>
      <c r="H257" s="450">
        <f t="shared" si="95"/>
        <v>62.66</v>
      </c>
      <c r="I257" s="451">
        <f t="shared" si="96"/>
        <v>35671.71</v>
      </c>
      <c r="J257" s="452"/>
      <c r="K257" s="452"/>
      <c r="L257" s="452"/>
      <c r="M257" s="452">
        <v>67.709999999999994</v>
      </c>
      <c r="N257" s="452">
        <v>85.86</v>
      </c>
      <c r="O257" s="452">
        <v>48879.24</v>
      </c>
      <c r="P257" s="493">
        <f>718.2-F257</f>
        <v>148.91000000000008</v>
      </c>
      <c r="Q257" s="452">
        <f t="shared" si="98"/>
        <v>12785.41</v>
      </c>
      <c r="R257" s="452"/>
      <c r="S257" s="452">
        <f t="shared" si="99"/>
        <v>0</v>
      </c>
      <c r="T257" s="452">
        <f t="shared" si="97"/>
        <v>718.2</v>
      </c>
      <c r="U257" s="452">
        <f t="shared" si="94"/>
        <v>61664.649999999994</v>
      </c>
      <c r="V257" s="529"/>
      <c r="W257" s="529"/>
      <c r="X257" s="23" t="e">
        <f>IF(B257&lt;&gt;0,VLOOKUP(B257,#REF!,4,FALSE),"")</f>
        <v>#REF!</v>
      </c>
      <c r="Y257" s="347" t="s">
        <v>3312</v>
      </c>
      <c r="Z257" s="346">
        <f t="shared" si="74"/>
        <v>28128.903544999997</v>
      </c>
      <c r="AB257" s="23" t="e">
        <f>IF(B257&lt;&gt;0,VLOOKUP(B257,#REF!,2,FALSE),"")</f>
        <v>#REF!</v>
      </c>
    </row>
    <row r="258" spans="1:28" ht="75">
      <c r="A258" s="19" t="s">
        <v>2448</v>
      </c>
      <c r="B258" s="20">
        <v>87273</v>
      </c>
      <c r="C258" s="19" t="s">
        <v>101</v>
      </c>
      <c r="D258" s="21" t="s">
        <v>12</v>
      </c>
      <c r="E258" s="21" t="s">
        <v>26</v>
      </c>
      <c r="F258" s="22">
        <v>156.69999999999999</v>
      </c>
      <c r="G258" s="22">
        <f t="shared" si="73"/>
        <v>49.410499999999999</v>
      </c>
      <c r="H258" s="22">
        <f t="shared" si="95"/>
        <v>62.66</v>
      </c>
      <c r="I258" s="147">
        <f t="shared" si="96"/>
        <v>9818.82</v>
      </c>
      <c r="J258" s="148"/>
      <c r="K258" s="148"/>
      <c r="L258" s="148"/>
      <c r="M258" s="148">
        <v>55.04</v>
      </c>
      <c r="N258" s="148">
        <v>69.8</v>
      </c>
      <c r="O258" s="148">
        <v>10937.66</v>
      </c>
      <c r="P258" s="494"/>
      <c r="Q258" s="148">
        <f t="shared" si="98"/>
        <v>0</v>
      </c>
      <c r="R258" s="148"/>
      <c r="S258" s="148">
        <f t="shared" si="99"/>
        <v>0</v>
      </c>
      <c r="T258" s="148">
        <f t="shared" si="97"/>
        <v>156.69999999999999</v>
      </c>
      <c r="U258" s="148">
        <f t="shared" si="94"/>
        <v>10937.66</v>
      </c>
      <c r="V258" s="379"/>
      <c r="W258" s="379"/>
      <c r="X258" s="2" t="e">
        <f>IF(B258&lt;&gt;0,VLOOKUP(B258,#REF!,4,FALSE),"")</f>
        <v>#REF!</v>
      </c>
      <c r="Y258" s="340" t="s">
        <v>3312</v>
      </c>
      <c r="Z258" s="334">
        <f t="shared" si="74"/>
        <v>7742.6253499999993</v>
      </c>
      <c r="AB258" s="2" t="e">
        <f>IF(B258&lt;&gt;0,VLOOKUP(B258,#REF!,2,FALSE),"")</f>
        <v>#REF!</v>
      </c>
    </row>
    <row r="259" spans="1:28" ht="75">
      <c r="A259" s="19" t="s">
        <v>2449</v>
      </c>
      <c r="B259" s="20">
        <v>10078</v>
      </c>
      <c r="C259" s="19" t="s">
        <v>102</v>
      </c>
      <c r="D259" s="21" t="s">
        <v>44</v>
      </c>
      <c r="E259" s="21" t="s">
        <v>26</v>
      </c>
      <c r="F259" s="22">
        <v>262.41000000000003</v>
      </c>
      <c r="G259" s="22">
        <f t="shared" si="73"/>
        <v>567.35800000000006</v>
      </c>
      <c r="H259" s="22">
        <f t="shared" si="95"/>
        <v>719.47</v>
      </c>
      <c r="I259" s="147">
        <f t="shared" si="96"/>
        <v>188796.12</v>
      </c>
      <c r="J259" s="148"/>
      <c r="K259" s="148"/>
      <c r="L259" s="148"/>
      <c r="M259" s="148">
        <v>632.04</v>
      </c>
      <c r="N259" s="148">
        <v>801.49</v>
      </c>
      <c r="O259" s="148">
        <v>210318.99</v>
      </c>
      <c r="P259" s="494"/>
      <c r="Q259" s="148">
        <f t="shared" si="98"/>
        <v>0</v>
      </c>
      <c r="R259" s="148"/>
      <c r="S259" s="148">
        <f t="shared" si="99"/>
        <v>0</v>
      </c>
      <c r="T259" s="148">
        <f t="shared" si="97"/>
        <v>262.41000000000003</v>
      </c>
      <c r="U259" s="148">
        <f t="shared" si="94"/>
        <v>210318.99</v>
      </c>
      <c r="V259" s="379" t="s">
        <v>4090</v>
      </c>
      <c r="W259" s="379"/>
      <c r="X259" s="27">
        <f>'COMPOSIÇÃO DE CUSTOS'!G396</f>
        <v>567.36</v>
      </c>
      <c r="Y259" s="340">
        <v>667.48</v>
      </c>
      <c r="Z259" s="337">
        <f t="shared" si="74"/>
        <v>148880.41278000004</v>
      </c>
      <c r="AA259" s="27"/>
    </row>
    <row r="260" spans="1:28" s="38" customFormat="1" ht="30">
      <c r="A260" s="449" t="s">
        <v>2450</v>
      </c>
      <c r="B260" s="447" t="s">
        <v>2080</v>
      </c>
      <c r="C260" s="449" t="s">
        <v>103</v>
      </c>
      <c r="D260" s="447" t="s">
        <v>70</v>
      </c>
      <c r="E260" s="447" t="s">
        <v>26</v>
      </c>
      <c r="F260" s="450">
        <v>14.323499999999999</v>
      </c>
      <c r="G260" s="450">
        <f t="shared" ref="G260:G326" si="100">Y260-(Y260*$Y$15)</f>
        <v>53.626500000000007</v>
      </c>
      <c r="H260" s="450">
        <f t="shared" si="95"/>
        <v>68</v>
      </c>
      <c r="I260" s="451">
        <f t="shared" ref="I260:I267" si="101">ROUND(H260*F260,2)</f>
        <v>974</v>
      </c>
      <c r="J260" s="452"/>
      <c r="K260" s="452"/>
      <c r="L260" s="452"/>
      <c r="M260" s="452">
        <v>59.74</v>
      </c>
      <c r="N260" s="452">
        <v>75.760000000000005</v>
      </c>
      <c r="O260" s="452">
        <v>1085.1500000000001</v>
      </c>
      <c r="P260" s="493"/>
      <c r="Q260" s="452">
        <f t="shared" si="98"/>
        <v>0</v>
      </c>
      <c r="R260" s="452">
        <v>14.32</v>
      </c>
      <c r="S260" s="452">
        <f t="shared" si="99"/>
        <v>1084.8800000000001</v>
      </c>
      <c r="T260" s="452">
        <f t="shared" si="97"/>
        <v>3.4999999999989484E-3</v>
      </c>
      <c r="U260" s="452">
        <f t="shared" si="94"/>
        <v>0.26999999999998181</v>
      </c>
      <c r="V260" s="453"/>
      <c r="W260" s="453"/>
      <c r="X260" s="65">
        <f>'COMPOSIÇÃO DE CUSTOS'!G404</f>
        <v>53.63</v>
      </c>
      <c r="Y260" s="351">
        <v>63.09</v>
      </c>
      <c r="Z260" s="336">
        <f t="shared" ref="Z260:Z326" si="102">F260*G260</f>
        <v>768.11917275000008</v>
      </c>
      <c r="AA260" s="65"/>
    </row>
    <row r="261" spans="1:28" s="55" customFormat="1" ht="45">
      <c r="A261" s="449" t="s">
        <v>2451</v>
      </c>
      <c r="B261" s="448">
        <v>120173</v>
      </c>
      <c r="C261" s="449" t="s">
        <v>2623</v>
      </c>
      <c r="D261" s="447" t="s">
        <v>1914</v>
      </c>
      <c r="E261" s="447" t="s">
        <v>26</v>
      </c>
      <c r="F261" s="450">
        <v>33.479999999999997</v>
      </c>
      <c r="G261" s="450">
        <f t="shared" si="100"/>
        <v>88.408500000000004</v>
      </c>
      <c r="H261" s="450">
        <f t="shared" si="95"/>
        <v>112.11</v>
      </c>
      <c r="I261" s="451">
        <f t="shared" si="101"/>
        <v>3753.44</v>
      </c>
      <c r="J261" s="452"/>
      <c r="K261" s="452"/>
      <c r="L261" s="452"/>
      <c r="M261" s="452">
        <v>98.49</v>
      </c>
      <c r="N261" s="452">
        <v>124.9</v>
      </c>
      <c r="O261" s="452">
        <v>4181.6499999999996</v>
      </c>
      <c r="P261" s="493">
        <f>41.4-F261</f>
        <v>7.9200000000000017</v>
      </c>
      <c r="Q261" s="452">
        <f t="shared" si="98"/>
        <v>989.21</v>
      </c>
      <c r="R261" s="452"/>
      <c r="S261" s="452">
        <f t="shared" si="99"/>
        <v>0</v>
      </c>
      <c r="T261" s="452">
        <f t="shared" si="97"/>
        <v>41.4</v>
      </c>
      <c r="U261" s="452">
        <f t="shared" si="94"/>
        <v>5170.8599999999997</v>
      </c>
      <c r="V261" s="379"/>
      <c r="W261" s="379"/>
      <c r="X261" s="56">
        <f>'COMPOSIÇÃO DE CUSTOS'!G413</f>
        <v>88.4</v>
      </c>
      <c r="Y261" s="349">
        <v>104.01</v>
      </c>
      <c r="Z261" s="334">
        <f t="shared" si="102"/>
        <v>2959.9165800000001</v>
      </c>
      <c r="AA261" s="56"/>
    </row>
    <row r="262" spans="1:28" s="38" customFormat="1" ht="75">
      <c r="A262" s="449" t="s">
        <v>2452</v>
      </c>
      <c r="B262" s="448">
        <v>87530</v>
      </c>
      <c r="C262" s="449" t="s">
        <v>1569</v>
      </c>
      <c r="D262" s="447" t="s">
        <v>12</v>
      </c>
      <c r="E262" s="447" t="s">
        <v>26</v>
      </c>
      <c r="F262" s="450">
        <v>1561.914</v>
      </c>
      <c r="G262" s="450">
        <f t="shared" si="100"/>
        <v>25.151499999999999</v>
      </c>
      <c r="H262" s="450">
        <f t="shared" si="95"/>
        <v>31.89</v>
      </c>
      <c r="I262" s="451">
        <f t="shared" si="101"/>
        <v>49809.440000000002</v>
      </c>
      <c r="J262" s="452"/>
      <c r="K262" s="452"/>
      <c r="L262" s="452"/>
      <c r="M262" s="452">
        <v>32</v>
      </c>
      <c r="N262" s="452">
        <v>40.58</v>
      </c>
      <c r="O262" s="452">
        <v>63382.47</v>
      </c>
      <c r="P262" s="493">
        <f>T254-T255-F262</f>
        <v>1248.7059999999999</v>
      </c>
      <c r="Q262" s="452">
        <f t="shared" si="98"/>
        <v>50672.49</v>
      </c>
      <c r="R262" s="452"/>
      <c r="S262" s="452">
        <f t="shared" si="99"/>
        <v>0</v>
      </c>
      <c r="T262" s="452">
        <f t="shared" si="97"/>
        <v>2810.62</v>
      </c>
      <c r="U262" s="452">
        <f t="shared" si="94"/>
        <v>114054.95999999999</v>
      </c>
      <c r="V262" s="453"/>
      <c r="W262" s="453"/>
      <c r="X262" s="38" t="e">
        <f>IF(B262&lt;&gt;0,VLOOKUP(B262,#REF!,4,FALSE),"")</f>
        <v>#REF!</v>
      </c>
      <c r="Y262" s="351" t="s">
        <v>3289</v>
      </c>
      <c r="Z262" s="336">
        <f t="shared" si="102"/>
        <v>39284.479971000001</v>
      </c>
      <c r="AB262" s="38" t="e">
        <f>IF(B262&lt;&gt;0,VLOOKUP(B262,#REF!,2,FALSE),"")</f>
        <v>#REF!</v>
      </c>
    </row>
    <row r="263" spans="1:28" s="55" customFormat="1" ht="45">
      <c r="A263" s="449" t="s">
        <v>2453</v>
      </c>
      <c r="B263" s="448">
        <v>8854</v>
      </c>
      <c r="C263" s="449" t="s">
        <v>104</v>
      </c>
      <c r="D263" s="447" t="s">
        <v>44</v>
      </c>
      <c r="E263" s="447" t="s">
        <v>26</v>
      </c>
      <c r="F263" s="450">
        <v>872.3</v>
      </c>
      <c r="G263" s="450">
        <f t="shared" si="100"/>
        <v>83.078999999999994</v>
      </c>
      <c r="H263" s="450">
        <f t="shared" si="95"/>
        <v>105.35</v>
      </c>
      <c r="I263" s="451">
        <f t="shared" si="101"/>
        <v>91896.81</v>
      </c>
      <c r="J263" s="452"/>
      <c r="K263" s="452"/>
      <c r="L263" s="452"/>
      <c r="M263" s="452">
        <v>265.74</v>
      </c>
      <c r="N263" s="452">
        <v>336.98</v>
      </c>
      <c r="O263" s="452">
        <v>293947.65000000002</v>
      </c>
      <c r="P263" s="493"/>
      <c r="Q263" s="452">
        <f t="shared" si="98"/>
        <v>0</v>
      </c>
      <c r="R263" s="452">
        <f>F263-770.81</f>
        <v>101.49000000000001</v>
      </c>
      <c r="S263" s="452">
        <f t="shared" si="99"/>
        <v>34200.1</v>
      </c>
      <c r="T263" s="452">
        <f t="shared" si="97"/>
        <v>770.81</v>
      </c>
      <c r="U263" s="452">
        <f t="shared" si="94"/>
        <v>259747.55000000002</v>
      </c>
      <c r="V263" s="379"/>
      <c r="W263" s="379"/>
      <c r="X263" s="57">
        <f>'COMPOSIÇÃO DE CUSTOS'!G424</f>
        <v>83.08</v>
      </c>
      <c r="Y263" s="334">
        <v>97.74</v>
      </c>
      <c r="Z263" s="334">
        <f t="shared" si="102"/>
        <v>72469.811699999991</v>
      </c>
      <c r="AA263" s="57"/>
    </row>
    <row r="264" spans="1:28" s="55" customFormat="1" ht="50.25" customHeight="1">
      <c r="A264" s="19" t="s">
        <v>2454</v>
      </c>
      <c r="B264" s="20">
        <v>8854</v>
      </c>
      <c r="C264" s="19" t="s">
        <v>105</v>
      </c>
      <c r="D264" s="21" t="s">
        <v>44</v>
      </c>
      <c r="E264" s="21" t="s">
        <v>26</v>
      </c>
      <c r="F264" s="22">
        <v>25</v>
      </c>
      <c r="G264" s="22">
        <f t="shared" si="100"/>
        <v>83.078999999999994</v>
      </c>
      <c r="H264" s="22">
        <f t="shared" si="95"/>
        <v>105.35</v>
      </c>
      <c r="I264" s="147">
        <f t="shared" si="101"/>
        <v>2633.75</v>
      </c>
      <c r="J264" s="148"/>
      <c r="K264" s="148"/>
      <c r="L264" s="148"/>
      <c r="M264" s="148">
        <v>265.74</v>
      </c>
      <c r="N264" s="148">
        <v>336.98</v>
      </c>
      <c r="O264" s="148">
        <v>8424.5</v>
      </c>
      <c r="P264" s="494"/>
      <c r="Q264" s="148">
        <f t="shared" si="98"/>
        <v>0</v>
      </c>
      <c r="R264" s="148"/>
      <c r="S264" s="148">
        <f t="shared" si="99"/>
        <v>0</v>
      </c>
      <c r="T264" s="148">
        <f t="shared" si="97"/>
        <v>25</v>
      </c>
      <c r="U264" s="148">
        <f t="shared" si="94"/>
        <v>8424.5</v>
      </c>
      <c r="V264" s="379"/>
      <c r="W264" s="379"/>
      <c r="X264" s="57">
        <f>X263</f>
        <v>83.08</v>
      </c>
      <c r="Y264" s="334">
        <v>97.74</v>
      </c>
      <c r="Z264" s="334">
        <f t="shared" si="102"/>
        <v>2076.9749999999999</v>
      </c>
      <c r="AA264" s="57"/>
    </row>
    <row r="265" spans="1:28" s="55" customFormat="1" ht="45">
      <c r="A265" s="19" t="s">
        <v>2455</v>
      </c>
      <c r="B265" s="20">
        <v>10708</v>
      </c>
      <c r="C265" s="19" t="s">
        <v>1770</v>
      </c>
      <c r="D265" s="21" t="s">
        <v>12</v>
      </c>
      <c r="E265" s="21" t="s">
        <v>26</v>
      </c>
      <c r="F265" s="22">
        <v>50.38</v>
      </c>
      <c r="G265" s="22">
        <f t="shared" si="100"/>
        <v>37.442499999999995</v>
      </c>
      <c r="H265" s="22">
        <f t="shared" si="95"/>
        <v>47.48</v>
      </c>
      <c r="I265" s="147">
        <f t="shared" si="101"/>
        <v>2392.04</v>
      </c>
      <c r="J265" s="148"/>
      <c r="K265" s="148"/>
      <c r="L265" s="148"/>
      <c r="M265" s="148">
        <v>41.71</v>
      </c>
      <c r="N265" s="148">
        <v>52.89</v>
      </c>
      <c r="O265" s="148">
        <v>2664.6</v>
      </c>
      <c r="P265" s="494"/>
      <c r="Q265" s="148">
        <f t="shared" si="98"/>
        <v>0</v>
      </c>
      <c r="R265" s="148"/>
      <c r="S265" s="148">
        <f t="shared" si="99"/>
        <v>0</v>
      </c>
      <c r="T265" s="148">
        <f t="shared" si="97"/>
        <v>50.38</v>
      </c>
      <c r="U265" s="148">
        <f t="shared" si="94"/>
        <v>2664.6</v>
      </c>
      <c r="V265" s="379"/>
      <c r="W265" s="379"/>
      <c r="X265" s="58" t="e">
        <f>IF(B265&lt;&gt;0,VLOOKUP(B265,#REF!,4,FALSE),"")</f>
        <v>#REF!</v>
      </c>
      <c r="Y265" s="334" t="s">
        <v>3315</v>
      </c>
      <c r="Z265" s="334">
        <f t="shared" si="102"/>
        <v>1886.3531499999999</v>
      </c>
      <c r="AA265" s="58"/>
      <c r="AB265" s="55" t="e">
        <f>IF(B265&lt;&gt;0,VLOOKUP(B265,#REF!,2,FALSE),"")</f>
        <v>#REF!</v>
      </c>
    </row>
    <row r="266" spans="1:28" s="38" customFormat="1" ht="90">
      <c r="A266" s="449" t="s">
        <v>2456</v>
      </c>
      <c r="B266" s="448">
        <v>5057</v>
      </c>
      <c r="C266" s="449" t="s">
        <v>106</v>
      </c>
      <c r="D266" s="447" t="s">
        <v>44</v>
      </c>
      <c r="E266" s="447" t="s">
        <v>26</v>
      </c>
      <c r="F266" s="450">
        <v>27.85</v>
      </c>
      <c r="G266" s="450">
        <f t="shared" si="100"/>
        <v>389.99700000000001</v>
      </c>
      <c r="H266" s="450">
        <f t="shared" si="95"/>
        <v>494.56</v>
      </c>
      <c r="I266" s="451">
        <f t="shared" si="101"/>
        <v>13773.5</v>
      </c>
      <c r="J266" s="452"/>
      <c r="K266" s="452"/>
      <c r="L266" s="452"/>
      <c r="M266" s="452">
        <v>434.46</v>
      </c>
      <c r="N266" s="452">
        <v>550.94000000000005</v>
      </c>
      <c r="O266" s="452">
        <v>15343.68</v>
      </c>
      <c r="P266" s="493">
        <f>11.7+28.96-F266</f>
        <v>12.809999999999995</v>
      </c>
      <c r="Q266" s="452">
        <f t="shared" si="98"/>
        <v>7057.54</v>
      </c>
      <c r="R266" s="452"/>
      <c r="S266" s="452">
        <f t="shared" si="99"/>
        <v>0</v>
      </c>
      <c r="T266" s="452">
        <f t="shared" si="97"/>
        <v>40.659999999999997</v>
      </c>
      <c r="U266" s="452">
        <f t="shared" si="94"/>
        <v>22401.22</v>
      </c>
      <c r="V266" s="453">
        <v>116.47</v>
      </c>
      <c r="W266" s="453"/>
      <c r="X266" s="42">
        <f>'COMPOSIÇÃO DE CUSTOS'!G2086</f>
        <v>390</v>
      </c>
      <c r="Y266" s="336">
        <v>458.82</v>
      </c>
      <c r="Z266" s="336">
        <f t="shared" si="102"/>
        <v>10861.416450000001</v>
      </c>
      <c r="AA266" s="42"/>
    </row>
    <row r="267" spans="1:28" s="23" customFormat="1" ht="45">
      <c r="A267" s="449" t="s">
        <v>2457</v>
      </c>
      <c r="B267" s="448">
        <v>7284</v>
      </c>
      <c r="C267" s="449" t="s">
        <v>2006</v>
      </c>
      <c r="D267" s="447" t="s">
        <v>44</v>
      </c>
      <c r="E267" s="447" t="s">
        <v>52</v>
      </c>
      <c r="F267" s="450">
        <v>232.36</v>
      </c>
      <c r="G267" s="450">
        <f t="shared" si="100"/>
        <v>74.468500000000006</v>
      </c>
      <c r="H267" s="450">
        <f t="shared" si="95"/>
        <v>94.43</v>
      </c>
      <c r="I267" s="451">
        <f t="shared" si="101"/>
        <v>21941.75</v>
      </c>
      <c r="J267" s="452"/>
      <c r="K267" s="452"/>
      <c r="L267" s="452"/>
      <c r="M267" s="452">
        <v>82.96</v>
      </c>
      <c r="N267" s="452">
        <v>105.2</v>
      </c>
      <c r="O267" s="452">
        <v>24444.27</v>
      </c>
      <c r="P267" s="493"/>
      <c r="Q267" s="452">
        <f t="shared" si="98"/>
        <v>0</v>
      </c>
      <c r="R267" s="452">
        <f>F267-V267</f>
        <v>62.140000000000015</v>
      </c>
      <c r="S267" s="452">
        <f t="shared" si="99"/>
        <v>6537.13</v>
      </c>
      <c r="T267" s="452">
        <f t="shared" si="97"/>
        <v>170.22</v>
      </c>
      <c r="U267" s="452">
        <f t="shared" si="94"/>
        <v>17907.14</v>
      </c>
      <c r="V267" s="529">
        <f>50.46+28.42+50.46+40.88</f>
        <v>170.22</v>
      </c>
      <c r="W267" s="529"/>
      <c r="X267" s="31">
        <f>'COMPOSIÇÃO DE CUSTOS'!G2128</f>
        <v>74.47</v>
      </c>
      <c r="Y267" s="346">
        <v>87.61</v>
      </c>
      <c r="Z267" s="346">
        <f t="shared" si="102"/>
        <v>17303.500660000002</v>
      </c>
      <c r="AA267" s="31"/>
    </row>
    <row r="268" spans="1:28" s="38" customFormat="1" ht="90">
      <c r="A268" s="449" t="s">
        <v>3801</v>
      </c>
      <c r="B268" s="448">
        <v>5057</v>
      </c>
      <c r="C268" s="449" t="s">
        <v>3802</v>
      </c>
      <c r="D268" s="448" t="s">
        <v>3859</v>
      </c>
      <c r="E268" s="447" t="s">
        <v>26</v>
      </c>
      <c r="F268" s="450"/>
      <c r="G268" s="450">
        <f>G266</f>
        <v>389.99700000000001</v>
      </c>
      <c r="H268" s="450">
        <f t="shared" ref="H268" si="103">ROUND(G268*(1+$X$14),2)</f>
        <v>494.56</v>
      </c>
      <c r="I268" s="451"/>
      <c r="J268" s="452"/>
      <c r="K268" s="452"/>
      <c r="L268" s="452"/>
      <c r="M268" s="452">
        <v>434.46</v>
      </c>
      <c r="N268" s="452">
        <v>550.94000000000005</v>
      </c>
      <c r="O268" s="452"/>
      <c r="P268" s="493">
        <f>162.61</f>
        <v>162.61000000000001</v>
      </c>
      <c r="Q268" s="452">
        <f>ROUND(P268*N268,2)</f>
        <v>89588.35</v>
      </c>
      <c r="R268" s="452"/>
      <c r="S268" s="452"/>
      <c r="T268" s="452">
        <f t="shared" si="97"/>
        <v>162.61000000000001</v>
      </c>
      <c r="U268" s="452">
        <f t="shared" si="94"/>
        <v>89588.35</v>
      </c>
      <c r="V268" s="453"/>
      <c r="W268" s="453"/>
      <c r="X268" s="42"/>
      <c r="Y268" s="336"/>
      <c r="Z268" s="336"/>
      <c r="AA268" s="42"/>
    </row>
    <row r="269" spans="1:28" ht="27" customHeight="1">
      <c r="A269" s="19"/>
      <c r="B269" s="21"/>
      <c r="C269" s="19"/>
      <c r="D269" s="21"/>
      <c r="E269" s="21"/>
      <c r="F269" s="22"/>
      <c r="G269" s="22"/>
      <c r="H269" s="22"/>
      <c r="I269" s="147"/>
      <c r="J269" s="148"/>
      <c r="K269" s="148"/>
      <c r="L269" s="148"/>
      <c r="M269" s="148"/>
      <c r="N269" s="148"/>
      <c r="O269" s="148"/>
      <c r="P269" s="494"/>
      <c r="Q269" s="148"/>
      <c r="R269" s="148"/>
      <c r="S269" s="148"/>
      <c r="T269" s="148"/>
      <c r="U269" s="148"/>
      <c r="V269" s="379"/>
      <c r="W269" s="379"/>
      <c r="Z269" s="334">
        <f t="shared" si="102"/>
        <v>0</v>
      </c>
    </row>
    <row r="270" spans="1:28" s="38" customFormat="1">
      <c r="A270" s="229" t="s">
        <v>805</v>
      </c>
      <c r="B270" s="229"/>
      <c r="C270" s="229" t="s">
        <v>108</v>
      </c>
      <c r="D270" s="230"/>
      <c r="E270" s="230"/>
      <c r="F270" s="230"/>
      <c r="G270" s="22"/>
      <c r="H270" s="230"/>
      <c r="I270" s="445">
        <f>ROUND(SUM(I271:I276),2)</f>
        <v>270974.69</v>
      </c>
      <c r="J270" s="440"/>
      <c r="K270" s="440"/>
      <c r="L270" s="440"/>
      <c r="M270" s="440"/>
      <c r="N270" s="440"/>
      <c r="O270" s="440">
        <f>ROUND(SUM(O271:O278),2)</f>
        <v>406325.5</v>
      </c>
      <c r="P270" s="492"/>
      <c r="Q270" s="440">
        <f>ROUND(SUM(Q271:Q278),2)</f>
        <v>41446.42</v>
      </c>
      <c r="R270" s="440"/>
      <c r="S270" s="440">
        <f>ROUND(SUM(S271:S276),2)</f>
        <v>27331.68</v>
      </c>
      <c r="T270" s="148"/>
      <c r="U270" s="440">
        <f t="shared" ref="U270:U278" si="104">O270+Q270-S270+L270</f>
        <v>420440.24</v>
      </c>
      <c r="V270" s="330"/>
      <c r="W270" s="330"/>
      <c r="Y270" s="351"/>
      <c r="Z270" s="334">
        <f t="shared" si="102"/>
        <v>0</v>
      </c>
    </row>
    <row r="271" spans="1:28" s="38" customFormat="1" ht="60">
      <c r="A271" s="449" t="s">
        <v>806</v>
      </c>
      <c r="B271" s="448">
        <v>87622</v>
      </c>
      <c r="C271" s="449" t="s">
        <v>109</v>
      </c>
      <c r="D271" s="447" t="s">
        <v>12</v>
      </c>
      <c r="E271" s="447" t="s">
        <v>26</v>
      </c>
      <c r="F271" s="450">
        <v>2386.6380000000004</v>
      </c>
      <c r="G271" s="450">
        <f t="shared" si="100"/>
        <v>25.848500000000001</v>
      </c>
      <c r="H271" s="450">
        <f t="shared" ref="H271:H276" si="105">ROUND(G271*(1+$X$14),2)</f>
        <v>32.78</v>
      </c>
      <c r="I271" s="451">
        <f t="shared" ref="I271:I276" si="106">ROUND(H271*F271,2)</f>
        <v>78233.990000000005</v>
      </c>
      <c r="J271" s="452"/>
      <c r="K271" s="452"/>
      <c r="L271" s="452"/>
      <c r="M271" s="452">
        <v>35.36</v>
      </c>
      <c r="N271" s="452">
        <v>44.84</v>
      </c>
      <c r="O271" s="452">
        <v>107016.85</v>
      </c>
      <c r="P271" s="493"/>
      <c r="Q271" s="452">
        <f t="shared" ref="Q271:Q276" si="107">ROUND(P271*N271,2)</f>
        <v>0</v>
      </c>
      <c r="R271" s="452">
        <f>-(842.05+71.89+810.63-F271+52.53)</f>
        <v>609.53800000000047</v>
      </c>
      <c r="S271" s="452">
        <f>ROUND(R271*N271,2)</f>
        <v>27331.68</v>
      </c>
      <c r="T271" s="452">
        <f t="shared" ref="T271:T278" si="108">F271+P271-R271</f>
        <v>1777.1</v>
      </c>
      <c r="U271" s="452">
        <f t="shared" si="104"/>
        <v>79685.170000000013</v>
      </c>
      <c r="V271" s="453"/>
      <c r="W271" s="453"/>
      <c r="X271" s="39" t="e">
        <f>IF(B271&lt;&gt;0,VLOOKUP(B271,#REF!,4,FALSE),"")</f>
        <v>#REF!</v>
      </c>
      <c r="Y271" s="336" t="s">
        <v>3310</v>
      </c>
      <c r="Z271" s="336">
        <f t="shared" si="102"/>
        <v>61691.012343000009</v>
      </c>
      <c r="AA271" s="39"/>
      <c r="AB271" s="38" t="e">
        <f>IF(B271&lt;&gt;0,VLOOKUP(B271,#REF!,2,FALSE),"")</f>
        <v>#REF!</v>
      </c>
    </row>
    <row r="272" spans="1:28" s="55" customFormat="1" ht="45">
      <c r="A272" s="19" t="s">
        <v>807</v>
      </c>
      <c r="B272" s="20">
        <v>11808</v>
      </c>
      <c r="C272" s="19" t="s">
        <v>2639</v>
      </c>
      <c r="D272" s="21" t="s">
        <v>44</v>
      </c>
      <c r="E272" s="21" t="s">
        <v>26</v>
      </c>
      <c r="F272" s="22">
        <v>170</v>
      </c>
      <c r="G272" s="22">
        <f t="shared" si="100"/>
        <v>82.12700000000001</v>
      </c>
      <c r="H272" s="22">
        <f t="shared" si="105"/>
        <v>104.15</v>
      </c>
      <c r="I272" s="147">
        <f t="shared" si="106"/>
        <v>17705.5</v>
      </c>
      <c r="J272" s="148"/>
      <c r="K272" s="148"/>
      <c r="L272" s="148"/>
      <c r="M272" s="148">
        <v>91.49</v>
      </c>
      <c r="N272" s="148">
        <v>116.02</v>
      </c>
      <c r="O272" s="148">
        <v>19723.400000000001</v>
      </c>
      <c r="P272" s="494"/>
      <c r="Q272" s="148">
        <f t="shared" si="107"/>
        <v>0</v>
      </c>
      <c r="R272" s="148"/>
      <c r="S272" s="148">
        <f>ROUND(R272*N272,2)</f>
        <v>0</v>
      </c>
      <c r="T272" s="148">
        <f t="shared" si="108"/>
        <v>170</v>
      </c>
      <c r="U272" s="148">
        <f t="shared" si="104"/>
        <v>19723.400000000001</v>
      </c>
      <c r="V272" s="379"/>
      <c r="W272" s="379"/>
      <c r="X272" s="57">
        <f>'COMPOSIÇÃO DE CUSTOS'!G2315</f>
        <v>82.13</v>
      </c>
      <c r="Y272" s="334">
        <v>96.62</v>
      </c>
      <c r="Z272" s="334">
        <f t="shared" si="102"/>
        <v>13961.590000000002</v>
      </c>
      <c r="AA272" s="57"/>
      <c r="AB272" s="55" t="e">
        <f>IF(B272&lt;&gt;0,VLOOKUP(B272,#REF!,2,FALSE),"")</f>
        <v>#REF!</v>
      </c>
    </row>
    <row r="273" spans="1:28" s="55" customFormat="1" ht="45">
      <c r="A273" s="19" t="s">
        <v>808</v>
      </c>
      <c r="B273" s="20">
        <v>87263</v>
      </c>
      <c r="C273" s="19" t="s">
        <v>2638</v>
      </c>
      <c r="D273" s="21" t="s">
        <v>12</v>
      </c>
      <c r="E273" s="21" t="s">
        <v>26</v>
      </c>
      <c r="F273" s="22">
        <f>1310-133.34</f>
        <v>1176.6600000000001</v>
      </c>
      <c r="G273" s="22">
        <f t="shared" si="100"/>
        <v>98.608500000000006</v>
      </c>
      <c r="H273" s="22">
        <f t="shared" si="105"/>
        <v>125.05</v>
      </c>
      <c r="I273" s="147">
        <f t="shared" si="106"/>
        <v>147141.32999999999</v>
      </c>
      <c r="J273" s="148"/>
      <c r="K273" s="148"/>
      <c r="L273" s="148"/>
      <c r="M273" s="148">
        <v>166.55</v>
      </c>
      <c r="N273" s="148">
        <v>211.2</v>
      </c>
      <c r="O273" s="148">
        <v>248510.59</v>
      </c>
      <c r="P273" s="494"/>
      <c r="Q273" s="148">
        <f t="shared" si="107"/>
        <v>0</v>
      </c>
      <c r="R273" s="148"/>
      <c r="S273" s="148">
        <f>ROUND(R273*N273,2)</f>
        <v>0</v>
      </c>
      <c r="T273" s="148">
        <f t="shared" si="108"/>
        <v>1176.6600000000001</v>
      </c>
      <c r="U273" s="148">
        <f t="shared" si="104"/>
        <v>248510.59</v>
      </c>
      <c r="V273" s="379"/>
      <c r="W273" s="379"/>
      <c r="X273" s="58" t="e">
        <f>IF(B273&lt;&gt;0,VLOOKUP(B273,#REF!,4,FALSE),"")</f>
        <v>#REF!</v>
      </c>
      <c r="Y273" s="334" t="s">
        <v>3183</v>
      </c>
      <c r="Z273" s="334">
        <f t="shared" si="102"/>
        <v>116028.67761000001</v>
      </c>
      <c r="AA273" s="58"/>
      <c r="AB273" s="55" t="e">
        <f>IF(B273&lt;&gt;0,VLOOKUP(B273,#REF!,2,FALSE),"")</f>
        <v>#REF!</v>
      </c>
    </row>
    <row r="274" spans="1:28" s="55" customFormat="1" ht="30">
      <c r="A274" s="19" t="s">
        <v>809</v>
      </c>
      <c r="B274" s="20">
        <v>7223</v>
      </c>
      <c r="C274" s="19" t="s">
        <v>2423</v>
      </c>
      <c r="D274" s="21" t="s">
        <v>44</v>
      </c>
      <c r="E274" s="21" t="s">
        <v>68</v>
      </c>
      <c r="F274" s="22">
        <v>133.34</v>
      </c>
      <c r="G274" s="22">
        <f t="shared" si="100"/>
        <v>107.304</v>
      </c>
      <c r="H274" s="22">
        <f t="shared" si="105"/>
        <v>136.07</v>
      </c>
      <c r="I274" s="147">
        <f t="shared" si="106"/>
        <v>18143.57</v>
      </c>
      <c r="J274" s="148"/>
      <c r="K274" s="148"/>
      <c r="L274" s="148"/>
      <c r="M274" s="148">
        <v>119.54</v>
      </c>
      <c r="N274" s="148">
        <v>151.59</v>
      </c>
      <c r="O274" s="148">
        <v>20213.009999999998</v>
      </c>
      <c r="P274" s="494"/>
      <c r="Q274" s="148">
        <f t="shared" si="107"/>
        <v>0</v>
      </c>
      <c r="R274" s="148"/>
      <c r="S274" s="148">
        <f>ROUND(R274*N274,2)</f>
        <v>0</v>
      </c>
      <c r="T274" s="148">
        <f t="shared" si="108"/>
        <v>133.34</v>
      </c>
      <c r="U274" s="148">
        <f t="shared" si="104"/>
        <v>20213.009999999998</v>
      </c>
      <c r="V274" s="379"/>
      <c r="W274" s="379"/>
      <c r="X274" s="57">
        <f>'COMPOSIÇÃO DE CUSTOS'!G430</f>
        <v>107.3</v>
      </c>
      <c r="Y274" s="334">
        <v>126.24</v>
      </c>
      <c r="Z274" s="334">
        <f t="shared" si="102"/>
        <v>14307.915360000001</v>
      </c>
      <c r="AA274" s="57"/>
    </row>
    <row r="275" spans="1:28" s="23" customFormat="1" ht="30">
      <c r="A275" s="456" t="s">
        <v>2458</v>
      </c>
      <c r="B275" s="448">
        <v>7285</v>
      </c>
      <c r="C275" s="449" t="s">
        <v>2004</v>
      </c>
      <c r="D275" s="447" t="s">
        <v>44</v>
      </c>
      <c r="E275" s="447" t="s">
        <v>52</v>
      </c>
      <c r="F275" s="450">
        <v>7.08</v>
      </c>
      <c r="G275" s="450">
        <f t="shared" si="100"/>
        <v>48.841000000000001</v>
      </c>
      <c r="H275" s="450">
        <f t="shared" si="105"/>
        <v>61.94</v>
      </c>
      <c r="I275" s="451">
        <f t="shared" si="106"/>
        <v>438.54</v>
      </c>
      <c r="J275" s="452"/>
      <c r="K275" s="452"/>
      <c r="L275" s="452"/>
      <c r="M275" s="452">
        <v>54.41</v>
      </c>
      <c r="N275" s="452">
        <v>69</v>
      </c>
      <c r="O275" s="452">
        <v>488.52</v>
      </c>
      <c r="P275" s="493">
        <f>39.6-F275</f>
        <v>32.520000000000003</v>
      </c>
      <c r="Q275" s="452">
        <f t="shared" si="107"/>
        <v>2243.88</v>
      </c>
      <c r="R275" s="452"/>
      <c r="S275" s="452">
        <f>ROUND(R275*P275,2)</f>
        <v>0</v>
      </c>
      <c r="T275" s="452">
        <f t="shared" si="108"/>
        <v>39.6</v>
      </c>
      <c r="U275" s="452">
        <f t="shared" si="104"/>
        <v>2732.4</v>
      </c>
      <c r="V275" s="529">
        <f>(1.44+2.37+1.56+0.57)/0.15</f>
        <v>39.6</v>
      </c>
      <c r="W275" s="529"/>
      <c r="X275" s="31">
        <f>'COMPOSIÇÃO DE CUSTOS'!G2121</f>
        <v>48.84</v>
      </c>
      <c r="Y275" s="346">
        <v>57.46</v>
      </c>
      <c r="Z275" s="346">
        <f t="shared" si="102"/>
        <v>345.79428000000001</v>
      </c>
      <c r="AA275" s="31"/>
    </row>
    <row r="276" spans="1:28" s="55" customFormat="1" ht="30">
      <c r="A276" s="36" t="s">
        <v>3431</v>
      </c>
      <c r="B276" s="20">
        <f>'COMPOSIÇÃO DE CUSTOS'!G2577</f>
        <v>11903</v>
      </c>
      <c r="C276" s="439" t="s">
        <v>3624</v>
      </c>
      <c r="D276" s="21" t="s">
        <v>44</v>
      </c>
      <c r="E276" s="21" t="s">
        <v>52</v>
      </c>
      <c r="F276" s="22">
        <v>55.95</v>
      </c>
      <c r="G276" s="22">
        <f t="shared" si="100"/>
        <v>131.24</v>
      </c>
      <c r="H276" s="22">
        <f t="shared" si="105"/>
        <v>166.43</v>
      </c>
      <c r="I276" s="147">
        <f t="shared" si="106"/>
        <v>9311.76</v>
      </c>
      <c r="J276" s="148"/>
      <c r="K276" s="148"/>
      <c r="L276" s="148"/>
      <c r="M276" s="148">
        <v>146.19999999999999</v>
      </c>
      <c r="N276" s="148">
        <v>185.4</v>
      </c>
      <c r="O276" s="148">
        <v>10373.129999999999</v>
      </c>
      <c r="P276" s="494"/>
      <c r="Q276" s="148">
        <f t="shared" si="107"/>
        <v>0</v>
      </c>
      <c r="R276" s="148"/>
      <c r="S276" s="148">
        <f>ROUND(R276*N276,2)</f>
        <v>0</v>
      </c>
      <c r="T276" s="148">
        <f t="shared" si="108"/>
        <v>55.95</v>
      </c>
      <c r="U276" s="148">
        <f t="shared" si="104"/>
        <v>10373.129999999999</v>
      </c>
      <c r="V276" s="379"/>
      <c r="W276" s="379"/>
      <c r="X276" s="57">
        <f>'COMPOSIÇÃO DE CUSTOS'!G2583</f>
        <v>131.22999999999999</v>
      </c>
      <c r="Y276" s="334">
        <v>154.4</v>
      </c>
      <c r="Z276" s="334">
        <f t="shared" si="102"/>
        <v>7342.8780000000006</v>
      </c>
      <c r="AA276" s="57"/>
    </row>
    <row r="277" spans="1:28" s="23" customFormat="1">
      <c r="A277" s="456" t="s">
        <v>3800</v>
      </c>
      <c r="B277" s="448">
        <v>88650</v>
      </c>
      <c r="C277" s="449" t="s">
        <v>3780</v>
      </c>
      <c r="D277" s="447" t="s">
        <v>12</v>
      </c>
      <c r="E277" s="447" t="s">
        <v>52</v>
      </c>
      <c r="F277" s="450"/>
      <c r="G277" s="450">
        <f>(V277-(V277*$Y$15))*$S$16</f>
        <v>12.01625122512587</v>
      </c>
      <c r="H277" s="450">
        <f>ROUND(G277*(1+$X$14),2)</f>
        <v>15.24</v>
      </c>
      <c r="I277" s="451"/>
      <c r="J277" s="452"/>
      <c r="K277" s="452"/>
      <c r="L277" s="452"/>
      <c r="M277" s="452"/>
      <c r="N277" s="452"/>
      <c r="O277" s="452"/>
      <c r="P277" s="493">
        <v>828.33</v>
      </c>
      <c r="Q277" s="452">
        <f>ROUND(P277*H277,2)</f>
        <v>12623.75</v>
      </c>
      <c r="R277" s="452"/>
      <c r="S277" s="452"/>
      <c r="T277" s="452">
        <f t="shared" si="108"/>
        <v>828.33</v>
      </c>
      <c r="U277" s="452">
        <f t="shared" si="104"/>
        <v>12623.75</v>
      </c>
      <c r="V277" s="529">
        <f>'PLANILHA ORÇA - EJUD'!W195</f>
        <v>12.69</v>
      </c>
      <c r="W277" s="529"/>
      <c r="X277" s="31"/>
      <c r="Y277" s="346"/>
      <c r="Z277" s="346"/>
      <c r="AA277" s="31"/>
    </row>
    <row r="278" spans="1:28" s="23" customFormat="1" ht="45">
      <c r="A278" s="456" t="s">
        <v>3805</v>
      </c>
      <c r="B278" s="448">
        <v>83534</v>
      </c>
      <c r="C278" s="449" t="s">
        <v>49</v>
      </c>
      <c r="D278" s="447" t="s">
        <v>12</v>
      </c>
      <c r="E278" s="447" t="s">
        <v>35</v>
      </c>
      <c r="F278" s="450"/>
      <c r="G278" s="450">
        <v>477.23250000000007</v>
      </c>
      <c r="H278" s="450">
        <v>605.17999999999995</v>
      </c>
      <c r="I278" s="451"/>
      <c r="J278" s="452"/>
      <c r="K278" s="452"/>
      <c r="L278" s="452"/>
      <c r="M278" s="452"/>
      <c r="N278" s="452"/>
      <c r="O278" s="452"/>
      <c r="P278" s="493">
        <f>56.04*14.07*0.05</f>
        <v>39.424140000000001</v>
      </c>
      <c r="Q278" s="452">
        <f>ROUND(P278*H278*$S$16,2)</f>
        <v>26578.79</v>
      </c>
      <c r="R278" s="452"/>
      <c r="S278" s="452"/>
      <c r="T278" s="452">
        <f t="shared" si="108"/>
        <v>39.424140000000001</v>
      </c>
      <c r="U278" s="452">
        <f t="shared" si="104"/>
        <v>26578.79</v>
      </c>
      <c r="V278" s="529"/>
      <c r="W278" s="529"/>
      <c r="X278" s="31"/>
      <c r="Y278" s="346"/>
      <c r="Z278" s="346"/>
      <c r="AA278" s="31"/>
    </row>
    <row r="279" spans="1:28" ht="36" customHeight="1">
      <c r="A279" s="19"/>
      <c r="B279" s="21"/>
      <c r="C279" s="19"/>
      <c r="D279" s="21"/>
      <c r="E279" s="21"/>
      <c r="F279" s="22"/>
      <c r="G279" s="22"/>
      <c r="H279" s="22"/>
      <c r="I279" s="147"/>
      <c r="J279" s="148"/>
      <c r="K279" s="148"/>
      <c r="L279" s="148"/>
      <c r="M279" s="148"/>
      <c r="N279" s="148"/>
      <c r="O279" s="148"/>
      <c r="P279" s="494"/>
      <c r="Q279" s="148"/>
      <c r="R279" s="148"/>
      <c r="S279" s="148"/>
      <c r="T279" s="148"/>
      <c r="U279" s="148"/>
      <c r="V279" s="379"/>
      <c r="W279" s="379"/>
      <c r="Z279" s="334">
        <f t="shared" si="102"/>
        <v>0</v>
      </c>
    </row>
    <row r="280" spans="1:28" s="38" customFormat="1" ht="15" customHeight="1">
      <c r="A280" s="229" t="s">
        <v>811</v>
      </c>
      <c r="B280" s="229"/>
      <c r="C280" s="229" t="s">
        <v>110</v>
      </c>
      <c r="D280" s="230"/>
      <c r="E280" s="230"/>
      <c r="F280" s="230"/>
      <c r="G280" s="22"/>
      <c r="H280" s="230"/>
      <c r="I280" s="445">
        <f>ROUND(SUM(I281:I285),2)</f>
        <v>135801.71</v>
      </c>
      <c r="J280" s="440"/>
      <c r="K280" s="440"/>
      <c r="L280" s="440"/>
      <c r="M280" s="440"/>
      <c r="N280" s="440"/>
      <c r="O280" s="440">
        <f>ROUND(SUM(O281:O285),2)</f>
        <v>160213.5</v>
      </c>
      <c r="P280" s="492"/>
      <c r="Q280" s="440">
        <f>ROUND(SUM(Q281:Q285),2)</f>
        <v>0</v>
      </c>
      <c r="R280" s="440"/>
      <c r="S280" s="440">
        <f>ROUND(SUM(S281:S285),2)</f>
        <v>0</v>
      </c>
      <c r="T280" s="148"/>
      <c r="U280" s="440">
        <f t="shared" ref="U280:U288" si="109">O280+Q280-S280+L280</f>
        <v>160213.5</v>
      </c>
      <c r="V280" s="330"/>
      <c r="W280" s="330"/>
      <c r="Y280" s="351"/>
      <c r="Z280" s="334">
        <f t="shared" si="102"/>
        <v>0</v>
      </c>
    </row>
    <row r="281" spans="1:28" s="23" customFormat="1" ht="30">
      <c r="A281" s="19" t="s">
        <v>812</v>
      </c>
      <c r="B281" s="20">
        <v>72961</v>
      </c>
      <c r="C281" s="19" t="s">
        <v>111</v>
      </c>
      <c r="D281" s="21" t="s">
        <v>1914</v>
      </c>
      <c r="E281" s="21" t="s">
        <v>26</v>
      </c>
      <c r="F281" s="22">
        <v>466.35050000000001</v>
      </c>
      <c r="G281" s="22">
        <f t="shared" si="100"/>
        <v>1.3260000000000001</v>
      </c>
      <c r="H281" s="22">
        <f>ROUND(G281*(1+$X$14),2)</f>
        <v>1.68</v>
      </c>
      <c r="I281" s="147">
        <f>ROUND(H281*F281,2)</f>
        <v>783.47</v>
      </c>
      <c r="J281" s="148"/>
      <c r="K281" s="148"/>
      <c r="L281" s="148"/>
      <c r="M281" s="148">
        <v>1.48</v>
      </c>
      <c r="N281" s="148">
        <v>1.88</v>
      </c>
      <c r="O281" s="148">
        <v>876.74</v>
      </c>
      <c r="P281" s="494"/>
      <c r="Q281" s="148">
        <f>ROUND(P281*N281,2)</f>
        <v>0</v>
      </c>
      <c r="R281" s="148"/>
      <c r="S281" s="148">
        <f>ROUND(R281*N281,2)</f>
        <v>0</v>
      </c>
      <c r="T281" s="148">
        <f>F281+P281-R281</f>
        <v>466.35050000000001</v>
      </c>
      <c r="U281" s="148">
        <f t="shared" si="109"/>
        <v>876.74</v>
      </c>
      <c r="V281" s="379"/>
      <c r="W281" s="379"/>
      <c r="X281" s="28">
        <f>'COMPOSIÇÃO DE CUSTOS'!G442</f>
        <v>1.33</v>
      </c>
      <c r="Y281" s="347">
        <v>1.56</v>
      </c>
      <c r="Z281" s="334">
        <f t="shared" si="102"/>
        <v>618.380763</v>
      </c>
      <c r="AA281" s="28"/>
      <c r="AB281" s="23" t="e">
        <f>IF(B281&lt;&gt;0,VLOOKUP(B281,#REF!,2,FALSE),"")</f>
        <v>#REF!</v>
      </c>
    </row>
    <row r="282" spans="1:28" s="23" customFormat="1" ht="45">
      <c r="A282" s="19" t="s">
        <v>813</v>
      </c>
      <c r="B282" s="20">
        <v>83534</v>
      </c>
      <c r="C282" s="19" t="s">
        <v>49</v>
      </c>
      <c r="D282" s="21" t="s">
        <v>1914</v>
      </c>
      <c r="E282" s="21" t="s">
        <v>35</v>
      </c>
      <c r="F282" s="22">
        <v>23.317</v>
      </c>
      <c r="G282" s="22">
        <f t="shared" si="100"/>
        <v>477.23250000000007</v>
      </c>
      <c r="H282" s="22">
        <f>ROUND(G282*(1+$X$14),2)</f>
        <v>605.17999999999995</v>
      </c>
      <c r="I282" s="147">
        <f>ROUND(H282*F282,2)</f>
        <v>14110.98</v>
      </c>
      <c r="J282" s="148"/>
      <c r="K282" s="148"/>
      <c r="L282" s="148"/>
      <c r="M282" s="148">
        <v>531.64</v>
      </c>
      <c r="N282" s="148">
        <v>674.17</v>
      </c>
      <c r="O282" s="148">
        <v>15719.62</v>
      </c>
      <c r="P282" s="494"/>
      <c r="Q282" s="148">
        <f>ROUND(P282*N282,2)</f>
        <v>0</v>
      </c>
      <c r="R282" s="148"/>
      <c r="S282" s="148">
        <f>ROUND(R282*N282,2)</f>
        <v>0</v>
      </c>
      <c r="T282" s="148">
        <f>F282+P282-R282</f>
        <v>23.317</v>
      </c>
      <c r="U282" s="148">
        <f t="shared" si="109"/>
        <v>15719.62</v>
      </c>
      <c r="V282" s="379"/>
      <c r="W282" s="379"/>
      <c r="X282" s="28">
        <f>X78</f>
        <v>477.22999999999996</v>
      </c>
      <c r="Y282" s="347">
        <v>561.45000000000005</v>
      </c>
      <c r="Z282" s="334">
        <f t="shared" si="102"/>
        <v>11127.630202500002</v>
      </c>
      <c r="AA282" s="28"/>
      <c r="AB282" s="23" t="e">
        <f>IF(B282&lt;&gt;0,VLOOKUP(B282,#REF!,2,FALSE),"")</f>
        <v>#REF!</v>
      </c>
    </row>
    <row r="283" spans="1:28" s="23" customFormat="1" ht="90">
      <c r="A283" s="19" t="s">
        <v>814</v>
      </c>
      <c r="B283" s="20">
        <v>94275</v>
      </c>
      <c r="C283" s="19" t="s">
        <v>1570</v>
      </c>
      <c r="D283" s="21" t="s">
        <v>12</v>
      </c>
      <c r="E283" s="21" t="s">
        <v>52</v>
      </c>
      <c r="F283" s="22">
        <v>264.79950000000002</v>
      </c>
      <c r="G283" s="22">
        <f t="shared" si="100"/>
        <v>32.223499999999994</v>
      </c>
      <c r="H283" s="22">
        <f>ROUND(G283*(1+$X$14),2)</f>
        <v>40.86</v>
      </c>
      <c r="I283" s="147">
        <f>ROUND(H283*F283,2)</f>
        <v>10819.71</v>
      </c>
      <c r="J283" s="148"/>
      <c r="K283" s="148"/>
      <c r="L283" s="148"/>
      <c r="M283" s="148">
        <v>35.9</v>
      </c>
      <c r="N283" s="148">
        <v>45.52</v>
      </c>
      <c r="O283" s="148">
        <v>12053.67</v>
      </c>
      <c r="P283" s="494"/>
      <c r="Q283" s="148">
        <f>ROUND(P283*N283,2)</f>
        <v>0</v>
      </c>
      <c r="R283" s="148"/>
      <c r="S283" s="148">
        <f>ROUND(R283*N283,2)</f>
        <v>0</v>
      </c>
      <c r="T283" s="148">
        <f>F283+P283-R283</f>
        <v>264.79950000000002</v>
      </c>
      <c r="U283" s="148">
        <f t="shared" si="109"/>
        <v>12053.67</v>
      </c>
      <c r="V283" s="379"/>
      <c r="W283" s="379"/>
      <c r="X283" s="28" t="e">
        <f>IF(B283&lt;&gt;0,VLOOKUP(B283,#REF!,4,FALSE),"")</f>
        <v>#REF!</v>
      </c>
      <c r="Y283" s="347" t="s">
        <v>3158</v>
      </c>
      <c r="Z283" s="334">
        <f t="shared" si="102"/>
        <v>8532.7666882499998</v>
      </c>
      <c r="AA283" s="28"/>
      <c r="AB283" s="23" t="e">
        <f>IF(B283&lt;&gt;0,VLOOKUP(B283,#REF!,2,FALSE),"")</f>
        <v>#REF!</v>
      </c>
    </row>
    <row r="284" spans="1:28" ht="60">
      <c r="A284" s="19" t="s">
        <v>815</v>
      </c>
      <c r="B284" s="20">
        <v>73465</v>
      </c>
      <c r="C284" s="19" t="s">
        <v>112</v>
      </c>
      <c r="D284" s="21" t="s">
        <v>1914</v>
      </c>
      <c r="E284" s="21" t="s">
        <v>26</v>
      </c>
      <c r="F284" s="22">
        <f>84+744.36</f>
        <v>828.36</v>
      </c>
      <c r="G284" s="22">
        <f t="shared" si="100"/>
        <v>27.412500000000001</v>
      </c>
      <c r="H284" s="22">
        <f>ROUND(G284*(1+$X$14),2)</f>
        <v>34.76</v>
      </c>
      <c r="I284" s="147">
        <f>ROUND(H284*F284,2)</f>
        <v>28793.79</v>
      </c>
      <c r="J284" s="148"/>
      <c r="K284" s="148"/>
      <c r="L284" s="148"/>
      <c r="M284" s="148">
        <v>33.229999999999997</v>
      </c>
      <c r="N284" s="148">
        <v>42.14</v>
      </c>
      <c r="O284" s="148">
        <v>34907.089999999997</v>
      </c>
      <c r="P284" s="494"/>
      <c r="Q284" s="148">
        <f>ROUND(P284*N284,2)</f>
        <v>0</v>
      </c>
      <c r="R284" s="148"/>
      <c r="S284" s="148">
        <f>ROUND(R284*N284,2)</f>
        <v>0</v>
      </c>
      <c r="T284" s="148">
        <f>F284+P284-R284</f>
        <v>828.36</v>
      </c>
      <c r="U284" s="148">
        <f t="shared" si="109"/>
        <v>34907.089999999997</v>
      </c>
      <c r="V284" s="379"/>
      <c r="W284" s="379"/>
      <c r="X284" s="27">
        <f>'COMPOSIÇÃO DE CUSTOS'!G449</f>
        <v>27.41</v>
      </c>
      <c r="Y284" s="340">
        <v>32.25</v>
      </c>
      <c r="Z284" s="334">
        <f t="shared" si="102"/>
        <v>22707.4185</v>
      </c>
      <c r="AA284" s="27"/>
      <c r="AB284" s="2" t="e">
        <f>IF(B284&lt;&gt;0,VLOOKUP(B284,#REF!,2,FALSE),"")</f>
        <v>#REF!</v>
      </c>
    </row>
    <row r="285" spans="1:28" s="55" customFormat="1" ht="75">
      <c r="A285" s="19" t="s">
        <v>816</v>
      </c>
      <c r="B285" s="21" t="s">
        <v>2086</v>
      </c>
      <c r="C285" s="19" t="s">
        <v>113</v>
      </c>
      <c r="D285" s="21" t="s">
        <v>70</v>
      </c>
      <c r="E285" s="21" t="s">
        <v>26</v>
      </c>
      <c r="F285" s="22">
        <v>205.63</v>
      </c>
      <c r="G285" s="22">
        <f t="shared" si="100"/>
        <v>311.75450000000001</v>
      </c>
      <c r="H285" s="22">
        <f>ROUND(G285*(1+$X$14),2)</f>
        <v>395.34</v>
      </c>
      <c r="I285" s="147">
        <f>ROUND(H285*F285,2)</f>
        <v>81293.759999999995</v>
      </c>
      <c r="J285" s="148"/>
      <c r="K285" s="148"/>
      <c r="L285" s="148"/>
      <c r="M285" s="148">
        <v>370.67</v>
      </c>
      <c r="N285" s="148">
        <v>470.05</v>
      </c>
      <c r="O285" s="148">
        <v>96656.38</v>
      </c>
      <c r="P285" s="494"/>
      <c r="Q285" s="148">
        <f>ROUND(P285*N285,2)</f>
        <v>0</v>
      </c>
      <c r="R285" s="148"/>
      <c r="S285" s="148">
        <f>ROUND(R285*N285,2)</f>
        <v>0</v>
      </c>
      <c r="T285" s="148">
        <f>F285+P285-R285</f>
        <v>205.63</v>
      </c>
      <c r="U285" s="148">
        <f t="shared" si="109"/>
        <v>96656.38</v>
      </c>
      <c r="V285" s="379"/>
      <c r="W285" s="379"/>
      <c r="X285" s="56">
        <f>'COMPOSIÇÃO DE CUSTOS'!G460</f>
        <v>311.76</v>
      </c>
      <c r="Y285" s="349">
        <v>366.77</v>
      </c>
      <c r="Z285" s="334">
        <f t="shared" si="102"/>
        <v>64106.077835000004</v>
      </c>
      <c r="AA285" s="56"/>
    </row>
    <row r="286" spans="1:28" ht="31.5" customHeight="1">
      <c r="A286" s="19"/>
      <c r="B286" s="21"/>
      <c r="C286" s="19"/>
      <c r="D286" s="21"/>
      <c r="E286" s="21"/>
      <c r="F286" s="22"/>
      <c r="G286" s="22"/>
      <c r="H286" s="22"/>
      <c r="I286" s="147"/>
      <c r="J286" s="148"/>
      <c r="K286" s="148"/>
      <c r="L286" s="148"/>
      <c r="M286" s="148"/>
      <c r="N286" s="148"/>
      <c r="O286" s="148"/>
      <c r="P286" s="494"/>
      <c r="Q286" s="148"/>
      <c r="R286" s="148"/>
      <c r="S286" s="148"/>
      <c r="T286" s="148"/>
      <c r="U286" s="148"/>
      <c r="V286" s="379"/>
      <c r="W286" s="379"/>
      <c r="Z286" s="334">
        <f t="shared" si="102"/>
        <v>0</v>
      </c>
    </row>
    <row r="287" spans="1:28" s="38" customFormat="1" ht="15" customHeight="1">
      <c r="A287" s="229" t="s">
        <v>817</v>
      </c>
      <c r="B287" s="229"/>
      <c r="C287" s="229" t="s">
        <v>114</v>
      </c>
      <c r="D287" s="230"/>
      <c r="E287" s="230"/>
      <c r="F287" s="230"/>
      <c r="G287" s="22"/>
      <c r="H287" s="230"/>
      <c r="I287" s="445">
        <f>ROUND(I288+I451+I488+I1154,2)</f>
        <v>5742248.71</v>
      </c>
      <c r="J287" s="440"/>
      <c r="K287" s="440"/>
      <c r="L287" s="440"/>
      <c r="M287" s="440"/>
      <c r="N287" s="440"/>
      <c r="O287" s="440">
        <v>7522757.7199999997</v>
      </c>
      <c r="P287" s="492"/>
      <c r="Q287" s="440">
        <f>ROUND(Q288+Q451+Q488+Q1154,2)</f>
        <v>836142.02</v>
      </c>
      <c r="R287" s="440"/>
      <c r="S287" s="440">
        <f>ROUND(S288+S451+S488+S1154,2)</f>
        <v>501695.19</v>
      </c>
      <c r="T287" s="148"/>
      <c r="U287" s="440">
        <f t="shared" si="109"/>
        <v>7857204.5499999998</v>
      </c>
      <c r="V287" s="330"/>
      <c r="W287" s="330"/>
      <c r="X287" s="48"/>
      <c r="Y287" s="352"/>
      <c r="Z287" s="334">
        <f t="shared" si="102"/>
        <v>0</v>
      </c>
      <c r="AA287" s="49"/>
    </row>
    <row r="288" spans="1:28" s="38" customFormat="1" ht="15" customHeight="1">
      <c r="A288" s="229" t="s">
        <v>818</v>
      </c>
      <c r="B288" s="229"/>
      <c r="C288" s="229" t="s">
        <v>115</v>
      </c>
      <c r="D288" s="230"/>
      <c r="E288" s="230"/>
      <c r="F288" s="230"/>
      <c r="G288" s="22"/>
      <c r="H288" s="230"/>
      <c r="I288" s="445">
        <f>SUM(I289:I449)</f>
        <v>420442.82000000012</v>
      </c>
      <c r="J288" s="440"/>
      <c r="K288" s="440"/>
      <c r="L288" s="440"/>
      <c r="M288" s="440"/>
      <c r="N288" s="440"/>
      <c r="O288" s="440">
        <v>440518.23</v>
      </c>
      <c r="P288" s="492"/>
      <c r="Q288" s="440">
        <f>SUM(Q289:Q449)</f>
        <v>60208.967999999993</v>
      </c>
      <c r="R288" s="440"/>
      <c r="S288" s="440">
        <f>SUM(S289:S449)</f>
        <v>3635.5</v>
      </c>
      <c r="T288" s="148"/>
      <c r="U288" s="440">
        <f t="shared" si="109"/>
        <v>497091.69799999997</v>
      </c>
      <c r="V288" s="330"/>
      <c r="W288" s="330"/>
      <c r="X288" s="50"/>
      <c r="Y288" s="44"/>
      <c r="Z288" s="334">
        <f t="shared" si="102"/>
        <v>0</v>
      </c>
      <c r="AA288" s="44"/>
      <c r="AB288" s="49"/>
    </row>
    <row r="289" spans="1:28" s="23" customFormat="1">
      <c r="A289" s="229" t="s">
        <v>819</v>
      </c>
      <c r="B289" s="229"/>
      <c r="C289" s="229" t="s">
        <v>116</v>
      </c>
      <c r="D289" s="230"/>
      <c r="E289" s="230"/>
      <c r="F289" s="230"/>
      <c r="G289" s="22"/>
      <c r="H289" s="230"/>
      <c r="I289" s="445"/>
      <c r="J289" s="440"/>
      <c r="K289" s="440"/>
      <c r="L289" s="440"/>
      <c r="M289" s="440"/>
      <c r="N289" s="440"/>
      <c r="O289" s="440"/>
      <c r="P289" s="492"/>
      <c r="Q289" s="440"/>
      <c r="R289" s="440"/>
      <c r="S289" s="440"/>
      <c r="T289" s="148"/>
      <c r="U289" s="148"/>
      <c r="V289" s="330"/>
      <c r="W289" s="330"/>
      <c r="X289" s="51"/>
      <c r="Y289" s="353"/>
      <c r="Z289" s="334">
        <f t="shared" si="102"/>
        <v>0</v>
      </c>
      <c r="AA289" s="342"/>
    </row>
    <row r="290" spans="1:28" s="23" customFormat="1" ht="15" customHeight="1">
      <c r="A290" s="229" t="s">
        <v>820</v>
      </c>
      <c r="B290" s="229"/>
      <c r="C290" s="229" t="s">
        <v>117</v>
      </c>
      <c r="D290" s="230"/>
      <c r="E290" s="230"/>
      <c r="F290" s="230"/>
      <c r="G290" s="22"/>
      <c r="H290" s="230"/>
      <c r="I290" s="445"/>
      <c r="J290" s="440"/>
      <c r="K290" s="440"/>
      <c r="L290" s="440"/>
      <c r="M290" s="440"/>
      <c r="N290" s="440"/>
      <c r="O290" s="440"/>
      <c r="P290" s="492"/>
      <c r="Q290" s="440"/>
      <c r="R290" s="440"/>
      <c r="S290" s="440"/>
      <c r="T290" s="148"/>
      <c r="U290" s="148"/>
      <c r="V290" s="330"/>
      <c r="W290" s="330"/>
      <c r="Y290" s="347"/>
      <c r="Z290" s="334">
        <f t="shared" si="102"/>
        <v>0</v>
      </c>
    </row>
    <row r="291" spans="1:28">
      <c r="A291" s="19" t="s">
        <v>821</v>
      </c>
      <c r="B291" s="21" t="s">
        <v>2087</v>
      </c>
      <c r="C291" s="19" t="s">
        <v>118</v>
      </c>
      <c r="D291" s="21" t="s">
        <v>70</v>
      </c>
      <c r="E291" s="21" t="s">
        <v>17</v>
      </c>
      <c r="F291" s="22">
        <v>35</v>
      </c>
      <c r="G291" s="22">
        <f t="shared" si="100"/>
        <v>4.2330000000000005</v>
      </c>
      <c r="H291" s="22">
        <f t="shared" ref="H291:H324" si="110">ROUND(G291*(1+$X$14),2)</f>
        <v>5.37</v>
      </c>
      <c r="I291" s="147">
        <f t="shared" ref="I291:I324" si="111">ROUND(H291*F291,2)</f>
        <v>187.95</v>
      </c>
      <c r="J291" s="148"/>
      <c r="K291" s="148"/>
      <c r="L291" s="148"/>
      <c r="M291" s="148">
        <v>4.72</v>
      </c>
      <c r="N291" s="148">
        <v>5.99</v>
      </c>
      <c r="O291" s="148">
        <v>209.65</v>
      </c>
      <c r="P291" s="494"/>
      <c r="Q291" s="148">
        <f t="shared" ref="Q291:Q354" si="112">ROUND(P291*N291,2)</f>
        <v>0</v>
      </c>
      <c r="R291" s="148"/>
      <c r="S291" s="148">
        <f>ROUND(R291*N291,2)</f>
        <v>0</v>
      </c>
      <c r="T291" s="148">
        <f t="shared" ref="T291:T322" si="113">F291+P291-R291</f>
        <v>35</v>
      </c>
      <c r="U291" s="148">
        <f t="shared" ref="U291:U354" si="114">O291+Q291-S291+L291</f>
        <v>209.65</v>
      </c>
      <c r="V291" s="379"/>
      <c r="W291" s="379"/>
      <c r="X291" s="27">
        <f>'COMPOSIÇÃO DE CUSTOS'!G469</f>
        <v>4.21</v>
      </c>
      <c r="Y291" s="340">
        <v>4.9800000000000004</v>
      </c>
      <c r="Z291" s="334">
        <f t="shared" si="102"/>
        <v>148.15500000000003</v>
      </c>
      <c r="AA291" s="27"/>
    </row>
    <row r="292" spans="1:28">
      <c r="A292" s="19" t="s">
        <v>822</v>
      </c>
      <c r="B292" s="21" t="s">
        <v>2088</v>
      </c>
      <c r="C292" s="19" t="s">
        <v>119</v>
      </c>
      <c r="D292" s="21" t="s">
        <v>70</v>
      </c>
      <c r="E292" s="21" t="s">
        <v>17</v>
      </c>
      <c r="F292" s="22">
        <v>8</v>
      </c>
      <c r="G292" s="22">
        <f t="shared" si="100"/>
        <v>10.7865</v>
      </c>
      <c r="H292" s="22">
        <f t="shared" si="110"/>
        <v>13.68</v>
      </c>
      <c r="I292" s="147">
        <f t="shared" si="111"/>
        <v>109.44</v>
      </c>
      <c r="J292" s="148"/>
      <c r="K292" s="148"/>
      <c r="L292" s="148"/>
      <c r="M292" s="148">
        <v>12.02</v>
      </c>
      <c r="N292" s="148">
        <v>15.24</v>
      </c>
      <c r="O292" s="148">
        <v>121.92</v>
      </c>
      <c r="P292" s="494"/>
      <c r="Q292" s="148">
        <f t="shared" si="112"/>
        <v>0</v>
      </c>
      <c r="R292" s="148"/>
      <c r="S292" s="148">
        <f t="shared" ref="S292:S324" si="115">ROUND(R292*P292,2)</f>
        <v>0</v>
      </c>
      <c r="T292" s="148">
        <f t="shared" si="113"/>
        <v>8</v>
      </c>
      <c r="U292" s="148">
        <f t="shared" si="114"/>
        <v>121.92</v>
      </c>
      <c r="V292" s="379"/>
      <c r="W292" s="379"/>
      <c r="X292" s="27">
        <f>'COMPOSIÇÃO DE CUSTOS'!G478</f>
        <v>10.78</v>
      </c>
      <c r="Y292" s="340">
        <v>12.69</v>
      </c>
      <c r="Z292" s="334">
        <f t="shared" si="102"/>
        <v>86.292000000000002</v>
      </c>
      <c r="AA292" s="27"/>
    </row>
    <row r="293" spans="1:28">
      <c r="A293" s="19" t="s">
        <v>823</v>
      </c>
      <c r="B293" s="21" t="s">
        <v>2089</v>
      </c>
      <c r="C293" s="19" t="s">
        <v>120</v>
      </c>
      <c r="D293" s="21" t="s">
        <v>70</v>
      </c>
      <c r="E293" s="21" t="s">
        <v>17</v>
      </c>
      <c r="F293" s="22">
        <v>4</v>
      </c>
      <c r="G293" s="22">
        <f t="shared" si="100"/>
        <v>15.928999999999998</v>
      </c>
      <c r="H293" s="22">
        <f t="shared" si="110"/>
        <v>20.2</v>
      </c>
      <c r="I293" s="147">
        <f t="shared" si="111"/>
        <v>80.8</v>
      </c>
      <c r="J293" s="148"/>
      <c r="K293" s="148"/>
      <c r="L293" s="148"/>
      <c r="M293" s="148">
        <v>17.75</v>
      </c>
      <c r="N293" s="148">
        <v>22.51</v>
      </c>
      <c r="O293" s="148">
        <v>90.04</v>
      </c>
      <c r="P293" s="494"/>
      <c r="Q293" s="148">
        <f t="shared" si="112"/>
        <v>0</v>
      </c>
      <c r="R293" s="148"/>
      <c r="S293" s="148">
        <f t="shared" si="115"/>
        <v>0</v>
      </c>
      <c r="T293" s="148">
        <f t="shared" si="113"/>
        <v>4</v>
      </c>
      <c r="U293" s="148">
        <f t="shared" si="114"/>
        <v>90.04</v>
      </c>
      <c r="V293" s="379"/>
      <c r="W293" s="379"/>
      <c r="X293" s="27">
        <f>'COMPOSIÇÃO DE CUSTOS'!G487</f>
        <v>15.92</v>
      </c>
      <c r="Y293" s="340">
        <v>18.739999999999998</v>
      </c>
      <c r="Z293" s="334">
        <f t="shared" si="102"/>
        <v>63.715999999999994</v>
      </c>
      <c r="AA293" s="27"/>
    </row>
    <row r="294" spans="1:28" ht="45">
      <c r="A294" s="19" t="s">
        <v>824</v>
      </c>
      <c r="B294" s="20">
        <v>89491</v>
      </c>
      <c r="C294" s="19" t="s">
        <v>1571</v>
      </c>
      <c r="D294" s="21" t="s">
        <v>12</v>
      </c>
      <c r="E294" s="21" t="s">
        <v>17</v>
      </c>
      <c r="F294" s="22">
        <v>13</v>
      </c>
      <c r="G294" s="22">
        <f t="shared" si="100"/>
        <v>37.910000000000004</v>
      </c>
      <c r="H294" s="22">
        <f t="shared" si="110"/>
        <v>48.07</v>
      </c>
      <c r="I294" s="147">
        <f t="shared" si="111"/>
        <v>624.91</v>
      </c>
      <c r="J294" s="148"/>
      <c r="K294" s="148"/>
      <c r="L294" s="148"/>
      <c r="M294" s="148">
        <v>42.23</v>
      </c>
      <c r="N294" s="148">
        <v>53.55</v>
      </c>
      <c r="O294" s="148">
        <v>696.15</v>
      </c>
      <c r="P294" s="494"/>
      <c r="Q294" s="148">
        <f t="shared" si="112"/>
        <v>0</v>
      </c>
      <c r="R294" s="148"/>
      <c r="S294" s="148">
        <f t="shared" si="115"/>
        <v>0</v>
      </c>
      <c r="T294" s="148">
        <f t="shared" si="113"/>
        <v>13</v>
      </c>
      <c r="U294" s="148">
        <f t="shared" si="114"/>
        <v>696.15</v>
      </c>
      <c r="V294" s="379"/>
      <c r="W294" s="379"/>
      <c r="X294" s="28" t="e">
        <f>IF(B294&lt;&gt;0,VLOOKUP(B294,#REF!,4,FALSE),"")</f>
        <v>#REF!</v>
      </c>
      <c r="Y294" s="347" t="s">
        <v>3290</v>
      </c>
      <c r="Z294" s="334">
        <f t="shared" si="102"/>
        <v>492.83000000000004</v>
      </c>
      <c r="AA294" s="28"/>
      <c r="AB294" s="23" t="e">
        <f>IF(B294&lt;&gt;0,VLOOKUP(B294,#REF!,2,FALSE),"")</f>
        <v>#REF!</v>
      </c>
    </row>
    <row r="295" spans="1:28" ht="45">
      <c r="A295" s="19" t="s">
        <v>825</v>
      </c>
      <c r="B295" s="20">
        <v>89482</v>
      </c>
      <c r="C295" s="19" t="s">
        <v>1572</v>
      </c>
      <c r="D295" s="21" t="s">
        <v>12</v>
      </c>
      <c r="E295" s="21" t="s">
        <v>17</v>
      </c>
      <c r="F295" s="22">
        <v>24</v>
      </c>
      <c r="G295" s="22">
        <f t="shared" si="100"/>
        <v>15.988499999999998</v>
      </c>
      <c r="H295" s="22">
        <f t="shared" si="110"/>
        <v>20.28</v>
      </c>
      <c r="I295" s="147">
        <f t="shared" si="111"/>
        <v>486.72</v>
      </c>
      <c r="J295" s="148"/>
      <c r="K295" s="148"/>
      <c r="L295" s="148"/>
      <c r="M295" s="148">
        <v>17.809999999999999</v>
      </c>
      <c r="N295" s="148">
        <v>22.58</v>
      </c>
      <c r="O295" s="148">
        <v>541.91999999999996</v>
      </c>
      <c r="P295" s="494"/>
      <c r="Q295" s="148">
        <f t="shared" si="112"/>
        <v>0</v>
      </c>
      <c r="R295" s="148"/>
      <c r="S295" s="148">
        <f t="shared" si="115"/>
        <v>0</v>
      </c>
      <c r="T295" s="148">
        <f t="shared" si="113"/>
        <v>24</v>
      </c>
      <c r="U295" s="148">
        <f t="shared" si="114"/>
        <v>541.91999999999996</v>
      </c>
      <c r="V295" s="379"/>
      <c r="W295" s="379"/>
      <c r="X295" s="28" t="e">
        <f>IF(B295&lt;&gt;0,VLOOKUP(B295,#REF!,4,FALSE),"")</f>
        <v>#REF!</v>
      </c>
      <c r="Y295" s="347" t="s">
        <v>1889</v>
      </c>
      <c r="Z295" s="334">
        <f t="shared" si="102"/>
        <v>383.72399999999993</v>
      </c>
      <c r="AA295" s="28"/>
      <c r="AB295" s="23" t="e">
        <f>IF(B295&lt;&gt;0,VLOOKUP(B295,#REF!,2,FALSE),"")</f>
        <v>#REF!</v>
      </c>
    </row>
    <row r="296" spans="1:28" ht="60">
      <c r="A296" s="19" t="s">
        <v>826</v>
      </c>
      <c r="B296" s="20">
        <v>89710</v>
      </c>
      <c r="C296" s="19" t="s">
        <v>1573</v>
      </c>
      <c r="D296" s="21" t="s">
        <v>12</v>
      </c>
      <c r="E296" s="21" t="s">
        <v>17</v>
      </c>
      <c r="F296" s="22">
        <v>3</v>
      </c>
      <c r="G296" s="22">
        <f t="shared" si="100"/>
        <v>6.7915000000000001</v>
      </c>
      <c r="H296" s="22">
        <f t="shared" si="110"/>
        <v>8.61</v>
      </c>
      <c r="I296" s="147">
        <f t="shared" si="111"/>
        <v>25.83</v>
      </c>
      <c r="J296" s="148"/>
      <c r="K296" s="148"/>
      <c r="L296" s="148"/>
      <c r="M296" s="148">
        <v>7.57</v>
      </c>
      <c r="N296" s="148">
        <v>9.6</v>
      </c>
      <c r="O296" s="148">
        <v>28.8</v>
      </c>
      <c r="P296" s="494"/>
      <c r="Q296" s="148">
        <f t="shared" si="112"/>
        <v>0</v>
      </c>
      <c r="R296" s="148"/>
      <c r="S296" s="148">
        <f t="shared" si="115"/>
        <v>0</v>
      </c>
      <c r="T296" s="148">
        <f t="shared" si="113"/>
        <v>3</v>
      </c>
      <c r="U296" s="148">
        <f t="shared" si="114"/>
        <v>28.8</v>
      </c>
      <c r="V296" s="379"/>
      <c r="W296" s="379"/>
      <c r="X296" s="28" t="e">
        <f>IF(B296&lt;&gt;0,VLOOKUP(B296,#REF!,4,FALSE),"")</f>
        <v>#REF!</v>
      </c>
      <c r="Y296" s="347" t="s">
        <v>3291</v>
      </c>
      <c r="Z296" s="334">
        <f t="shared" si="102"/>
        <v>20.374500000000001</v>
      </c>
      <c r="AA296" s="28"/>
      <c r="AB296" s="23" t="e">
        <f>IF(B296&lt;&gt;0,VLOOKUP(B296,#REF!,2,FALSE),"")</f>
        <v>#REF!</v>
      </c>
    </row>
    <row r="297" spans="1:28" ht="45">
      <c r="A297" s="19" t="s">
        <v>827</v>
      </c>
      <c r="B297" s="20">
        <v>89356</v>
      </c>
      <c r="C297" s="19" t="s">
        <v>1574</v>
      </c>
      <c r="D297" s="21" t="s">
        <v>12</v>
      </c>
      <c r="E297" s="21" t="s">
        <v>52</v>
      </c>
      <c r="F297" s="22">
        <v>1549</v>
      </c>
      <c r="G297" s="22">
        <f t="shared" si="100"/>
        <v>13.506500000000001</v>
      </c>
      <c r="H297" s="22">
        <f t="shared" si="110"/>
        <v>17.13</v>
      </c>
      <c r="I297" s="147">
        <f t="shared" si="111"/>
        <v>26534.37</v>
      </c>
      <c r="J297" s="148"/>
      <c r="K297" s="148"/>
      <c r="L297" s="148"/>
      <c r="M297" s="148">
        <v>15.17</v>
      </c>
      <c r="N297" s="148">
        <v>19.239999999999998</v>
      </c>
      <c r="O297" s="148">
        <v>29802.76</v>
      </c>
      <c r="P297" s="494"/>
      <c r="Q297" s="148">
        <f t="shared" si="112"/>
        <v>0</v>
      </c>
      <c r="R297" s="148"/>
      <c r="S297" s="148">
        <f t="shared" si="115"/>
        <v>0</v>
      </c>
      <c r="T297" s="148">
        <f t="shared" si="113"/>
        <v>1549</v>
      </c>
      <c r="U297" s="148">
        <f t="shared" si="114"/>
        <v>29802.76</v>
      </c>
      <c r="V297" s="379"/>
      <c r="W297" s="379"/>
      <c r="X297" s="28" t="e">
        <f>IF(B297&lt;&gt;0,VLOOKUP(B297,#REF!,4,FALSE),"")</f>
        <v>#REF!</v>
      </c>
      <c r="Y297" s="347" t="s">
        <v>1881</v>
      </c>
      <c r="Z297" s="334">
        <f t="shared" si="102"/>
        <v>20921.568500000001</v>
      </c>
      <c r="AA297" s="28"/>
      <c r="AB297" s="23" t="e">
        <f>IF(B297&lt;&gt;0,VLOOKUP(B297,#REF!,2,FALSE),"")</f>
        <v>#REF!</v>
      </c>
    </row>
    <row r="298" spans="1:28" ht="45">
      <c r="A298" s="19" t="s">
        <v>828</v>
      </c>
      <c r="B298" s="20">
        <v>89357</v>
      </c>
      <c r="C298" s="19" t="s">
        <v>1575</v>
      </c>
      <c r="D298" s="21" t="s">
        <v>12</v>
      </c>
      <c r="E298" s="21" t="s">
        <v>52</v>
      </c>
      <c r="F298" s="22">
        <v>328</v>
      </c>
      <c r="G298" s="22">
        <f t="shared" si="100"/>
        <v>19.975000000000001</v>
      </c>
      <c r="H298" s="22">
        <f t="shared" si="110"/>
        <v>25.33</v>
      </c>
      <c r="I298" s="147">
        <f t="shared" si="111"/>
        <v>8308.24</v>
      </c>
      <c r="J298" s="148"/>
      <c r="K298" s="148"/>
      <c r="L298" s="148"/>
      <c r="M298" s="148">
        <v>22.25</v>
      </c>
      <c r="N298" s="148">
        <v>28.22</v>
      </c>
      <c r="O298" s="148">
        <v>9256.16</v>
      </c>
      <c r="P298" s="494"/>
      <c r="Q298" s="148">
        <f t="shared" si="112"/>
        <v>0</v>
      </c>
      <c r="R298" s="148"/>
      <c r="S298" s="148">
        <f t="shared" si="115"/>
        <v>0</v>
      </c>
      <c r="T298" s="148">
        <f t="shared" si="113"/>
        <v>328</v>
      </c>
      <c r="U298" s="148">
        <f t="shared" si="114"/>
        <v>9256.16</v>
      </c>
      <c r="V298" s="379"/>
      <c r="W298" s="379"/>
      <c r="X298" s="28" t="e">
        <f>IF(B298&lt;&gt;0,VLOOKUP(B298,#REF!,4,FALSE),"")</f>
        <v>#REF!</v>
      </c>
      <c r="Y298" s="347" t="s">
        <v>3266</v>
      </c>
      <c r="Z298" s="334">
        <f t="shared" si="102"/>
        <v>6551.8</v>
      </c>
      <c r="AA298" s="28"/>
      <c r="AB298" s="23" t="e">
        <f>IF(B298&lt;&gt;0,VLOOKUP(B298,#REF!,2,FALSE),"")</f>
        <v>#REF!</v>
      </c>
    </row>
    <row r="299" spans="1:28" ht="45">
      <c r="A299" s="19" t="s">
        <v>829</v>
      </c>
      <c r="B299" s="20">
        <v>89448</v>
      </c>
      <c r="C299" s="19" t="s">
        <v>1576</v>
      </c>
      <c r="D299" s="21" t="s">
        <v>12</v>
      </c>
      <c r="E299" s="21" t="s">
        <v>52</v>
      </c>
      <c r="F299" s="22">
        <v>649</v>
      </c>
      <c r="G299" s="22">
        <f t="shared" si="100"/>
        <v>12.5885</v>
      </c>
      <c r="H299" s="22">
        <f t="shared" si="110"/>
        <v>15.96</v>
      </c>
      <c r="I299" s="147">
        <f t="shared" si="111"/>
        <v>10358.040000000001</v>
      </c>
      <c r="J299" s="148"/>
      <c r="K299" s="148"/>
      <c r="L299" s="148"/>
      <c r="M299" s="148">
        <v>14.02</v>
      </c>
      <c r="N299" s="148">
        <v>17.78</v>
      </c>
      <c r="O299" s="148">
        <v>11539.22</v>
      </c>
      <c r="P299" s="494"/>
      <c r="Q299" s="148">
        <f t="shared" si="112"/>
        <v>0</v>
      </c>
      <c r="R299" s="148"/>
      <c r="S299" s="148">
        <f t="shared" si="115"/>
        <v>0</v>
      </c>
      <c r="T299" s="148">
        <f t="shared" si="113"/>
        <v>649</v>
      </c>
      <c r="U299" s="148">
        <f t="shared" si="114"/>
        <v>11539.22</v>
      </c>
      <c r="V299" s="379"/>
      <c r="W299" s="379"/>
      <c r="X299" s="28" t="e">
        <f>IF(B299&lt;&gt;0,VLOOKUP(B299,#REF!,4,FALSE),"")</f>
        <v>#REF!</v>
      </c>
      <c r="Y299" s="347" t="s">
        <v>3267</v>
      </c>
      <c r="Z299" s="334">
        <f t="shared" si="102"/>
        <v>8169.9364999999998</v>
      </c>
      <c r="AA299" s="28"/>
      <c r="AB299" s="23" t="e">
        <f>IF(B299&lt;&gt;0,VLOOKUP(B299,#REF!,2,FALSE),"")</f>
        <v>#REF!</v>
      </c>
    </row>
    <row r="300" spans="1:28" ht="45">
      <c r="A300" s="19" t="s">
        <v>830</v>
      </c>
      <c r="B300" s="20">
        <v>89449</v>
      </c>
      <c r="C300" s="19" t="s">
        <v>1577</v>
      </c>
      <c r="D300" s="21" t="s">
        <v>12</v>
      </c>
      <c r="E300" s="21" t="s">
        <v>52</v>
      </c>
      <c r="F300" s="22">
        <v>288</v>
      </c>
      <c r="G300" s="22">
        <f t="shared" si="100"/>
        <v>14.466999999999999</v>
      </c>
      <c r="H300" s="22">
        <f t="shared" si="110"/>
        <v>18.350000000000001</v>
      </c>
      <c r="I300" s="147">
        <f t="shared" si="111"/>
        <v>5284.8</v>
      </c>
      <c r="J300" s="148"/>
      <c r="K300" s="148"/>
      <c r="L300" s="148"/>
      <c r="M300" s="148">
        <v>16.12</v>
      </c>
      <c r="N300" s="148">
        <v>20.440000000000001</v>
      </c>
      <c r="O300" s="148">
        <v>5886.72</v>
      </c>
      <c r="P300" s="494"/>
      <c r="Q300" s="148">
        <f t="shared" si="112"/>
        <v>0</v>
      </c>
      <c r="R300" s="148"/>
      <c r="S300" s="148">
        <f t="shared" si="115"/>
        <v>0</v>
      </c>
      <c r="T300" s="148">
        <f t="shared" si="113"/>
        <v>288</v>
      </c>
      <c r="U300" s="148">
        <f t="shared" si="114"/>
        <v>5886.72</v>
      </c>
      <c r="V300" s="379"/>
      <c r="W300" s="379"/>
      <c r="X300" s="28" t="e">
        <f>IF(B300&lt;&gt;0,VLOOKUP(B300,#REF!,4,FALSE),"")</f>
        <v>#REF!</v>
      </c>
      <c r="Y300" s="347" t="s">
        <v>1860</v>
      </c>
      <c r="Z300" s="334">
        <f t="shared" si="102"/>
        <v>4166.4959999999992</v>
      </c>
      <c r="AA300" s="28"/>
      <c r="AB300" s="23" t="e">
        <f>IF(B300&lt;&gt;0,VLOOKUP(B300,#REF!,2,FALSE),"")</f>
        <v>#REF!</v>
      </c>
    </row>
    <row r="301" spans="1:28" ht="45">
      <c r="A301" s="19" t="s">
        <v>831</v>
      </c>
      <c r="B301" s="20">
        <v>89451</v>
      </c>
      <c r="C301" s="19" t="s">
        <v>1578</v>
      </c>
      <c r="D301" s="21" t="s">
        <v>12</v>
      </c>
      <c r="E301" s="21" t="s">
        <v>52</v>
      </c>
      <c r="F301" s="22">
        <v>288</v>
      </c>
      <c r="G301" s="22">
        <f t="shared" si="100"/>
        <v>39.856499999999997</v>
      </c>
      <c r="H301" s="22">
        <f t="shared" si="110"/>
        <v>50.54</v>
      </c>
      <c r="I301" s="147">
        <f t="shared" si="111"/>
        <v>14555.52</v>
      </c>
      <c r="J301" s="148"/>
      <c r="K301" s="148"/>
      <c r="L301" s="148"/>
      <c r="M301" s="148">
        <v>44.4</v>
      </c>
      <c r="N301" s="148">
        <v>56.3</v>
      </c>
      <c r="O301" s="148">
        <v>16214.4</v>
      </c>
      <c r="P301" s="494"/>
      <c r="Q301" s="148">
        <f t="shared" si="112"/>
        <v>0</v>
      </c>
      <c r="R301" s="148"/>
      <c r="S301" s="148">
        <f t="shared" si="115"/>
        <v>0</v>
      </c>
      <c r="T301" s="148">
        <f t="shared" si="113"/>
        <v>288</v>
      </c>
      <c r="U301" s="148">
        <f t="shared" si="114"/>
        <v>16214.4</v>
      </c>
      <c r="V301" s="379"/>
      <c r="W301" s="379"/>
      <c r="X301" s="28" t="e">
        <f>IF(B301&lt;&gt;0,VLOOKUP(B301,#REF!,4,FALSE),"")</f>
        <v>#REF!</v>
      </c>
      <c r="Y301" s="347" t="s">
        <v>3268</v>
      </c>
      <c r="Z301" s="334">
        <f t="shared" si="102"/>
        <v>11478.671999999999</v>
      </c>
      <c r="AA301" s="28"/>
      <c r="AB301" s="23" t="e">
        <f>IF(B301&lt;&gt;0,VLOOKUP(B301,#REF!,2,FALSE),"")</f>
        <v>#REF!</v>
      </c>
    </row>
    <row r="302" spans="1:28" s="23" customFormat="1" ht="30">
      <c r="A302" s="19" t="s">
        <v>832</v>
      </c>
      <c r="B302" s="20">
        <v>11880</v>
      </c>
      <c r="C302" s="19" t="s">
        <v>121</v>
      </c>
      <c r="D302" s="21" t="s">
        <v>1914</v>
      </c>
      <c r="E302" s="21" t="s">
        <v>17</v>
      </c>
      <c r="F302" s="22">
        <v>2</v>
      </c>
      <c r="G302" s="22">
        <f t="shared" si="100"/>
        <v>63.605499999999999</v>
      </c>
      <c r="H302" s="22">
        <f t="shared" si="110"/>
        <v>80.66</v>
      </c>
      <c r="I302" s="147">
        <f t="shared" si="111"/>
        <v>161.32</v>
      </c>
      <c r="J302" s="148"/>
      <c r="K302" s="148"/>
      <c r="L302" s="148"/>
      <c r="M302" s="148">
        <v>70.86</v>
      </c>
      <c r="N302" s="148">
        <v>89.86</v>
      </c>
      <c r="O302" s="148">
        <v>179.72</v>
      </c>
      <c r="P302" s="494"/>
      <c r="Q302" s="148">
        <f t="shared" si="112"/>
        <v>0</v>
      </c>
      <c r="R302" s="148"/>
      <c r="S302" s="148">
        <f t="shared" si="115"/>
        <v>0</v>
      </c>
      <c r="T302" s="148">
        <f t="shared" si="113"/>
        <v>2</v>
      </c>
      <c r="U302" s="148">
        <f t="shared" si="114"/>
        <v>179.72</v>
      </c>
      <c r="V302" s="379"/>
      <c r="W302" s="379"/>
      <c r="X302" s="28">
        <f>'COMPOSIÇÃO DE CUSTOS'!G500</f>
        <v>63.61</v>
      </c>
      <c r="Y302" s="347">
        <v>74.83</v>
      </c>
      <c r="Z302" s="334">
        <f t="shared" si="102"/>
        <v>127.211</v>
      </c>
      <c r="AA302" s="28"/>
    </row>
    <row r="303" spans="1:28" s="23" customFormat="1" ht="30">
      <c r="A303" s="19" t="s">
        <v>833</v>
      </c>
      <c r="B303" s="20">
        <v>7752</v>
      </c>
      <c r="C303" s="19" t="s">
        <v>122</v>
      </c>
      <c r="D303" s="21" t="s">
        <v>1914</v>
      </c>
      <c r="E303" s="21" t="s">
        <v>17</v>
      </c>
      <c r="F303" s="22">
        <v>73</v>
      </c>
      <c r="G303" s="22">
        <f t="shared" si="100"/>
        <v>64.336500000000001</v>
      </c>
      <c r="H303" s="22">
        <f t="shared" si="110"/>
        <v>81.59</v>
      </c>
      <c r="I303" s="147">
        <f t="shared" si="111"/>
        <v>5956.07</v>
      </c>
      <c r="J303" s="148"/>
      <c r="K303" s="148"/>
      <c r="L303" s="148"/>
      <c r="M303" s="148">
        <v>71.67</v>
      </c>
      <c r="N303" s="148">
        <v>90.88</v>
      </c>
      <c r="O303" s="148">
        <v>6634.24</v>
      </c>
      <c r="P303" s="494"/>
      <c r="Q303" s="148">
        <f t="shared" si="112"/>
        <v>0</v>
      </c>
      <c r="R303" s="148"/>
      <c r="S303" s="148">
        <f t="shared" si="115"/>
        <v>0</v>
      </c>
      <c r="T303" s="148">
        <f t="shared" si="113"/>
        <v>73</v>
      </c>
      <c r="U303" s="148">
        <f t="shared" si="114"/>
        <v>6634.24</v>
      </c>
      <c r="V303" s="379"/>
      <c r="W303" s="379"/>
      <c r="X303" s="28">
        <f>'COMPOSIÇÃO DE CUSTOS'!G507</f>
        <v>64.34</v>
      </c>
      <c r="Y303" s="347">
        <v>75.69</v>
      </c>
      <c r="Z303" s="334">
        <f t="shared" si="102"/>
        <v>4696.5645000000004</v>
      </c>
      <c r="AA303" s="28"/>
    </row>
    <row r="304" spans="1:28" ht="45">
      <c r="A304" s="19" t="s">
        <v>834</v>
      </c>
      <c r="B304" s="20">
        <v>89425</v>
      </c>
      <c r="C304" s="19" t="s">
        <v>1579</v>
      </c>
      <c r="D304" s="21" t="s">
        <v>12</v>
      </c>
      <c r="E304" s="21" t="s">
        <v>17</v>
      </c>
      <c r="F304" s="22">
        <v>216</v>
      </c>
      <c r="G304" s="22">
        <f t="shared" si="100"/>
        <v>11.866000000000001</v>
      </c>
      <c r="H304" s="22">
        <f t="shared" si="110"/>
        <v>15.05</v>
      </c>
      <c r="I304" s="147">
        <f t="shared" si="111"/>
        <v>3250.8</v>
      </c>
      <c r="J304" s="148"/>
      <c r="K304" s="148"/>
      <c r="L304" s="148"/>
      <c r="M304" s="148">
        <v>13.22</v>
      </c>
      <c r="N304" s="148">
        <v>16.760000000000002</v>
      </c>
      <c r="O304" s="148">
        <v>3620.16</v>
      </c>
      <c r="P304" s="494"/>
      <c r="Q304" s="148">
        <f t="shared" si="112"/>
        <v>0</v>
      </c>
      <c r="R304" s="148"/>
      <c r="S304" s="148">
        <f t="shared" si="115"/>
        <v>0</v>
      </c>
      <c r="T304" s="148">
        <f t="shared" si="113"/>
        <v>216</v>
      </c>
      <c r="U304" s="148">
        <f t="shared" si="114"/>
        <v>3620.16</v>
      </c>
      <c r="V304" s="379"/>
      <c r="W304" s="379"/>
      <c r="X304" s="28" t="e">
        <f>IF(B304&lt;&gt;0,VLOOKUP(B304,#REF!,4,FALSE),"")</f>
        <v>#REF!</v>
      </c>
      <c r="Y304" s="347" t="s">
        <v>1867</v>
      </c>
      <c r="Z304" s="334">
        <f t="shared" si="102"/>
        <v>2563.0560000000005</v>
      </c>
      <c r="AA304" s="28"/>
      <c r="AB304" s="23" t="e">
        <f>IF(B304&lt;&gt;0,VLOOKUP(B304,#REF!,2,FALSE),"")</f>
        <v>#REF!</v>
      </c>
    </row>
    <row r="305" spans="1:28" ht="45">
      <c r="A305" s="19" t="s">
        <v>835</v>
      </c>
      <c r="B305" s="20">
        <v>89432</v>
      </c>
      <c r="C305" s="19" t="s">
        <v>1580</v>
      </c>
      <c r="D305" s="21" t="s">
        <v>12</v>
      </c>
      <c r="E305" s="21" t="s">
        <v>17</v>
      </c>
      <c r="F305" s="22">
        <v>26</v>
      </c>
      <c r="G305" s="22">
        <f t="shared" si="100"/>
        <v>25.610499999999998</v>
      </c>
      <c r="H305" s="22">
        <f t="shared" si="110"/>
        <v>32.479999999999997</v>
      </c>
      <c r="I305" s="147">
        <f t="shared" si="111"/>
        <v>844.48</v>
      </c>
      <c r="J305" s="148"/>
      <c r="K305" s="148"/>
      <c r="L305" s="148"/>
      <c r="M305" s="148">
        <v>28.53</v>
      </c>
      <c r="N305" s="148">
        <v>36.18</v>
      </c>
      <c r="O305" s="148">
        <v>940.68</v>
      </c>
      <c r="P305" s="494"/>
      <c r="Q305" s="148">
        <f t="shared" si="112"/>
        <v>0</v>
      </c>
      <c r="R305" s="148"/>
      <c r="S305" s="148">
        <f t="shared" si="115"/>
        <v>0</v>
      </c>
      <c r="T305" s="148">
        <f t="shared" si="113"/>
        <v>26</v>
      </c>
      <c r="U305" s="148">
        <f t="shared" si="114"/>
        <v>940.68</v>
      </c>
      <c r="V305" s="379"/>
      <c r="W305" s="379"/>
      <c r="X305" s="28" t="e">
        <f>IF(B305&lt;&gt;0,VLOOKUP(B305,#REF!,4,FALSE),"")</f>
        <v>#REF!</v>
      </c>
      <c r="Y305" s="347" t="s">
        <v>3279</v>
      </c>
      <c r="Z305" s="334">
        <f t="shared" si="102"/>
        <v>665.87299999999993</v>
      </c>
      <c r="AA305" s="28"/>
      <c r="AB305" s="23" t="e">
        <f>IF(B305&lt;&gt;0,VLOOKUP(B305,#REF!,2,FALSE),"")</f>
        <v>#REF!</v>
      </c>
    </row>
    <row r="306" spans="1:28" s="23" customFormat="1" ht="45">
      <c r="A306" s="19" t="s">
        <v>836</v>
      </c>
      <c r="B306" s="21" t="s">
        <v>2094</v>
      </c>
      <c r="C306" s="19" t="s">
        <v>123</v>
      </c>
      <c r="D306" s="21" t="s">
        <v>1914</v>
      </c>
      <c r="E306" s="21" t="s">
        <v>17</v>
      </c>
      <c r="F306" s="22">
        <v>101</v>
      </c>
      <c r="G306" s="22">
        <f t="shared" si="100"/>
        <v>28.713000000000001</v>
      </c>
      <c r="H306" s="22">
        <f t="shared" si="110"/>
        <v>36.409999999999997</v>
      </c>
      <c r="I306" s="147">
        <f t="shared" si="111"/>
        <v>3677.41</v>
      </c>
      <c r="J306" s="148"/>
      <c r="K306" s="148"/>
      <c r="L306" s="148"/>
      <c r="M306" s="148">
        <v>31.99</v>
      </c>
      <c r="N306" s="148">
        <v>40.57</v>
      </c>
      <c r="O306" s="148">
        <v>4097.57</v>
      </c>
      <c r="P306" s="494"/>
      <c r="Q306" s="148">
        <f t="shared" si="112"/>
        <v>0</v>
      </c>
      <c r="R306" s="148"/>
      <c r="S306" s="148">
        <f t="shared" si="115"/>
        <v>0</v>
      </c>
      <c r="T306" s="148">
        <f t="shared" si="113"/>
        <v>101</v>
      </c>
      <c r="U306" s="148">
        <f t="shared" si="114"/>
        <v>4097.57</v>
      </c>
      <c r="V306" s="379"/>
      <c r="W306" s="379"/>
      <c r="X306" s="28">
        <f>'COMPOSIÇÃO DE CUSTOS'!G517</f>
        <v>28.71</v>
      </c>
      <c r="Y306" s="347">
        <v>33.78</v>
      </c>
      <c r="Z306" s="334">
        <f t="shared" si="102"/>
        <v>2900.0129999999999</v>
      </c>
      <c r="AA306" s="28"/>
    </row>
    <row r="307" spans="1:28" s="55" customFormat="1" ht="45">
      <c r="A307" s="19" t="s">
        <v>837</v>
      </c>
      <c r="B307" s="20">
        <v>89577</v>
      </c>
      <c r="C307" s="19" t="s">
        <v>1581</v>
      </c>
      <c r="D307" s="21" t="s">
        <v>12</v>
      </c>
      <c r="E307" s="21" t="s">
        <v>17</v>
      </c>
      <c r="F307" s="22">
        <v>37</v>
      </c>
      <c r="G307" s="22">
        <f t="shared" si="100"/>
        <v>29.724499999999999</v>
      </c>
      <c r="H307" s="22">
        <f t="shared" si="110"/>
        <v>37.69</v>
      </c>
      <c r="I307" s="147">
        <f t="shared" si="111"/>
        <v>1394.53</v>
      </c>
      <c r="J307" s="148"/>
      <c r="K307" s="148"/>
      <c r="L307" s="148"/>
      <c r="M307" s="148">
        <v>33.11</v>
      </c>
      <c r="N307" s="148">
        <v>41.99</v>
      </c>
      <c r="O307" s="148">
        <v>1553.63</v>
      </c>
      <c r="P307" s="494"/>
      <c r="Q307" s="148">
        <f t="shared" si="112"/>
        <v>0</v>
      </c>
      <c r="R307" s="148"/>
      <c r="S307" s="148">
        <f t="shared" si="115"/>
        <v>0</v>
      </c>
      <c r="T307" s="148">
        <f t="shared" si="113"/>
        <v>37</v>
      </c>
      <c r="U307" s="148">
        <f t="shared" si="114"/>
        <v>1553.63</v>
      </c>
      <c r="V307" s="379"/>
      <c r="W307" s="379"/>
      <c r="X307" s="56" t="e">
        <f>IF(B307&lt;&gt;0,VLOOKUP(B307,#REF!,4,FALSE),"")</f>
        <v>#REF!</v>
      </c>
      <c r="Y307" s="349" t="s">
        <v>3187</v>
      </c>
      <c r="Z307" s="334">
        <f t="shared" si="102"/>
        <v>1099.8064999999999</v>
      </c>
      <c r="AA307" s="56"/>
      <c r="AB307" s="55" t="e">
        <f>IF(B307&lt;&gt;0,VLOOKUP(B307,#REF!,2,FALSE),"")</f>
        <v>#REF!</v>
      </c>
    </row>
    <row r="308" spans="1:28" s="23" customFormat="1" ht="45">
      <c r="A308" s="19" t="s">
        <v>838</v>
      </c>
      <c r="B308" s="21" t="s">
        <v>2097</v>
      </c>
      <c r="C308" s="19" t="s">
        <v>1582</v>
      </c>
      <c r="D308" s="21" t="s">
        <v>1914</v>
      </c>
      <c r="E308" s="21" t="s">
        <v>17</v>
      </c>
      <c r="F308" s="22">
        <v>4</v>
      </c>
      <c r="G308" s="22">
        <f t="shared" si="100"/>
        <v>5.0830000000000002</v>
      </c>
      <c r="H308" s="22">
        <f t="shared" si="110"/>
        <v>6.45</v>
      </c>
      <c r="I308" s="147">
        <f t="shared" si="111"/>
        <v>25.8</v>
      </c>
      <c r="J308" s="148"/>
      <c r="K308" s="148"/>
      <c r="L308" s="148"/>
      <c r="M308" s="148">
        <v>5.66</v>
      </c>
      <c r="N308" s="148">
        <v>7.18</v>
      </c>
      <c r="O308" s="148">
        <v>28.72</v>
      </c>
      <c r="P308" s="494"/>
      <c r="Q308" s="148">
        <f t="shared" si="112"/>
        <v>0</v>
      </c>
      <c r="R308" s="148"/>
      <c r="S308" s="148">
        <f t="shared" si="115"/>
        <v>0</v>
      </c>
      <c r="T308" s="148">
        <f t="shared" si="113"/>
        <v>4</v>
      </c>
      <c r="U308" s="148">
        <f t="shared" si="114"/>
        <v>28.72</v>
      </c>
      <c r="V308" s="379"/>
      <c r="W308" s="379"/>
      <c r="X308" s="28">
        <f>'COMPOSIÇÃO DE CUSTOS'!G528</f>
        <v>5.08</v>
      </c>
      <c r="Y308" s="347">
        <v>5.98</v>
      </c>
      <c r="Z308" s="334">
        <f t="shared" si="102"/>
        <v>20.332000000000001</v>
      </c>
      <c r="AA308" s="28"/>
    </row>
    <row r="309" spans="1:28" s="23" customFormat="1" ht="45">
      <c r="A309" s="19" t="s">
        <v>839</v>
      </c>
      <c r="B309" s="21" t="s">
        <v>2098</v>
      </c>
      <c r="C309" s="19" t="s">
        <v>1583</v>
      </c>
      <c r="D309" s="21" t="s">
        <v>1914</v>
      </c>
      <c r="E309" s="21" t="s">
        <v>17</v>
      </c>
      <c r="F309" s="22">
        <v>11</v>
      </c>
      <c r="G309" s="22">
        <f t="shared" si="100"/>
        <v>7.7860000000000005</v>
      </c>
      <c r="H309" s="22">
        <f t="shared" si="110"/>
        <v>9.8699999999999992</v>
      </c>
      <c r="I309" s="147">
        <f t="shared" si="111"/>
        <v>108.57</v>
      </c>
      <c r="J309" s="148"/>
      <c r="K309" s="148"/>
      <c r="L309" s="148"/>
      <c r="M309" s="148">
        <v>8.67</v>
      </c>
      <c r="N309" s="148">
        <v>10.99</v>
      </c>
      <c r="O309" s="148">
        <v>120.89</v>
      </c>
      <c r="P309" s="494"/>
      <c r="Q309" s="148">
        <f t="shared" si="112"/>
        <v>0</v>
      </c>
      <c r="R309" s="148"/>
      <c r="S309" s="148">
        <f t="shared" si="115"/>
        <v>0</v>
      </c>
      <c r="T309" s="148">
        <f t="shared" si="113"/>
        <v>11</v>
      </c>
      <c r="U309" s="148">
        <f t="shared" si="114"/>
        <v>120.89</v>
      </c>
      <c r="V309" s="379"/>
      <c r="W309" s="379"/>
      <c r="X309" s="28">
        <f>'COMPOSIÇÃO DE CUSTOS'!G538</f>
        <v>7.79</v>
      </c>
      <c r="Y309" s="347">
        <v>9.16</v>
      </c>
      <c r="Z309" s="334">
        <f t="shared" si="102"/>
        <v>85.646000000000001</v>
      </c>
      <c r="AA309" s="28"/>
    </row>
    <row r="310" spans="1:28" s="55" customFormat="1" ht="45">
      <c r="A310" s="19" t="s">
        <v>840</v>
      </c>
      <c r="B310" s="20">
        <v>90375</v>
      </c>
      <c r="C310" s="19" t="s">
        <v>1584</v>
      </c>
      <c r="D310" s="21" t="s">
        <v>12</v>
      </c>
      <c r="E310" s="21" t="s">
        <v>17</v>
      </c>
      <c r="F310" s="22">
        <v>8</v>
      </c>
      <c r="G310" s="22">
        <f t="shared" si="100"/>
        <v>6.0350000000000001</v>
      </c>
      <c r="H310" s="22">
        <f t="shared" si="110"/>
        <v>7.65</v>
      </c>
      <c r="I310" s="147">
        <f t="shared" si="111"/>
        <v>61.2</v>
      </c>
      <c r="J310" s="148"/>
      <c r="K310" s="148"/>
      <c r="L310" s="148"/>
      <c r="M310" s="148">
        <v>6.72</v>
      </c>
      <c r="N310" s="148">
        <v>8.52</v>
      </c>
      <c r="O310" s="148">
        <v>68.16</v>
      </c>
      <c r="P310" s="494"/>
      <c r="Q310" s="148">
        <f t="shared" si="112"/>
        <v>0</v>
      </c>
      <c r="R310" s="148"/>
      <c r="S310" s="148">
        <f t="shared" si="115"/>
        <v>0</v>
      </c>
      <c r="T310" s="148">
        <f t="shared" si="113"/>
        <v>8</v>
      </c>
      <c r="U310" s="148">
        <f t="shared" si="114"/>
        <v>68.16</v>
      </c>
      <c r="V310" s="379"/>
      <c r="W310" s="379"/>
      <c r="X310" s="56" t="e">
        <f>IF(B310&lt;&gt;0,VLOOKUP(B310,#REF!,4,FALSE),"")</f>
        <v>#REF!</v>
      </c>
      <c r="Y310" s="349" t="s">
        <v>1909</v>
      </c>
      <c r="Z310" s="334">
        <f t="shared" si="102"/>
        <v>48.28</v>
      </c>
      <c r="AA310" s="56"/>
      <c r="AB310" s="55" t="e">
        <f>IF(B310&lt;&gt;0,VLOOKUP(B310,#REF!,2,FALSE),"")</f>
        <v>#REF!</v>
      </c>
    </row>
    <row r="311" spans="1:28" ht="45">
      <c r="A311" s="19" t="s">
        <v>841</v>
      </c>
      <c r="B311" s="21" t="s">
        <v>2101</v>
      </c>
      <c r="C311" s="19" t="s">
        <v>1585</v>
      </c>
      <c r="D311" s="21" t="s">
        <v>1914</v>
      </c>
      <c r="E311" s="21" t="s">
        <v>17</v>
      </c>
      <c r="F311" s="22">
        <v>4</v>
      </c>
      <c r="G311" s="22">
        <f t="shared" si="100"/>
        <v>9.1715</v>
      </c>
      <c r="H311" s="22">
        <f t="shared" si="110"/>
        <v>11.63</v>
      </c>
      <c r="I311" s="147">
        <f t="shared" si="111"/>
        <v>46.52</v>
      </c>
      <c r="J311" s="148"/>
      <c r="K311" s="148"/>
      <c r="L311" s="148"/>
      <c r="M311" s="148">
        <v>10.220000000000001</v>
      </c>
      <c r="N311" s="148">
        <v>12.96</v>
      </c>
      <c r="O311" s="148">
        <v>51.84</v>
      </c>
      <c r="P311" s="494"/>
      <c r="Q311" s="148">
        <f t="shared" si="112"/>
        <v>0</v>
      </c>
      <c r="R311" s="148"/>
      <c r="S311" s="148">
        <f t="shared" si="115"/>
        <v>0</v>
      </c>
      <c r="T311" s="148">
        <f t="shared" si="113"/>
        <v>4</v>
      </c>
      <c r="U311" s="148">
        <f t="shared" si="114"/>
        <v>51.84</v>
      </c>
      <c r="V311" s="379"/>
      <c r="W311" s="379"/>
      <c r="X311" s="27">
        <f>'COMPOSIÇÃO DE CUSTOS'!G549</f>
        <v>9.17</v>
      </c>
      <c r="Y311" s="340">
        <v>10.79</v>
      </c>
      <c r="Z311" s="334">
        <f t="shared" si="102"/>
        <v>36.686</v>
      </c>
      <c r="AA311" s="27"/>
    </row>
    <row r="312" spans="1:28" ht="45">
      <c r="A312" s="19" t="s">
        <v>842</v>
      </c>
      <c r="B312" s="21" t="s">
        <v>2103</v>
      </c>
      <c r="C312" s="19" t="s">
        <v>1586</v>
      </c>
      <c r="D312" s="21" t="s">
        <v>1914</v>
      </c>
      <c r="E312" s="21" t="s">
        <v>17</v>
      </c>
      <c r="F312" s="22">
        <v>4</v>
      </c>
      <c r="G312" s="22">
        <f t="shared" si="100"/>
        <v>7.242</v>
      </c>
      <c r="H312" s="22">
        <f t="shared" si="110"/>
        <v>9.18</v>
      </c>
      <c r="I312" s="147">
        <f t="shared" si="111"/>
        <v>36.72</v>
      </c>
      <c r="J312" s="148"/>
      <c r="K312" s="148"/>
      <c r="L312" s="148"/>
      <c r="M312" s="148">
        <v>8.07</v>
      </c>
      <c r="N312" s="148">
        <v>10.23</v>
      </c>
      <c r="O312" s="148">
        <v>40.92</v>
      </c>
      <c r="P312" s="494"/>
      <c r="Q312" s="148">
        <f t="shared" si="112"/>
        <v>0</v>
      </c>
      <c r="R312" s="148"/>
      <c r="S312" s="148">
        <f t="shared" si="115"/>
        <v>0</v>
      </c>
      <c r="T312" s="148">
        <f t="shared" si="113"/>
        <v>4</v>
      </c>
      <c r="U312" s="148">
        <f t="shared" si="114"/>
        <v>40.92</v>
      </c>
      <c r="V312" s="379"/>
      <c r="W312" s="379"/>
      <c r="X312" s="27">
        <f>'COMPOSIÇÃO DE CUSTOS'!G559</f>
        <v>7.24</v>
      </c>
      <c r="Y312" s="340">
        <v>8.52</v>
      </c>
      <c r="Z312" s="334">
        <f t="shared" si="102"/>
        <v>28.968</v>
      </c>
      <c r="AA312" s="27"/>
    </row>
    <row r="313" spans="1:28" ht="45">
      <c r="A313" s="19" t="s">
        <v>843</v>
      </c>
      <c r="B313" s="20">
        <v>89408</v>
      </c>
      <c r="C313" s="19" t="s">
        <v>1587</v>
      </c>
      <c r="D313" s="21" t="s">
        <v>12</v>
      </c>
      <c r="E313" s="21" t="s">
        <v>17</v>
      </c>
      <c r="F313" s="22">
        <v>28</v>
      </c>
      <c r="G313" s="22">
        <f t="shared" si="100"/>
        <v>3.8334999999999999</v>
      </c>
      <c r="H313" s="22">
        <f t="shared" si="110"/>
        <v>4.8600000000000003</v>
      </c>
      <c r="I313" s="147">
        <f t="shared" si="111"/>
        <v>136.08000000000001</v>
      </c>
      <c r="J313" s="148"/>
      <c r="K313" s="148"/>
      <c r="L313" s="148"/>
      <c r="M313" s="148">
        <v>4.2699999999999996</v>
      </c>
      <c r="N313" s="148">
        <v>5.41</v>
      </c>
      <c r="O313" s="148">
        <v>151.47999999999999</v>
      </c>
      <c r="P313" s="494"/>
      <c r="Q313" s="148">
        <f t="shared" si="112"/>
        <v>0</v>
      </c>
      <c r="R313" s="148"/>
      <c r="S313" s="148">
        <f t="shared" si="115"/>
        <v>0</v>
      </c>
      <c r="T313" s="148">
        <f t="shared" si="113"/>
        <v>28</v>
      </c>
      <c r="U313" s="148">
        <f t="shared" si="114"/>
        <v>151.47999999999999</v>
      </c>
      <c r="V313" s="379"/>
      <c r="W313" s="379"/>
      <c r="X313" s="28" t="e">
        <f>IF(B313&lt;&gt;0,VLOOKUP(B313,#REF!,4,FALSE),"")</f>
        <v>#REF!</v>
      </c>
      <c r="Y313" s="347" t="s">
        <v>2649</v>
      </c>
      <c r="Z313" s="334">
        <f t="shared" si="102"/>
        <v>107.33799999999999</v>
      </c>
      <c r="AA313" s="28"/>
      <c r="AB313" s="23" t="e">
        <f>IF(B313&lt;&gt;0,VLOOKUP(B313,#REF!,2,FALSE),"")</f>
        <v>#REF!</v>
      </c>
    </row>
    <row r="314" spans="1:28" ht="45">
      <c r="A314" s="19" t="s">
        <v>844</v>
      </c>
      <c r="B314" s="20">
        <v>89413</v>
      </c>
      <c r="C314" s="19" t="s">
        <v>1588</v>
      </c>
      <c r="D314" s="21" t="s">
        <v>12</v>
      </c>
      <c r="E314" s="21" t="s">
        <v>17</v>
      </c>
      <c r="F314" s="22">
        <v>12</v>
      </c>
      <c r="G314" s="22">
        <f t="shared" si="100"/>
        <v>5.8990000000000009</v>
      </c>
      <c r="H314" s="22">
        <f t="shared" si="110"/>
        <v>7.48</v>
      </c>
      <c r="I314" s="147">
        <f t="shared" si="111"/>
        <v>89.76</v>
      </c>
      <c r="J314" s="148"/>
      <c r="K314" s="148"/>
      <c r="L314" s="148"/>
      <c r="M314" s="148">
        <v>6.57</v>
      </c>
      <c r="N314" s="148">
        <v>8.33</v>
      </c>
      <c r="O314" s="148">
        <v>99.96</v>
      </c>
      <c r="P314" s="494"/>
      <c r="Q314" s="148">
        <f t="shared" si="112"/>
        <v>0</v>
      </c>
      <c r="R314" s="148"/>
      <c r="S314" s="148">
        <f t="shared" si="115"/>
        <v>0</v>
      </c>
      <c r="T314" s="148">
        <f t="shared" si="113"/>
        <v>12</v>
      </c>
      <c r="U314" s="148">
        <f t="shared" si="114"/>
        <v>99.96</v>
      </c>
      <c r="V314" s="379"/>
      <c r="W314" s="379"/>
      <c r="X314" s="28" t="e">
        <f>IF(B314&lt;&gt;0,VLOOKUP(B314,#REF!,4,FALSE),"")</f>
        <v>#REF!</v>
      </c>
      <c r="Y314" s="347" t="s">
        <v>1851</v>
      </c>
      <c r="Z314" s="334">
        <f t="shared" si="102"/>
        <v>70.788000000000011</v>
      </c>
      <c r="AA314" s="28"/>
      <c r="AB314" s="23" t="e">
        <f>IF(B314&lt;&gt;0,VLOOKUP(B314,#REF!,2,FALSE),"")</f>
        <v>#REF!</v>
      </c>
    </row>
    <row r="315" spans="1:28" ht="45">
      <c r="A315" s="19" t="s">
        <v>845</v>
      </c>
      <c r="B315" s="20">
        <v>89497</v>
      </c>
      <c r="C315" s="19" t="s">
        <v>1589</v>
      </c>
      <c r="D315" s="21" t="s">
        <v>12</v>
      </c>
      <c r="E315" s="21" t="s">
        <v>17</v>
      </c>
      <c r="F315" s="22">
        <v>3</v>
      </c>
      <c r="G315" s="22">
        <f t="shared" si="100"/>
        <v>8.5084999999999997</v>
      </c>
      <c r="H315" s="22">
        <f t="shared" si="110"/>
        <v>10.79</v>
      </c>
      <c r="I315" s="147">
        <f t="shared" si="111"/>
        <v>32.369999999999997</v>
      </c>
      <c r="J315" s="148"/>
      <c r="K315" s="148"/>
      <c r="L315" s="148"/>
      <c r="M315" s="148">
        <v>9.48</v>
      </c>
      <c r="N315" s="148">
        <v>12.02</v>
      </c>
      <c r="O315" s="148">
        <v>36.06</v>
      </c>
      <c r="P315" s="494"/>
      <c r="Q315" s="148">
        <f t="shared" si="112"/>
        <v>0</v>
      </c>
      <c r="R315" s="148"/>
      <c r="S315" s="148">
        <f t="shared" si="115"/>
        <v>0</v>
      </c>
      <c r="T315" s="148">
        <f t="shared" si="113"/>
        <v>3</v>
      </c>
      <c r="U315" s="148">
        <f t="shared" si="114"/>
        <v>36.06</v>
      </c>
      <c r="V315" s="379"/>
      <c r="W315" s="379"/>
      <c r="X315" s="28" t="e">
        <f>IF(B315&lt;&gt;0,VLOOKUP(B315,#REF!,4,FALSE),"")</f>
        <v>#REF!</v>
      </c>
      <c r="Y315" s="347" t="s">
        <v>1907</v>
      </c>
      <c r="Z315" s="334">
        <f t="shared" si="102"/>
        <v>25.525500000000001</v>
      </c>
      <c r="AA315" s="28"/>
      <c r="AB315" s="23" t="e">
        <f>IF(B315&lt;&gt;0,VLOOKUP(B315,#REF!,2,FALSE),"")</f>
        <v>#REF!</v>
      </c>
    </row>
    <row r="316" spans="1:28" ht="45">
      <c r="A316" s="19" t="s">
        <v>846</v>
      </c>
      <c r="B316" s="20">
        <v>89501</v>
      </c>
      <c r="C316" s="19" t="s">
        <v>1590</v>
      </c>
      <c r="D316" s="21" t="s">
        <v>12</v>
      </c>
      <c r="E316" s="21" t="s">
        <v>17</v>
      </c>
      <c r="F316" s="22">
        <v>3</v>
      </c>
      <c r="G316" s="22">
        <f t="shared" si="100"/>
        <v>10.1065</v>
      </c>
      <c r="H316" s="22">
        <f t="shared" si="110"/>
        <v>12.82</v>
      </c>
      <c r="I316" s="147">
        <f t="shared" si="111"/>
        <v>38.46</v>
      </c>
      <c r="J316" s="148"/>
      <c r="K316" s="148"/>
      <c r="L316" s="148"/>
      <c r="M316" s="148">
        <v>11.26</v>
      </c>
      <c r="N316" s="148">
        <v>14.28</v>
      </c>
      <c r="O316" s="148">
        <v>42.84</v>
      </c>
      <c r="P316" s="494"/>
      <c r="Q316" s="148">
        <f t="shared" si="112"/>
        <v>0</v>
      </c>
      <c r="R316" s="148"/>
      <c r="S316" s="148">
        <f t="shared" si="115"/>
        <v>0</v>
      </c>
      <c r="T316" s="148">
        <f t="shared" si="113"/>
        <v>3</v>
      </c>
      <c r="U316" s="148">
        <f t="shared" si="114"/>
        <v>42.84</v>
      </c>
      <c r="V316" s="379"/>
      <c r="W316" s="379"/>
      <c r="X316" s="28" t="e">
        <f>IF(B316&lt;&gt;0,VLOOKUP(B316,#REF!,4,FALSE),"")</f>
        <v>#REF!</v>
      </c>
      <c r="Y316" s="347" t="s">
        <v>1872</v>
      </c>
      <c r="Z316" s="334">
        <f t="shared" si="102"/>
        <v>30.319500000000001</v>
      </c>
      <c r="AA316" s="28"/>
      <c r="AB316" s="23" t="e">
        <f>IF(B316&lt;&gt;0,VLOOKUP(B316,#REF!,2,FALSE),"")</f>
        <v>#REF!</v>
      </c>
    </row>
    <row r="317" spans="1:28" ht="45">
      <c r="A317" s="19" t="s">
        <v>847</v>
      </c>
      <c r="B317" s="20">
        <v>89513</v>
      </c>
      <c r="C317" s="19" t="s">
        <v>1591</v>
      </c>
      <c r="D317" s="21" t="s">
        <v>12</v>
      </c>
      <c r="E317" s="21" t="s">
        <v>17</v>
      </c>
      <c r="F317" s="22">
        <v>4</v>
      </c>
      <c r="G317" s="22">
        <f t="shared" si="100"/>
        <v>93.848500000000001</v>
      </c>
      <c r="H317" s="22">
        <f t="shared" si="110"/>
        <v>119.01</v>
      </c>
      <c r="I317" s="147">
        <f t="shared" si="111"/>
        <v>476.04</v>
      </c>
      <c r="J317" s="148"/>
      <c r="K317" s="148"/>
      <c r="L317" s="148"/>
      <c r="M317" s="148">
        <v>104.55</v>
      </c>
      <c r="N317" s="148">
        <v>132.58000000000001</v>
      </c>
      <c r="O317" s="148">
        <v>530.32000000000005</v>
      </c>
      <c r="P317" s="494"/>
      <c r="Q317" s="148">
        <f t="shared" si="112"/>
        <v>0</v>
      </c>
      <c r="R317" s="148"/>
      <c r="S317" s="148">
        <f t="shared" si="115"/>
        <v>0</v>
      </c>
      <c r="T317" s="148">
        <f t="shared" si="113"/>
        <v>4</v>
      </c>
      <c r="U317" s="148">
        <f t="shared" si="114"/>
        <v>530.32000000000005</v>
      </c>
      <c r="V317" s="379"/>
      <c r="W317" s="379"/>
      <c r="X317" s="28" t="e">
        <f>IF(B317&lt;&gt;0,VLOOKUP(B317,#REF!,4,FALSE),"")</f>
        <v>#REF!</v>
      </c>
      <c r="Y317" s="347" t="s">
        <v>3280</v>
      </c>
      <c r="Z317" s="334">
        <f t="shared" si="102"/>
        <v>375.39400000000001</v>
      </c>
      <c r="AA317" s="28"/>
      <c r="AB317" s="23" t="e">
        <f>IF(B317&lt;&gt;0,VLOOKUP(B317,#REF!,2,FALSE),"")</f>
        <v>#REF!</v>
      </c>
    </row>
    <row r="318" spans="1:28" ht="45">
      <c r="A318" s="19" t="s">
        <v>848</v>
      </c>
      <c r="B318" s="20">
        <v>89409</v>
      </c>
      <c r="C318" s="19" t="s">
        <v>1592</v>
      </c>
      <c r="D318" s="21" t="s">
        <v>12</v>
      </c>
      <c r="E318" s="21" t="s">
        <v>17</v>
      </c>
      <c r="F318" s="22">
        <v>73</v>
      </c>
      <c r="G318" s="22">
        <f t="shared" si="100"/>
        <v>4.5389999999999997</v>
      </c>
      <c r="H318" s="22">
        <f t="shared" si="110"/>
        <v>5.76</v>
      </c>
      <c r="I318" s="147">
        <f t="shared" si="111"/>
        <v>420.48</v>
      </c>
      <c r="J318" s="148"/>
      <c r="K318" s="148"/>
      <c r="L318" s="148"/>
      <c r="M318" s="148">
        <v>5.0599999999999996</v>
      </c>
      <c r="N318" s="148">
        <v>6.42</v>
      </c>
      <c r="O318" s="148">
        <v>468.66</v>
      </c>
      <c r="P318" s="494"/>
      <c r="Q318" s="148">
        <f t="shared" si="112"/>
        <v>0</v>
      </c>
      <c r="R318" s="148"/>
      <c r="S318" s="148">
        <f t="shared" si="115"/>
        <v>0</v>
      </c>
      <c r="T318" s="148">
        <f t="shared" si="113"/>
        <v>73</v>
      </c>
      <c r="U318" s="148">
        <f t="shared" si="114"/>
        <v>468.66</v>
      </c>
      <c r="V318" s="379"/>
      <c r="W318" s="379"/>
      <c r="X318" s="28" t="e">
        <f>IF(B318&lt;&gt;0,VLOOKUP(B318,#REF!,4,FALSE),"")</f>
        <v>#REF!</v>
      </c>
      <c r="Y318" s="347" t="s">
        <v>3113</v>
      </c>
      <c r="Z318" s="334">
        <f t="shared" si="102"/>
        <v>331.34699999999998</v>
      </c>
      <c r="AA318" s="28"/>
      <c r="AB318" s="23" t="e">
        <f>IF(B318&lt;&gt;0,VLOOKUP(B318,#REF!,2,FALSE),"")</f>
        <v>#REF!</v>
      </c>
    </row>
    <row r="319" spans="1:28" ht="45">
      <c r="A319" s="19" t="s">
        <v>849</v>
      </c>
      <c r="B319" s="20">
        <v>89440</v>
      </c>
      <c r="C319" s="19" t="s">
        <v>1593</v>
      </c>
      <c r="D319" s="21" t="s">
        <v>12</v>
      </c>
      <c r="E319" s="21" t="s">
        <v>17</v>
      </c>
      <c r="F319" s="22">
        <v>24</v>
      </c>
      <c r="G319" s="22">
        <f t="shared" si="100"/>
        <v>5.5419999999999998</v>
      </c>
      <c r="H319" s="22">
        <f t="shared" si="110"/>
        <v>7.03</v>
      </c>
      <c r="I319" s="147">
        <f t="shared" si="111"/>
        <v>168.72</v>
      </c>
      <c r="J319" s="148"/>
      <c r="K319" s="148"/>
      <c r="L319" s="148"/>
      <c r="M319" s="148">
        <v>6.17</v>
      </c>
      <c r="N319" s="148">
        <v>7.82</v>
      </c>
      <c r="O319" s="148">
        <v>187.68</v>
      </c>
      <c r="P319" s="494"/>
      <c r="Q319" s="148">
        <f t="shared" si="112"/>
        <v>0</v>
      </c>
      <c r="R319" s="148"/>
      <c r="S319" s="148">
        <f t="shared" si="115"/>
        <v>0</v>
      </c>
      <c r="T319" s="148">
        <f t="shared" si="113"/>
        <v>24</v>
      </c>
      <c r="U319" s="148">
        <f t="shared" si="114"/>
        <v>187.68</v>
      </c>
      <c r="V319" s="379"/>
      <c r="W319" s="379"/>
      <c r="X319" s="28" t="e">
        <f>IF(B319&lt;&gt;0,VLOOKUP(B319,#REF!,4,FALSE),"")</f>
        <v>#REF!</v>
      </c>
      <c r="Y319" s="347" t="s">
        <v>3112</v>
      </c>
      <c r="Z319" s="334">
        <f t="shared" si="102"/>
        <v>133.00799999999998</v>
      </c>
      <c r="AA319" s="28"/>
      <c r="AB319" s="23" t="e">
        <f>IF(B319&lt;&gt;0,VLOOKUP(B319,#REF!,2,FALSE),"")</f>
        <v>#REF!</v>
      </c>
    </row>
    <row r="320" spans="1:28" ht="45">
      <c r="A320" s="19" t="s">
        <v>850</v>
      </c>
      <c r="B320" s="20">
        <v>89443</v>
      </c>
      <c r="C320" s="19" t="s">
        <v>1594</v>
      </c>
      <c r="D320" s="21" t="s">
        <v>12</v>
      </c>
      <c r="E320" s="21" t="s">
        <v>17</v>
      </c>
      <c r="F320" s="22">
        <v>4</v>
      </c>
      <c r="G320" s="22">
        <f t="shared" si="100"/>
        <v>9.2565000000000008</v>
      </c>
      <c r="H320" s="22">
        <f t="shared" si="110"/>
        <v>11.74</v>
      </c>
      <c r="I320" s="147">
        <f t="shared" si="111"/>
        <v>46.96</v>
      </c>
      <c r="J320" s="148"/>
      <c r="K320" s="148"/>
      <c r="L320" s="148"/>
      <c r="M320" s="148">
        <v>10.31</v>
      </c>
      <c r="N320" s="148">
        <v>13.07</v>
      </c>
      <c r="O320" s="148">
        <v>52.28</v>
      </c>
      <c r="P320" s="494"/>
      <c r="Q320" s="148">
        <f t="shared" si="112"/>
        <v>0</v>
      </c>
      <c r="R320" s="148"/>
      <c r="S320" s="148">
        <f t="shared" si="115"/>
        <v>0</v>
      </c>
      <c r="T320" s="148">
        <f t="shared" si="113"/>
        <v>4</v>
      </c>
      <c r="U320" s="148">
        <f t="shared" si="114"/>
        <v>52.28</v>
      </c>
      <c r="V320" s="379"/>
      <c r="W320" s="379"/>
      <c r="X320" s="28" t="e">
        <f>IF(B320&lt;&gt;0,VLOOKUP(B320,#REF!,4,FALSE),"")</f>
        <v>#REF!</v>
      </c>
      <c r="Y320" s="347" t="s">
        <v>3111</v>
      </c>
      <c r="Z320" s="334">
        <f t="shared" si="102"/>
        <v>37.026000000000003</v>
      </c>
      <c r="AA320" s="28"/>
      <c r="AB320" s="23" t="e">
        <f>IF(B320&lt;&gt;0,VLOOKUP(B320,#REF!,2,FALSE),"")</f>
        <v>#REF!</v>
      </c>
    </row>
    <row r="321" spans="1:28" ht="45">
      <c r="A321" s="19" t="s">
        <v>851</v>
      </c>
      <c r="B321" s="20">
        <v>89625</v>
      </c>
      <c r="C321" s="19" t="s">
        <v>1595</v>
      </c>
      <c r="D321" s="21" t="s">
        <v>12</v>
      </c>
      <c r="E321" s="21" t="s">
        <v>17</v>
      </c>
      <c r="F321" s="22">
        <v>3</v>
      </c>
      <c r="G321" s="22">
        <f t="shared" si="100"/>
        <v>16.234999999999999</v>
      </c>
      <c r="H321" s="22">
        <f t="shared" si="110"/>
        <v>20.59</v>
      </c>
      <c r="I321" s="147">
        <f t="shared" si="111"/>
        <v>61.77</v>
      </c>
      <c r="J321" s="148"/>
      <c r="K321" s="148"/>
      <c r="L321" s="148"/>
      <c r="M321" s="148">
        <v>18.09</v>
      </c>
      <c r="N321" s="148">
        <v>22.94</v>
      </c>
      <c r="O321" s="148">
        <v>68.819999999999993</v>
      </c>
      <c r="P321" s="494"/>
      <c r="Q321" s="148">
        <f t="shared" si="112"/>
        <v>0</v>
      </c>
      <c r="R321" s="148"/>
      <c r="S321" s="148">
        <f t="shared" si="115"/>
        <v>0</v>
      </c>
      <c r="T321" s="148">
        <f t="shared" si="113"/>
        <v>3</v>
      </c>
      <c r="U321" s="148">
        <f t="shared" si="114"/>
        <v>68.819999999999993</v>
      </c>
      <c r="V321" s="379"/>
      <c r="W321" s="379"/>
      <c r="X321" s="31" t="e">
        <f>IF(B321&lt;&gt;0,VLOOKUP(B321,#REF!,4,FALSE),"")</f>
        <v>#REF!</v>
      </c>
      <c r="Y321" s="346" t="s">
        <v>3233</v>
      </c>
      <c r="Z321" s="334">
        <f t="shared" si="102"/>
        <v>48.704999999999998</v>
      </c>
      <c r="AA321" s="31"/>
      <c r="AB321" s="32" t="e">
        <f>IF(B321&lt;&gt;0,VLOOKUP(B321,#REF!,2,FALSE),"")</f>
        <v>#REF!</v>
      </c>
    </row>
    <row r="322" spans="1:28" s="23" customFormat="1" ht="60">
      <c r="A322" s="19" t="s">
        <v>852</v>
      </c>
      <c r="B322" s="21" t="s">
        <v>2105</v>
      </c>
      <c r="C322" s="19" t="s">
        <v>1596</v>
      </c>
      <c r="D322" s="21" t="s">
        <v>1914</v>
      </c>
      <c r="E322" s="21" t="s">
        <v>17</v>
      </c>
      <c r="F322" s="22">
        <v>10</v>
      </c>
      <c r="G322" s="22">
        <f t="shared" si="100"/>
        <v>11.135</v>
      </c>
      <c r="H322" s="22">
        <f t="shared" si="110"/>
        <v>14.12</v>
      </c>
      <c r="I322" s="147">
        <f t="shared" si="111"/>
        <v>141.19999999999999</v>
      </c>
      <c r="J322" s="148"/>
      <c r="K322" s="148"/>
      <c r="L322" s="148"/>
      <c r="M322" s="148">
        <v>12.4</v>
      </c>
      <c r="N322" s="148">
        <v>15.72</v>
      </c>
      <c r="O322" s="148">
        <v>157.19999999999999</v>
      </c>
      <c r="P322" s="494"/>
      <c r="Q322" s="148">
        <f t="shared" si="112"/>
        <v>0</v>
      </c>
      <c r="R322" s="148"/>
      <c r="S322" s="148">
        <f t="shared" si="115"/>
        <v>0</v>
      </c>
      <c r="T322" s="148">
        <f t="shared" si="113"/>
        <v>10</v>
      </c>
      <c r="U322" s="148">
        <f t="shared" si="114"/>
        <v>157.19999999999999</v>
      </c>
      <c r="V322" s="379"/>
      <c r="W322" s="379"/>
      <c r="X322" s="31">
        <f>'COMPOSIÇÃO DE CUSTOS'!G570</f>
        <v>11.13</v>
      </c>
      <c r="Y322" s="346">
        <v>13.1</v>
      </c>
      <c r="Z322" s="334">
        <f t="shared" si="102"/>
        <v>111.35</v>
      </c>
      <c r="AA322" s="31"/>
    </row>
    <row r="323" spans="1:28" ht="60">
      <c r="A323" s="19" t="s">
        <v>853</v>
      </c>
      <c r="B323" s="21" t="s">
        <v>2108</v>
      </c>
      <c r="C323" s="19" t="s">
        <v>1597</v>
      </c>
      <c r="D323" s="21" t="s">
        <v>1914</v>
      </c>
      <c r="E323" s="21" t="s">
        <v>17</v>
      </c>
      <c r="F323" s="22">
        <v>4</v>
      </c>
      <c r="G323" s="22">
        <f t="shared" si="100"/>
        <v>14.773</v>
      </c>
      <c r="H323" s="22">
        <f t="shared" si="110"/>
        <v>18.73</v>
      </c>
      <c r="I323" s="147">
        <f t="shared" si="111"/>
        <v>74.92</v>
      </c>
      <c r="J323" s="148"/>
      <c r="K323" s="148"/>
      <c r="L323" s="148"/>
      <c r="M323" s="148">
        <v>16.46</v>
      </c>
      <c r="N323" s="148">
        <v>20.87</v>
      </c>
      <c r="O323" s="148">
        <v>83.48</v>
      </c>
      <c r="P323" s="494"/>
      <c r="Q323" s="148">
        <f t="shared" si="112"/>
        <v>0</v>
      </c>
      <c r="R323" s="148"/>
      <c r="S323" s="148">
        <f t="shared" si="115"/>
        <v>0</v>
      </c>
      <c r="T323" s="148">
        <f t="shared" ref="T323:T354" si="116">F323+P323-R323</f>
        <v>4</v>
      </c>
      <c r="U323" s="148">
        <f t="shared" si="114"/>
        <v>83.48</v>
      </c>
      <c r="V323" s="379"/>
      <c r="W323" s="379"/>
      <c r="X323" s="31">
        <f>'COMPOSIÇÃO DE CUSTOS'!G580</f>
        <v>14.76</v>
      </c>
      <c r="Y323" s="346">
        <v>17.38</v>
      </c>
      <c r="Z323" s="334">
        <f t="shared" si="102"/>
        <v>59.091999999999999</v>
      </c>
      <c r="AA323" s="31"/>
      <c r="AB323" s="23"/>
    </row>
    <row r="324" spans="1:28" ht="60">
      <c r="A324" s="19" t="s">
        <v>854</v>
      </c>
      <c r="B324" s="21" t="s">
        <v>2109</v>
      </c>
      <c r="C324" s="19" t="s">
        <v>1598</v>
      </c>
      <c r="D324" s="21" t="s">
        <v>1914</v>
      </c>
      <c r="E324" s="21" t="s">
        <v>17</v>
      </c>
      <c r="F324" s="22">
        <v>6</v>
      </c>
      <c r="G324" s="22">
        <f t="shared" si="100"/>
        <v>22.057500000000001</v>
      </c>
      <c r="H324" s="22">
        <f t="shared" si="110"/>
        <v>27.97</v>
      </c>
      <c r="I324" s="147">
        <f t="shared" si="111"/>
        <v>167.82</v>
      </c>
      <c r="J324" s="148"/>
      <c r="K324" s="148"/>
      <c r="L324" s="148"/>
      <c r="M324" s="148">
        <v>24.57</v>
      </c>
      <c r="N324" s="148">
        <v>31.16</v>
      </c>
      <c r="O324" s="148">
        <v>186.96</v>
      </c>
      <c r="P324" s="494"/>
      <c r="Q324" s="148">
        <f t="shared" si="112"/>
        <v>0</v>
      </c>
      <c r="R324" s="148"/>
      <c r="S324" s="148">
        <f t="shared" si="115"/>
        <v>0</v>
      </c>
      <c r="T324" s="148">
        <f t="shared" si="116"/>
        <v>6</v>
      </c>
      <c r="U324" s="148">
        <f t="shared" si="114"/>
        <v>186.96</v>
      </c>
      <c r="V324" s="379"/>
      <c r="W324" s="379"/>
      <c r="X324" s="33">
        <f>'COMPOSIÇÃO DE CUSTOS'!G590</f>
        <v>22.05</v>
      </c>
      <c r="Y324" s="337">
        <v>25.95</v>
      </c>
      <c r="Z324" s="334">
        <f t="shared" si="102"/>
        <v>132.345</v>
      </c>
      <c r="AA324" s="33"/>
      <c r="AB324" s="30"/>
    </row>
    <row r="325" spans="1:28" s="23" customFormat="1" ht="15" customHeight="1">
      <c r="A325" s="229" t="s">
        <v>855</v>
      </c>
      <c r="B325" s="229"/>
      <c r="C325" s="229" t="s">
        <v>124</v>
      </c>
      <c r="D325" s="230"/>
      <c r="E325" s="230"/>
      <c r="F325" s="230"/>
      <c r="G325" s="22"/>
      <c r="H325" s="230"/>
      <c r="I325" s="445"/>
      <c r="J325" s="440"/>
      <c r="K325" s="440"/>
      <c r="L325" s="440"/>
      <c r="M325" s="440"/>
      <c r="N325" s="440"/>
      <c r="O325" s="440"/>
      <c r="P325" s="492"/>
      <c r="Q325" s="440"/>
      <c r="R325" s="440"/>
      <c r="S325" s="440"/>
      <c r="T325" s="148"/>
      <c r="U325" s="148"/>
      <c r="V325" s="330"/>
      <c r="W325" s="330"/>
      <c r="X325" s="32"/>
      <c r="Y325" s="346"/>
      <c r="Z325" s="334">
        <f t="shared" si="102"/>
        <v>0</v>
      </c>
      <c r="AA325" s="32"/>
      <c r="AB325" s="32"/>
    </row>
    <row r="326" spans="1:28" s="55" customFormat="1" ht="75">
      <c r="A326" s="19" t="s">
        <v>856</v>
      </c>
      <c r="B326" s="20">
        <v>86888</v>
      </c>
      <c r="C326" s="19" t="s">
        <v>125</v>
      </c>
      <c r="D326" s="21" t="s">
        <v>1914</v>
      </c>
      <c r="E326" s="21" t="s">
        <v>17</v>
      </c>
      <c r="F326" s="22">
        <f>18+12+5</f>
        <v>35</v>
      </c>
      <c r="G326" s="22">
        <f t="shared" si="100"/>
        <v>871.65800000000002</v>
      </c>
      <c r="H326" s="22">
        <f t="shared" ref="H326:H341" si="117">ROUND(G326*(1+$X$14),2)</f>
        <v>1105.3499999999999</v>
      </c>
      <c r="I326" s="147">
        <f t="shared" ref="I326:I341" si="118">ROUND(H326*F326,2)</f>
        <v>38687.25</v>
      </c>
      <c r="J326" s="148"/>
      <c r="K326" s="148"/>
      <c r="L326" s="148"/>
      <c r="M326" s="148">
        <v>832.64</v>
      </c>
      <c r="N326" s="148">
        <v>1055.8699999999999</v>
      </c>
      <c r="O326" s="148">
        <v>36955.449999999997</v>
      </c>
      <c r="P326" s="494"/>
      <c r="Q326" s="148">
        <f t="shared" si="112"/>
        <v>0</v>
      </c>
      <c r="R326" s="148"/>
      <c r="S326" s="148">
        <f t="shared" ref="S326:S341" si="119">ROUND(R326*P326,2)</f>
        <v>0</v>
      </c>
      <c r="T326" s="148">
        <f t="shared" si="116"/>
        <v>35</v>
      </c>
      <c r="U326" s="148">
        <f t="shared" si="114"/>
        <v>36955.449999999997</v>
      </c>
      <c r="V326" s="379"/>
      <c r="W326" s="379"/>
      <c r="X326" s="57">
        <f>'COMPOSIÇÃO DE CUSTOS'!G602</f>
        <v>871.66</v>
      </c>
      <c r="Y326" s="334">
        <v>1025.48</v>
      </c>
      <c r="Z326" s="334">
        <f t="shared" si="102"/>
        <v>30508.03</v>
      </c>
      <c r="AA326" s="57"/>
      <c r="AB326" s="58"/>
    </row>
    <row r="327" spans="1:28" ht="45">
      <c r="A327" s="19" t="s">
        <v>857</v>
      </c>
      <c r="B327" s="20">
        <v>95547</v>
      </c>
      <c r="C327" s="19" t="s">
        <v>1599</v>
      </c>
      <c r="D327" s="21" t="s">
        <v>12</v>
      </c>
      <c r="E327" s="21" t="s">
        <v>17</v>
      </c>
      <c r="F327" s="22">
        <v>20</v>
      </c>
      <c r="G327" s="22">
        <f t="shared" ref="G327:G391" si="120">Y327-(Y327*$Y$15)</f>
        <v>48.152500000000003</v>
      </c>
      <c r="H327" s="22">
        <f t="shared" si="117"/>
        <v>61.06</v>
      </c>
      <c r="I327" s="147">
        <f t="shared" si="118"/>
        <v>1221.2</v>
      </c>
      <c r="J327" s="148"/>
      <c r="K327" s="148"/>
      <c r="L327" s="148"/>
      <c r="M327" s="148">
        <v>53.64</v>
      </c>
      <c r="N327" s="148">
        <v>68.02</v>
      </c>
      <c r="O327" s="148">
        <v>1360.4</v>
      </c>
      <c r="P327" s="494"/>
      <c r="Q327" s="148">
        <f t="shared" si="112"/>
        <v>0</v>
      </c>
      <c r="R327" s="148"/>
      <c r="S327" s="148">
        <f t="shared" si="119"/>
        <v>0</v>
      </c>
      <c r="T327" s="148">
        <f t="shared" si="116"/>
        <v>20</v>
      </c>
      <c r="U327" s="148">
        <f t="shared" si="114"/>
        <v>1360.4</v>
      </c>
      <c r="V327" s="379"/>
      <c r="W327" s="379"/>
      <c r="X327" s="33" t="e">
        <f>IF(B327&lt;&gt;0,VLOOKUP(B327,#REF!,4,FALSE),"")</f>
        <v>#REF!</v>
      </c>
      <c r="Y327" s="337" t="s">
        <v>3175</v>
      </c>
      <c r="Z327" s="334">
        <f t="shared" ref="Z327:Z391" si="121">F327*G327</f>
        <v>963.05000000000007</v>
      </c>
      <c r="AA327" s="33"/>
      <c r="AB327" s="30" t="e">
        <f>IF(B327&lt;&gt;0,VLOOKUP(B327,#REF!,2,FALSE),"")</f>
        <v>#REF!</v>
      </c>
    </row>
    <row r="328" spans="1:28" ht="45">
      <c r="A328" s="19" t="s">
        <v>858</v>
      </c>
      <c r="B328" s="20">
        <v>95542</v>
      </c>
      <c r="C328" s="19" t="s">
        <v>126</v>
      </c>
      <c r="D328" s="21" t="s">
        <v>12</v>
      </c>
      <c r="E328" s="21" t="s">
        <v>17</v>
      </c>
      <c r="F328" s="22">
        <v>20</v>
      </c>
      <c r="G328" s="22">
        <f t="shared" si="120"/>
        <v>40.392000000000003</v>
      </c>
      <c r="H328" s="22">
        <f t="shared" si="117"/>
        <v>51.22</v>
      </c>
      <c r="I328" s="147">
        <f t="shared" si="118"/>
        <v>1024.4000000000001</v>
      </c>
      <c r="J328" s="148"/>
      <c r="K328" s="148"/>
      <c r="L328" s="148"/>
      <c r="M328" s="148">
        <v>45</v>
      </c>
      <c r="N328" s="148">
        <v>57.06</v>
      </c>
      <c r="O328" s="148">
        <v>1141.2</v>
      </c>
      <c r="P328" s="494"/>
      <c r="Q328" s="148">
        <f t="shared" si="112"/>
        <v>0</v>
      </c>
      <c r="R328" s="148"/>
      <c r="S328" s="148">
        <f t="shared" si="119"/>
        <v>0</v>
      </c>
      <c r="T328" s="148">
        <f t="shared" si="116"/>
        <v>20</v>
      </c>
      <c r="U328" s="148">
        <f t="shared" si="114"/>
        <v>1141.2</v>
      </c>
      <c r="V328" s="379"/>
      <c r="W328" s="379"/>
      <c r="X328" s="33" t="e">
        <f>IF(B328&lt;&gt;0,VLOOKUP(B328,#REF!,4,FALSE),"")</f>
        <v>#REF!</v>
      </c>
      <c r="Y328" s="337" t="s">
        <v>3107</v>
      </c>
      <c r="Z328" s="334">
        <f t="shared" si="121"/>
        <v>807.84</v>
      </c>
      <c r="AA328" s="33"/>
      <c r="AB328" s="30" t="e">
        <f>IF(B328&lt;&gt;0,VLOOKUP(B328,#REF!,2,FALSE),"")</f>
        <v>#REF!</v>
      </c>
    </row>
    <row r="329" spans="1:28" ht="45">
      <c r="A329" s="449" t="s">
        <v>859</v>
      </c>
      <c r="B329" s="448">
        <v>86895</v>
      </c>
      <c r="C329" s="449" t="s">
        <v>1600</v>
      </c>
      <c r="D329" s="447" t="s">
        <v>1914</v>
      </c>
      <c r="E329" s="447" t="s">
        <v>17</v>
      </c>
      <c r="F329" s="450">
        <v>20</v>
      </c>
      <c r="G329" s="450">
        <f t="shared" si="120"/>
        <v>804.54200000000003</v>
      </c>
      <c r="H329" s="450">
        <f t="shared" si="117"/>
        <v>1020.24</v>
      </c>
      <c r="I329" s="451">
        <f t="shared" si="118"/>
        <v>20404.8</v>
      </c>
      <c r="J329" s="452"/>
      <c r="K329" s="452"/>
      <c r="L329" s="452"/>
      <c r="M329" s="452">
        <v>896.27</v>
      </c>
      <c r="N329" s="452">
        <v>1136.56</v>
      </c>
      <c r="O329" s="452">
        <v>22731.200000000001</v>
      </c>
      <c r="P329" s="493">
        <v>7</v>
      </c>
      <c r="Q329" s="452">
        <f t="shared" si="112"/>
        <v>7955.92</v>
      </c>
      <c r="R329" s="452"/>
      <c r="S329" s="452">
        <f t="shared" si="119"/>
        <v>0</v>
      </c>
      <c r="T329" s="452">
        <f t="shared" si="116"/>
        <v>27</v>
      </c>
      <c r="U329" s="452">
        <f t="shared" si="114"/>
        <v>30687.120000000003</v>
      </c>
      <c r="V329" s="379"/>
      <c r="W329" s="379"/>
      <c r="X329" s="33">
        <f>'COMPOSIÇÃO DE CUSTOS'!G614</f>
        <v>804.55</v>
      </c>
      <c r="Y329" s="337">
        <v>946.52</v>
      </c>
      <c r="Z329" s="334">
        <f t="shared" si="121"/>
        <v>16090.84</v>
      </c>
      <c r="AA329" s="33"/>
      <c r="AB329" s="30"/>
    </row>
    <row r="330" spans="1:28" ht="30">
      <c r="A330" s="449" t="s">
        <v>860</v>
      </c>
      <c r="B330" s="447" t="s">
        <v>127</v>
      </c>
      <c r="C330" s="449" t="s">
        <v>128</v>
      </c>
      <c r="D330" s="447" t="s">
        <v>70</v>
      </c>
      <c r="E330" s="447" t="s">
        <v>17</v>
      </c>
      <c r="F330" s="450">
        <v>11</v>
      </c>
      <c r="G330" s="450">
        <f t="shared" si="120"/>
        <v>514.70049999999992</v>
      </c>
      <c r="H330" s="450">
        <f t="shared" si="117"/>
        <v>652.69000000000005</v>
      </c>
      <c r="I330" s="451">
        <f t="shared" si="118"/>
        <v>7179.59</v>
      </c>
      <c r="J330" s="452"/>
      <c r="K330" s="452"/>
      <c r="L330" s="452"/>
      <c r="M330" s="452">
        <v>573.38</v>
      </c>
      <c r="N330" s="452">
        <v>727.1</v>
      </c>
      <c r="O330" s="452">
        <v>7998.1</v>
      </c>
      <c r="P330" s="493"/>
      <c r="Q330" s="452">
        <f t="shared" si="112"/>
        <v>0</v>
      </c>
      <c r="R330" s="452">
        <v>5</v>
      </c>
      <c r="S330" s="452">
        <f>ROUND(R330*N330,2)</f>
        <v>3635.5</v>
      </c>
      <c r="T330" s="452">
        <f t="shared" si="116"/>
        <v>6</v>
      </c>
      <c r="U330" s="452">
        <f t="shared" si="114"/>
        <v>4362.6000000000004</v>
      </c>
      <c r="V330" s="379"/>
      <c r="W330" s="379"/>
      <c r="X330" s="33">
        <f>'COMPOSIÇÃO DE CUSTOS'!G628</f>
        <v>514.71</v>
      </c>
      <c r="Y330" s="337">
        <v>605.53</v>
      </c>
      <c r="Z330" s="334">
        <f t="shared" si="121"/>
        <v>5661.7054999999991</v>
      </c>
      <c r="AA330" s="33"/>
      <c r="AB330" s="30"/>
    </row>
    <row r="331" spans="1:28" ht="30">
      <c r="A331" s="449" t="s">
        <v>861</v>
      </c>
      <c r="B331" s="448">
        <v>36796</v>
      </c>
      <c r="C331" s="449" t="s">
        <v>4019</v>
      </c>
      <c r="D331" s="447" t="s">
        <v>12</v>
      </c>
      <c r="E331" s="447" t="s">
        <v>17</v>
      </c>
      <c r="F331" s="450">
        <v>31</v>
      </c>
      <c r="G331" s="450">
        <f t="shared" si="120"/>
        <v>155.66899999999998</v>
      </c>
      <c r="H331" s="450">
        <f t="shared" si="117"/>
        <v>197.4</v>
      </c>
      <c r="I331" s="451">
        <f t="shared" si="118"/>
        <v>6119.4</v>
      </c>
      <c r="J331" s="452"/>
      <c r="K331" s="452"/>
      <c r="L331" s="452"/>
      <c r="M331" s="452">
        <v>173.42</v>
      </c>
      <c r="N331" s="452">
        <v>219.91</v>
      </c>
      <c r="O331" s="452">
        <v>6817.21</v>
      </c>
      <c r="P331" s="493">
        <v>2</v>
      </c>
      <c r="Q331" s="452">
        <f t="shared" si="112"/>
        <v>439.82</v>
      </c>
      <c r="R331" s="452"/>
      <c r="S331" s="452">
        <f t="shared" si="119"/>
        <v>0</v>
      </c>
      <c r="T331" s="452">
        <f t="shared" si="116"/>
        <v>33</v>
      </c>
      <c r="U331" s="452">
        <f t="shared" si="114"/>
        <v>7257.03</v>
      </c>
      <c r="V331" s="379"/>
      <c r="W331" s="379"/>
      <c r="X331" s="33" t="e">
        <f>IF(B331&lt;&gt;0,VLOOKUP(B331,#REF!,4,FALSE),"")</f>
        <v>#REF!</v>
      </c>
      <c r="Y331" s="337" t="s">
        <v>3127</v>
      </c>
      <c r="Z331" s="334">
        <f t="shared" si="121"/>
        <v>4825.7389999999996</v>
      </c>
      <c r="AA331" s="33"/>
      <c r="AB331" s="30" t="e">
        <f>IF(B331&lt;&gt;0,VLOOKUP(B331,#REF!,2,FALSE),"")</f>
        <v>#REF!</v>
      </c>
    </row>
    <row r="332" spans="1:28" ht="30">
      <c r="A332" s="19" t="s">
        <v>862</v>
      </c>
      <c r="B332" s="20">
        <v>86881</v>
      </c>
      <c r="C332" s="19" t="s">
        <v>129</v>
      </c>
      <c r="D332" s="21" t="s">
        <v>12</v>
      </c>
      <c r="E332" s="21" t="s">
        <v>17</v>
      </c>
      <c r="F332" s="22">
        <v>8</v>
      </c>
      <c r="G332" s="22">
        <f t="shared" si="120"/>
        <v>102.02549999999999</v>
      </c>
      <c r="H332" s="22">
        <f t="shared" si="117"/>
        <v>129.38</v>
      </c>
      <c r="I332" s="147">
        <f t="shared" si="118"/>
        <v>1035.04</v>
      </c>
      <c r="J332" s="148"/>
      <c r="K332" s="148"/>
      <c r="L332" s="148"/>
      <c r="M332" s="148">
        <v>113.66</v>
      </c>
      <c r="N332" s="148">
        <v>144.13</v>
      </c>
      <c r="O332" s="148">
        <v>1153.04</v>
      </c>
      <c r="P332" s="494"/>
      <c r="Q332" s="148">
        <f t="shared" si="112"/>
        <v>0</v>
      </c>
      <c r="R332" s="148"/>
      <c r="S332" s="148">
        <f t="shared" si="119"/>
        <v>0</v>
      </c>
      <c r="T332" s="148">
        <f t="shared" si="116"/>
        <v>8</v>
      </c>
      <c r="U332" s="148">
        <f t="shared" si="114"/>
        <v>1153.04</v>
      </c>
      <c r="V332" s="379"/>
      <c r="W332" s="379"/>
      <c r="X332" s="33" t="e">
        <f>IF(B332&lt;&gt;0,VLOOKUP(B332,#REF!,4,FALSE),"")</f>
        <v>#REF!</v>
      </c>
      <c r="Y332" s="337" t="s">
        <v>3173</v>
      </c>
      <c r="Z332" s="334">
        <f t="shared" si="121"/>
        <v>816.20399999999995</v>
      </c>
      <c r="AA332" s="33"/>
      <c r="AB332" s="30" t="e">
        <f>IF(B332&lt;&gt;0,VLOOKUP(B332,#REF!,2,FALSE),"")</f>
        <v>#REF!</v>
      </c>
    </row>
    <row r="333" spans="1:28" ht="30">
      <c r="A333" s="19" t="s">
        <v>863</v>
      </c>
      <c r="B333" s="20">
        <v>86881</v>
      </c>
      <c r="C333" s="19" t="s">
        <v>1601</v>
      </c>
      <c r="D333" s="21" t="s">
        <v>12</v>
      </c>
      <c r="E333" s="21" t="s">
        <v>17</v>
      </c>
      <c r="F333" s="22">
        <v>18</v>
      </c>
      <c r="G333" s="22">
        <f t="shared" si="120"/>
        <v>102.02549999999999</v>
      </c>
      <c r="H333" s="22">
        <f t="shared" si="117"/>
        <v>129.38</v>
      </c>
      <c r="I333" s="147">
        <f t="shared" si="118"/>
        <v>2328.84</v>
      </c>
      <c r="J333" s="148"/>
      <c r="K333" s="148"/>
      <c r="L333" s="148"/>
      <c r="M333" s="148">
        <v>113.66</v>
      </c>
      <c r="N333" s="148">
        <v>144.13</v>
      </c>
      <c r="O333" s="148">
        <v>2594.34</v>
      </c>
      <c r="P333" s="494"/>
      <c r="Q333" s="148">
        <f t="shared" si="112"/>
        <v>0</v>
      </c>
      <c r="R333" s="148"/>
      <c r="S333" s="148">
        <f t="shared" si="119"/>
        <v>0</v>
      </c>
      <c r="T333" s="148">
        <f t="shared" si="116"/>
        <v>18</v>
      </c>
      <c r="U333" s="148">
        <f t="shared" si="114"/>
        <v>2594.34</v>
      </c>
      <c r="V333" s="379"/>
      <c r="W333" s="379"/>
      <c r="X333" s="33" t="e">
        <f>IF(B333&lt;&gt;0,VLOOKUP(B333,#REF!,4,FALSE),"")</f>
        <v>#REF!</v>
      </c>
      <c r="Y333" s="337" t="s">
        <v>3173</v>
      </c>
      <c r="Z333" s="334">
        <f t="shared" si="121"/>
        <v>1836.4589999999998</v>
      </c>
      <c r="AA333" s="33"/>
      <c r="AB333" s="30" t="e">
        <f>IF(B333&lt;&gt;0,VLOOKUP(B333,#REF!,2,FALSE),"")</f>
        <v>#REF!</v>
      </c>
    </row>
    <row r="334" spans="1:28" ht="45">
      <c r="A334" s="19" t="s">
        <v>864</v>
      </c>
      <c r="B334" s="20">
        <v>2024</v>
      </c>
      <c r="C334" s="19" t="s">
        <v>1991</v>
      </c>
      <c r="D334" s="21" t="s">
        <v>44</v>
      </c>
      <c r="E334" s="21" t="s">
        <v>17</v>
      </c>
      <c r="F334" s="22">
        <v>1</v>
      </c>
      <c r="G334" s="22">
        <f t="shared" si="120"/>
        <v>328.185</v>
      </c>
      <c r="H334" s="22">
        <f t="shared" si="117"/>
        <v>416.17</v>
      </c>
      <c r="I334" s="147">
        <f t="shared" si="118"/>
        <v>416.17</v>
      </c>
      <c r="J334" s="148"/>
      <c r="K334" s="148"/>
      <c r="L334" s="148"/>
      <c r="M334" s="148">
        <v>365.6</v>
      </c>
      <c r="N334" s="148">
        <v>463.62</v>
      </c>
      <c r="O334" s="148">
        <v>463.62</v>
      </c>
      <c r="P334" s="494"/>
      <c r="Q334" s="148">
        <f t="shared" si="112"/>
        <v>0</v>
      </c>
      <c r="R334" s="148"/>
      <c r="S334" s="148">
        <f t="shared" si="119"/>
        <v>0</v>
      </c>
      <c r="T334" s="148">
        <f t="shared" si="116"/>
        <v>1</v>
      </c>
      <c r="U334" s="148">
        <f t="shared" si="114"/>
        <v>463.62</v>
      </c>
      <c r="V334" s="379"/>
      <c r="W334" s="379"/>
      <c r="X334" s="33">
        <f>'COMPOSIÇÃO DE CUSTOS'!G2081</f>
        <v>328.18</v>
      </c>
      <c r="Y334" s="337">
        <v>386.1</v>
      </c>
      <c r="Z334" s="334">
        <f t="shared" si="121"/>
        <v>328.185</v>
      </c>
      <c r="AA334" s="33"/>
      <c r="AB334" s="30"/>
    </row>
    <row r="335" spans="1:28" ht="30">
      <c r="A335" s="19" t="s">
        <v>865</v>
      </c>
      <c r="B335" s="20">
        <v>95543</v>
      </c>
      <c r="C335" s="19" t="s">
        <v>1602</v>
      </c>
      <c r="D335" s="21" t="s">
        <v>12</v>
      </c>
      <c r="E335" s="21" t="s">
        <v>17</v>
      </c>
      <c r="F335" s="22">
        <v>20</v>
      </c>
      <c r="G335" s="22">
        <f t="shared" si="120"/>
        <v>65.484000000000009</v>
      </c>
      <c r="H335" s="22">
        <f t="shared" si="117"/>
        <v>83.04</v>
      </c>
      <c r="I335" s="147">
        <f t="shared" si="118"/>
        <v>1660.8</v>
      </c>
      <c r="J335" s="148"/>
      <c r="K335" s="148"/>
      <c r="L335" s="148"/>
      <c r="M335" s="148">
        <v>72.95</v>
      </c>
      <c r="N335" s="148">
        <v>92.51</v>
      </c>
      <c r="O335" s="148">
        <v>1850.2</v>
      </c>
      <c r="P335" s="494"/>
      <c r="Q335" s="148">
        <f t="shared" si="112"/>
        <v>0</v>
      </c>
      <c r="R335" s="148"/>
      <c r="S335" s="148">
        <f t="shared" si="119"/>
        <v>0</v>
      </c>
      <c r="T335" s="148">
        <f t="shared" si="116"/>
        <v>20</v>
      </c>
      <c r="U335" s="148">
        <f t="shared" si="114"/>
        <v>1850.2</v>
      </c>
      <c r="V335" s="379"/>
      <c r="W335" s="379"/>
      <c r="X335" s="33" t="e">
        <f>IF(B335&lt;&gt;0,VLOOKUP(B335,#REF!,4,FALSE),"")</f>
        <v>#REF!</v>
      </c>
      <c r="Y335" s="337" t="s">
        <v>3174</v>
      </c>
      <c r="Z335" s="334">
        <f t="shared" si="121"/>
        <v>1309.6800000000003</v>
      </c>
      <c r="AA335" s="33"/>
      <c r="AB335" s="30" t="e">
        <f>IF(B335&lt;&gt;0,VLOOKUP(B335,#REF!,2,FALSE),"")</f>
        <v>#REF!</v>
      </c>
    </row>
    <row r="336" spans="1:28">
      <c r="A336" s="19" t="s">
        <v>866</v>
      </c>
      <c r="B336" s="20">
        <v>9502</v>
      </c>
      <c r="C336" s="19" t="s">
        <v>130</v>
      </c>
      <c r="D336" s="21" t="s">
        <v>44</v>
      </c>
      <c r="E336" s="21" t="s">
        <v>17</v>
      </c>
      <c r="F336" s="22">
        <v>35</v>
      </c>
      <c r="G336" s="22">
        <f t="shared" si="120"/>
        <v>191.22450000000001</v>
      </c>
      <c r="H336" s="22">
        <f t="shared" si="117"/>
        <v>242.49</v>
      </c>
      <c r="I336" s="147">
        <f t="shared" si="118"/>
        <v>8487.15</v>
      </c>
      <c r="J336" s="148"/>
      <c r="K336" s="148"/>
      <c r="L336" s="148"/>
      <c r="M336" s="148">
        <v>213.03</v>
      </c>
      <c r="N336" s="148">
        <v>270.14</v>
      </c>
      <c r="O336" s="148">
        <v>9454.9</v>
      </c>
      <c r="P336" s="494"/>
      <c r="Q336" s="148">
        <f t="shared" si="112"/>
        <v>0</v>
      </c>
      <c r="R336" s="148"/>
      <c r="S336" s="148">
        <f t="shared" si="119"/>
        <v>0</v>
      </c>
      <c r="T336" s="148">
        <f t="shared" si="116"/>
        <v>35</v>
      </c>
      <c r="U336" s="148">
        <f t="shared" si="114"/>
        <v>9454.9</v>
      </c>
      <c r="V336" s="379"/>
      <c r="W336" s="379"/>
      <c r="X336" s="33">
        <f>'COMPOSIÇÃO DE CUSTOS'!G1862</f>
        <v>191.22</v>
      </c>
      <c r="Y336" s="337">
        <v>224.97</v>
      </c>
      <c r="Z336" s="334">
        <f t="shared" si="121"/>
        <v>6692.8575000000001</v>
      </c>
      <c r="AA336" s="33"/>
      <c r="AB336" s="30"/>
    </row>
    <row r="337" spans="1:28" ht="75">
      <c r="A337" s="19" t="s">
        <v>867</v>
      </c>
      <c r="B337" s="20">
        <v>86923</v>
      </c>
      <c r="C337" s="19" t="s">
        <v>1603</v>
      </c>
      <c r="D337" s="21" t="s">
        <v>12</v>
      </c>
      <c r="E337" s="21" t="s">
        <v>17</v>
      </c>
      <c r="F337" s="22">
        <v>2</v>
      </c>
      <c r="G337" s="22">
        <f t="shared" si="120"/>
        <v>368.51750000000004</v>
      </c>
      <c r="H337" s="22">
        <f t="shared" si="117"/>
        <v>467.32</v>
      </c>
      <c r="I337" s="147">
        <f t="shared" si="118"/>
        <v>934.64</v>
      </c>
      <c r="J337" s="148"/>
      <c r="K337" s="148"/>
      <c r="L337" s="148"/>
      <c r="M337" s="148">
        <v>410.53</v>
      </c>
      <c r="N337" s="148">
        <v>520.59</v>
      </c>
      <c r="O337" s="148">
        <v>1041.18</v>
      </c>
      <c r="P337" s="494"/>
      <c r="Q337" s="148">
        <f t="shared" si="112"/>
        <v>0</v>
      </c>
      <c r="R337" s="148"/>
      <c r="S337" s="148">
        <f t="shared" si="119"/>
        <v>0</v>
      </c>
      <c r="T337" s="148">
        <f t="shared" si="116"/>
        <v>2</v>
      </c>
      <c r="U337" s="148">
        <f t="shared" si="114"/>
        <v>1041.18</v>
      </c>
      <c r="V337" s="379"/>
      <c r="W337" s="379"/>
      <c r="X337" s="33" t="e">
        <f>IF(B337&lt;&gt;0,VLOOKUP(B337,#REF!,4,FALSE),"")</f>
        <v>#REF!</v>
      </c>
      <c r="Y337" s="337" t="s">
        <v>3292</v>
      </c>
      <c r="Z337" s="337">
        <f t="shared" si="121"/>
        <v>737.03500000000008</v>
      </c>
      <c r="AA337" s="33"/>
      <c r="AB337" s="30" t="e">
        <f>IF(B337&lt;&gt;0,VLOOKUP(B337,#REF!,2,FALSE),"")</f>
        <v>#REF!</v>
      </c>
    </row>
    <row r="338" spans="1:28" ht="105">
      <c r="A338" s="19" t="s">
        <v>868</v>
      </c>
      <c r="B338" s="20">
        <v>93441</v>
      </c>
      <c r="C338" s="19" t="s">
        <v>1604</v>
      </c>
      <c r="D338" s="21" t="s">
        <v>12</v>
      </c>
      <c r="E338" s="21" t="s">
        <v>17</v>
      </c>
      <c r="F338" s="22">
        <v>2</v>
      </c>
      <c r="G338" s="22">
        <f t="shared" si="120"/>
        <v>661.6825</v>
      </c>
      <c r="H338" s="22">
        <f t="shared" si="117"/>
        <v>839.08</v>
      </c>
      <c r="I338" s="147">
        <f t="shared" si="118"/>
        <v>1678.16</v>
      </c>
      <c r="J338" s="148"/>
      <c r="K338" s="148"/>
      <c r="L338" s="148"/>
      <c r="M338" s="148">
        <v>737.12</v>
      </c>
      <c r="N338" s="148">
        <v>934.74</v>
      </c>
      <c r="O338" s="148">
        <v>1869.48</v>
      </c>
      <c r="P338" s="494"/>
      <c r="Q338" s="148">
        <f t="shared" si="112"/>
        <v>0</v>
      </c>
      <c r="R338" s="148"/>
      <c r="S338" s="148">
        <f t="shared" si="119"/>
        <v>0</v>
      </c>
      <c r="T338" s="148">
        <f t="shared" si="116"/>
        <v>2</v>
      </c>
      <c r="U338" s="148">
        <f t="shared" si="114"/>
        <v>1869.48</v>
      </c>
      <c r="V338" s="379"/>
      <c r="W338" s="379"/>
      <c r="X338" s="33" t="e">
        <f>IF(B338&lt;&gt;0,VLOOKUP(B338,#REF!,4,FALSE),"")</f>
        <v>#REF!</v>
      </c>
      <c r="Y338" s="337" t="s">
        <v>3293</v>
      </c>
      <c r="Z338" s="337">
        <f t="shared" si="121"/>
        <v>1323.365</v>
      </c>
      <c r="AA338" s="33"/>
      <c r="AB338" s="30" t="e">
        <f>IF(B338&lt;&gt;0,VLOOKUP(B338,#REF!,2,FALSE),"")</f>
        <v>#REF!</v>
      </c>
    </row>
    <row r="339" spans="1:28" ht="37.5" customHeight="1">
      <c r="A339" s="19" t="s">
        <v>2681</v>
      </c>
      <c r="B339" s="20">
        <v>466</v>
      </c>
      <c r="C339" s="19" t="s">
        <v>3096</v>
      </c>
      <c r="D339" s="21" t="s">
        <v>44</v>
      </c>
      <c r="E339" s="21" t="s">
        <v>17</v>
      </c>
      <c r="F339" s="22">
        <v>2</v>
      </c>
      <c r="G339" s="22">
        <f t="shared" si="120"/>
        <v>6535.65</v>
      </c>
      <c r="H339" s="22">
        <f t="shared" si="117"/>
        <v>8287.86</v>
      </c>
      <c r="I339" s="147">
        <f t="shared" si="118"/>
        <v>16575.72</v>
      </c>
      <c r="J339" s="148"/>
      <c r="K339" s="148"/>
      <c r="L339" s="148"/>
      <c r="M339" s="148">
        <v>7280.77</v>
      </c>
      <c r="N339" s="148">
        <v>9232.74</v>
      </c>
      <c r="O339" s="148">
        <v>18465.48</v>
      </c>
      <c r="P339" s="494"/>
      <c r="Q339" s="148">
        <f t="shared" si="112"/>
        <v>0</v>
      </c>
      <c r="R339" s="148"/>
      <c r="S339" s="148">
        <f t="shared" si="119"/>
        <v>0</v>
      </c>
      <c r="T339" s="148">
        <f t="shared" si="116"/>
        <v>2</v>
      </c>
      <c r="U339" s="148">
        <f t="shared" si="114"/>
        <v>18465.48</v>
      </c>
      <c r="V339" s="379"/>
      <c r="W339" s="379"/>
      <c r="X339" s="33" t="e">
        <f>IF(B339&lt;&gt;0,VLOOKUP(B339,#REF!,2,FALSE),"")</f>
        <v>#REF!</v>
      </c>
      <c r="Y339" s="337">
        <v>7689</v>
      </c>
      <c r="Z339" s="334">
        <f t="shared" si="121"/>
        <v>13071.3</v>
      </c>
      <c r="AA339" s="33"/>
      <c r="AB339" s="30" t="s">
        <v>2680</v>
      </c>
    </row>
    <row r="340" spans="1:28" ht="30">
      <c r="A340" s="19" t="s">
        <v>2682</v>
      </c>
      <c r="B340" s="20">
        <v>8492</v>
      </c>
      <c r="C340" s="19" t="s">
        <v>131</v>
      </c>
      <c r="D340" s="21" t="s">
        <v>44</v>
      </c>
      <c r="E340" s="21" t="s">
        <v>17</v>
      </c>
      <c r="F340" s="22">
        <v>12</v>
      </c>
      <c r="G340" s="22">
        <f t="shared" si="120"/>
        <v>147.084</v>
      </c>
      <c r="H340" s="22">
        <f t="shared" si="117"/>
        <v>186.52</v>
      </c>
      <c r="I340" s="147">
        <f t="shared" si="118"/>
        <v>2238.2399999999998</v>
      </c>
      <c r="J340" s="148"/>
      <c r="K340" s="148"/>
      <c r="L340" s="148"/>
      <c r="M340" s="148">
        <v>163.85</v>
      </c>
      <c r="N340" s="148">
        <v>207.78</v>
      </c>
      <c r="O340" s="148">
        <v>2493.36</v>
      </c>
      <c r="P340" s="494"/>
      <c r="Q340" s="148">
        <f t="shared" si="112"/>
        <v>0</v>
      </c>
      <c r="R340" s="148"/>
      <c r="S340" s="148">
        <f t="shared" si="119"/>
        <v>0</v>
      </c>
      <c r="T340" s="148">
        <f t="shared" si="116"/>
        <v>12</v>
      </c>
      <c r="U340" s="148">
        <f t="shared" si="114"/>
        <v>2493.36</v>
      </c>
      <c r="V340" s="379"/>
      <c r="W340" s="379"/>
      <c r="X340" s="33">
        <f>'COMPOSIÇÃO DE CUSTOS'!G2066</f>
        <v>147.09</v>
      </c>
      <c r="Y340" s="337">
        <v>173.04</v>
      </c>
      <c r="Z340" s="334">
        <f t="shared" si="121"/>
        <v>1765.008</v>
      </c>
      <c r="AA340" s="33"/>
      <c r="AB340" s="30"/>
    </row>
    <row r="341" spans="1:28" ht="30">
      <c r="A341" s="19" t="s">
        <v>2683</v>
      </c>
      <c r="B341" s="20">
        <v>12122</v>
      </c>
      <c r="C341" s="19" t="s">
        <v>132</v>
      </c>
      <c r="D341" s="21" t="s">
        <v>44</v>
      </c>
      <c r="E341" s="21" t="s">
        <v>17</v>
      </c>
      <c r="F341" s="22">
        <v>6</v>
      </c>
      <c r="G341" s="22">
        <f t="shared" si="120"/>
        <v>140.45400000000001</v>
      </c>
      <c r="H341" s="22">
        <f t="shared" si="117"/>
        <v>178.11</v>
      </c>
      <c r="I341" s="147">
        <f t="shared" si="118"/>
        <v>1068.6600000000001</v>
      </c>
      <c r="J341" s="148"/>
      <c r="K341" s="148"/>
      <c r="L341" s="148"/>
      <c r="M341" s="148">
        <v>156.47</v>
      </c>
      <c r="N341" s="148">
        <v>198.42</v>
      </c>
      <c r="O341" s="148">
        <v>1190.52</v>
      </c>
      <c r="P341" s="494"/>
      <c r="Q341" s="148">
        <f t="shared" si="112"/>
        <v>0</v>
      </c>
      <c r="R341" s="148"/>
      <c r="S341" s="148">
        <f t="shared" si="119"/>
        <v>0</v>
      </c>
      <c r="T341" s="148">
        <f t="shared" si="116"/>
        <v>6</v>
      </c>
      <c r="U341" s="148">
        <f t="shared" si="114"/>
        <v>1190.52</v>
      </c>
      <c r="V341" s="379"/>
      <c r="W341" s="379"/>
      <c r="X341" s="33">
        <f>'COMPOSIÇÃO DE CUSTOS'!G2072</f>
        <v>140.46</v>
      </c>
      <c r="Y341" s="337">
        <v>165.24</v>
      </c>
      <c r="Z341" s="334">
        <f t="shared" si="121"/>
        <v>842.72400000000005</v>
      </c>
      <c r="AA341" s="33"/>
      <c r="AB341" s="30"/>
    </row>
    <row r="342" spans="1:28" ht="15" customHeight="1">
      <c r="A342" s="229" t="s">
        <v>869</v>
      </c>
      <c r="B342" s="229"/>
      <c r="C342" s="229" t="s">
        <v>133</v>
      </c>
      <c r="D342" s="230"/>
      <c r="E342" s="230"/>
      <c r="F342" s="230"/>
      <c r="G342" s="22"/>
      <c r="H342" s="230"/>
      <c r="I342" s="445"/>
      <c r="J342" s="440"/>
      <c r="K342" s="440"/>
      <c r="L342" s="440"/>
      <c r="M342" s="440"/>
      <c r="N342" s="440"/>
      <c r="O342" s="440"/>
      <c r="P342" s="492"/>
      <c r="Q342" s="148">
        <f t="shared" si="112"/>
        <v>0</v>
      </c>
      <c r="R342" s="440"/>
      <c r="S342" s="440"/>
      <c r="T342" s="148"/>
      <c r="U342" s="148"/>
      <c r="V342" s="330"/>
      <c r="W342" s="330"/>
      <c r="X342" s="30"/>
      <c r="Y342" s="337"/>
      <c r="Z342" s="334">
        <f t="shared" si="121"/>
        <v>0</v>
      </c>
      <c r="AA342" s="30"/>
      <c r="AB342" s="30"/>
    </row>
    <row r="343" spans="1:28" s="23" customFormat="1" ht="45">
      <c r="A343" s="19" t="s">
        <v>870</v>
      </c>
      <c r="B343" s="20">
        <v>89985</v>
      </c>
      <c r="C343" s="19" t="s">
        <v>1605</v>
      </c>
      <c r="D343" s="21" t="s">
        <v>12</v>
      </c>
      <c r="E343" s="21" t="s">
        <v>17</v>
      </c>
      <c r="F343" s="22">
        <v>13</v>
      </c>
      <c r="G343" s="22">
        <f t="shared" si="120"/>
        <v>61.506</v>
      </c>
      <c r="H343" s="22">
        <f>ROUND(G343*(1+$X$14),2)</f>
        <v>78</v>
      </c>
      <c r="I343" s="147">
        <f>ROUND(H343*F343,2)</f>
        <v>1014</v>
      </c>
      <c r="J343" s="148"/>
      <c r="K343" s="148"/>
      <c r="L343" s="148"/>
      <c r="M343" s="148">
        <v>68.52</v>
      </c>
      <c r="N343" s="148">
        <v>86.89</v>
      </c>
      <c r="O343" s="148">
        <v>1129.57</v>
      </c>
      <c r="P343" s="494"/>
      <c r="Q343" s="148">
        <f t="shared" si="112"/>
        <v>0</v>
      </c>
      <c r="R343" s="148"/>
      <c r="S343" s="148">
        <f>ROUND(R343*P343,2)</f>
        <v>0</v>
      </c>
      <c r="T343" s="148">
        <f t="shared" si="116"/>
        <v>13</v>
      </c>
      <c r="U343" s="148">
        <f t="shared" si="114"/>
        <v>1129.57</v>
      </c>
      <c r="V343" s="379"/>
      <c r="W343" s="379"/>
      <c r="X343" s="31" t="e">
        <f>IF(B343&lt;&gt;0,VLOOKUP(B343,#REF!,4,FALSE),"")</f>
        <v>#REF!</v>
      </c>
      <c r="Y343" s="346" t="s">
        <v>3295</v>
      </c>
      <c r="Z343" s="334">
        <f t="shared" si="121"/>
        <v>799.57799999999997</v>
      </c>
      <c r="AA343" s="31"/>
      <c r="AB343" s="32" t="e">
        <f>IF(B343&lt;&gt;0,VLOOKUP(B343,#REF!,2,FALSE),"")</f>
        <v>#REF!</v>
      </c>
    </row>
    <row r="344" spans="1:28" ht="15" customHeight="1">
      <c r="A344" s="229" t="s">
        <v>871</v>
      </c>
      <c r="B344" s="229"/>
      <c r="C344" s="229" t="s">
        <v>134</v>
      </c>
      <c r="D344" s="230"/>
      <c r="E344" s="230"/>
      <c r="F344" s="230"/>
      <c r="G344" s="22"/>
      <c r="H344" s="230"/>
      <c r="I344" s="445"/>
      <c r="J344" s="440"/>
      <c r="K344" s="440"/>
      <c r="L344" s="440"/>
      <c r="M344" s="440"/>
      <c r="N344" s="440"/>
      <c r="O344" s="440"/>
      <c r="P344" s="492"/>
      <c r="Q344" s="148">
        <f t="shared" si="112"/>
        <v>0</v>
      </c>
      <c r="R344" s="440"/>
      <c r="S344" s="440"/>
      <c r="T344" s="148"/>
      <c r="U344" s="148"/>
      <c r="V344" s="330"/>
      <c r="W344" s="330"/>
      <c r="X344" s="30"/>
      <c r="Y344" s="337"/>
      <c r="Z344" s="334">
        <f t="shared" si="121"/>
        <v>0</v>
      </c>
      <c r="AA344" s="30"/>
      <c r="AB344" s="30"/>
    </row>
    <row r="345" spans="1:28" ht="45">
      <c r="A345" s="19" t="s">
        <v>872</v>
      </c>
      <c r="B345" s="20">
        <v>89353</v>
      </c>
      <c r="C345" s="19" t="s">
        <v>1606</v>
      </c>
      <c r="D345" s="21" t="s">
        <v>12</v>
      </c>
      <c r="E345" s="21" t="s">
        <v>17</v>
      </c>
      <c r="F345" s="22">
        <v>2</v>
      </c>
      <c r="G345" s="22">
        <f t="shared" si="120"/>
        <v>28.984999999999999</v>
      </c>
      <c r="H345" s="22">
        <f t="shared" ref="H345:H350" si="122">ROUND(G345*(1+$X$14),2)</f>
        <v>36.76</v>
      </c>
      <c r="I345" s="147">
        <f t="shared" ref="I345:I350" si="123">ROUND(H345*F345,2)</f>
        <v>73.52</v>
      </c>
      <c r="J345" s="148"/>
      <c r="K345" s="148"/>
      <c r="L345" s="148"/>
      <c r="M345" s="148">
        <v>32.29</v>
      </c>
      <c r="N345" s="148">
        <v>40.950000000000003</v>
      </c>
      <c r="O345" s="148">
        <v>81.900000000000006</v>
      </c>
      <c r="P345" s="494"/>
      <c r="Q345" s="148">
        <f t="shared" si="112"/>
        <v>0</v>
      </c>
      <c r="R345" s="148"/>
      <c r="S345" s="148">
        <f t="shared" ref="S345:S350" si="124">ROUND(R345*P345,2)</f>
        <v>0</v>
      </c>
      <c r="T345" s="148">
        <f t="shared" si="116"/>
        <v>2</v>
      </c>
      <c r="U345" s="148">
        <f t="shared" si="114"/>
        <v>81.900000000000006</v>
      </c>
      <c r="V345" s="379"/>
      <c r="W345" s="379"/>
      <c r="X345" s="31" t="e">
        <f>IF(B345&lt;&gt;0,VLOOKUP(B345,#REF!,4,FALSE),"")</f>
        <v>#REF!</v>
      </c>
      <c r="Y345" s="346" t="s">
        <v>3285</v>
      </c>
      <c r="Z345" s="334">
        <f t="shared" si="121"/>
        <v>57.97</v>
      </c>
      <c r="AA345" s="31"/>
      <c r="AB345" s="32" t="e">
        <f>IF(B345&lt;&gt;0,VLOOKUP(B345,#REF!,2,FALSE),"")</f>
        <v>#REF!</v>
      </c>
    </row>
    <row r="346" spans="1:28" ht="75">
      <c r="A346" s="19" t="s">
        <v>873</v>
      </c>
      <c r="B346" s="20">
        <v>94495</v>
      </c>
      <c r="C346" s="19" t="s">
        <v>1607</v>
      </c>
      <c r="D346" s="21" t="s">
        <v>12</v>
      </c>
      <c r="E346" s="21" t="s">
        <v>17</v>
      </c>
      <c r="F346" s="22">
        <v>13</v>
      </c>
      <c r="G346" s="22">
        <f t="shared" si="120"/>
        <v>57.638500000000001</v>
      </c>
      <c r="H346" s="22">
        <f t="shared" si="122"/>
        <v>73.09</v>
      </c>
      <c r="I346" s="147">
        <f t="shared" si="123"/>
        <v>950.17</v>
      </c>
      <c r="J346" s="148"/>
      <c r="K346" s="148"/>
      <c r="L346" s="148"/>
      <c r="M346" s="148">
        <v>64.209999999999994</v>
      </c>
      <c r="N346" s="148">
        <v>81.42</v>
      </c>
      <c r="O346" s="148">
        <v>1058.46</v>
      </c>
      <c r="P346" s="494"/>
      <c r="Q346" s="148">
        <f t="shared" si="112"/>
        <v>0</v>
      </c>
      <c r="R346" s="148"/>
      <c r="S346" s="148">
        <f t="shared" si="124"/>
        <v>0</v>
      </c>
      <c r="T346" s="148">
        <f t="shared" si="116"/>
        <v>13</v>
      </c>
      <c r="U346" s="148">
        <f t="shared" si="114"/>
        <v>1058.46</v>
      </c>
      <c r="V346" s="379"/>
      <c r="W346" s="379"/>
      <c r="X346" s="31" t="e">
        <f>IF(B346&lt;&gt;0,VLOOKUP(B346,#REF!,4,FALSE),"")</f>
        <v>#REF!</v>
      </c>
      <c r="Y346" s="346" t="s">
        <v>3297</v>
      </c>
      <c r="Z346" s="334">
        <f t="shared" si="121"/>
        <v>749.30050000000006</v>
      </c>
      <c r="AA346" s="31"/>
      <c r="AB346" s="32" t="e">
        <f>IF(B346&lt;&gt;0,VLOOKUP(B346,#REF!,2,FALSE),"")</f>
        <v>#REF!</v>
      </c>
    </row>
    <row r="347" spans="1:28" ht="90">
      <c r="A347" s="19" t="s">
        <v>874</v>
      </c>
      <c r="B347" s="20">
        <v>94793</v>
      </c>
      <c r="C347" s="19" t="s">
        <v>1608</v>
      </c>
      <c r="D347" s="21" t="s">
        <v>12</v>
      </c>
      <c r="E347" s="21" t="s">
        <v>17</v>
      </c>
      <c r="F347" s="22">
        <v>7</v>
      </c>
      <c r="G347" s="22">
        <f t="shared" si="120"/>
        <v>118.88100000000001</v>
      </c>
      <c r="H347" s="22">
        <f t="shared" si="122"/>
        <v>150.75</v>
      </c>
      <c r="I347" s="147">
        <f t="shared" si="123"/>
        <v>1055.25</v>
      </c>
      <c r="J347" s="148"/>
      <c r="K347" s="148"/>
      <c r="L347" s="148"/>
      <c r="M347" s="148">
        <v>132.43</v>
      </c>
      <c r="N347" s="148">
        <v>167.93</v>
      </c>
      <c r="O347" s="148">
        <v>1175.51</v>
      </c>
      <c r="P347" s="494"/>
      <c r="Q347" s="148">
        <f t="shared" si="112"/>
        <v>0</v>
      </c>
      <c r="R347" s="148"/>
      <c r="S347" s="148">
        <f t="shared" si="124"/>
        <v>0</v>
      </c>
      <c r="T347" s="148">
        <f t="shared" si="116"/>
        <v>7</v>
      </c>
      <c r="U347" s="148">
        <f t="shared" si="114"/>
        <v>1175.51</v>
      </c>
      <c r="V347" s="379"/>
      <c r="W347" s="379"/>
      <c r="X347" s="31" t="e">
        <f>IF(B347&lt;&gt;0,VLOOKUP(B347,#REF!,4,FALSE),"")</f>
        <v>#REF!</v>
      </c>
      <c r="Y347" s="346" t="s">
        <v>3300</v>
      </c>
      <c r="Z347" s="334">
        <f t="shared" si="121"/>
        <v>832.16700000000014</v>
      </c>
      <c r="AA347" s="31"/>
      <c r="AB347" s="32" t="e">
        <f>IF(B347&lt;&gt;0,VLOOKUP(B347,#REF!,2,FALSE),"")</f>
        <v>#REF!</v>
      </c>
    </row>
    <row r="348" spans="1:28" ht="75">
      <c r="A348" s="19" t="s">
        <v>875</v>
      </c>
      <c r="B348" s="20">
        <v>94497</v>
      </c>
      <c r="C348" s="19" t="s">
        <v>1609</v>
      </c>
      <c r="D348" s="21" t="s">
        <v>12</v>
      </c>
      <c r="E348" s="21" t="s">
        <v>17</v>
      </c>
      <c r="F348" s="22">
        <v>3</v>
      </c>
      <c r="G348" s="22">
        <f t="shared" si="120"/>
        <v>84.974500000000006</v>
      </c>
      <c r="H348" s="22">
        <f t="shared" si="122"/>
        <v>107.76</v>
      </c>
      <c r="I348" s="147">
        <f t="shared" si="123"/>
        <v>323.27999999999997</v>
      </c>
      <c r="J348" s="148"/>
      <c r="K348" s="148"/>
      <c r="L348" s="148"/>
      <c r="M348" s="148">
        <v>94.66</v>
      </c>
      <c r="N348" s="148">
        <v>120.04</v>
      </c>
      <c r="O348" s="148">
        <v>360.12</v>
      </c>
      <c r="P348" s="494"/>
      <c r="Q348" s="148">
        <f t="shared" si="112"/>
        <v>0</v>
      </c>
      <c r="R348" s="148"/>
      <c r="S348" s="148">
        <f t="shared" si="124"/>
        <v>0</v>
      </c>
      <c r="T348" s="148">
        <f t="shared" si="116"/>
        <v>3</v>
      </c>
      <c r="U348" s="148">
        <f t="shared" si="114"/>
        <v>360.12</v>
      </c>
      <c r="V348" s="379"/>
      <c r="W348" s="379"/>
      <c r="X348" s="31" t="e">
        <f>IF(B348&lt;&gt;0,VLOOKUP(B348,#REF!,4,FALSE),"")</f>
        <v>#REF!</v>
      </c>
      <c r="Y348" s="346" t="s">
        <v>3298</v>
      </c>
      <c r="Z348" s="334">
        <f t="shared" si="121"/>
        <v>254.92350000000002</v>
      </c>
      <c r="AA348" s="31"/>
      <c r="AB348" s="32" t="e">
        <f>IF(B348&lt;&gt;0,VLOOKUP(B348,#REF!,2,FALSE),"")</f>
        <v>#REF!</v>
      </c>
    </row>
    <row r="349" spans="1:28" ht="45">
      <c r="A349" s="19" t="s">
        <v>876</v>
      </c>
      <c r="B349" s="20">
        <v>89987</v>
      </c>
      <c r="C349" s="19" t="s">
        <v>1610</v>
      </c>
      <c r="D349" s="21" t="s">
        <v>12</v>
      </c>
      <c r="E349" s="21" t="s">
        <v>17</v>
      </c>
      <c r="F349" s="22">
        <v>7</v>
      </c>
      <c r="G349" s="22">
        <f t="shared" si="120"/>
        <v>64.778499999999994</v>
      </c>
      <c r="H349" s="22">
        <f t="shared" si="122"/>
        <v>82.15</v>
      </c>
      <c r="I349" s="147">
        <f t="shared" si="123"/>
        <v>575.04999999999995</v>
      </c>
      <c r="J349" s="148"/>
      <c r="K349" s="148"/>
      <c r="L349" s="148"/>
      <c r="M349" s="148">
        <v>72.16</v>
      </c>
      <c r="N349" s="148">
        <v>91.51</v>
      </c>
      <c r="O349" s="148">
        <v>640.57000000000005</v>
      </c>
      <c r="P349" s="494"/>
      <c r="Q349" s="148">
        <f t="shared" si="112"/>
        <v>0</v>
      </c>
      <c r="R349" s="148"/>
      <c r="S349" s="148">
        <f t="shared" si="124"/>
        <v>0</v>
      </c>
      <c r="T349" s="148">
        <f t="shared" si="116"/>
        <v>7</v>
      </c>
      <c r="U349" s="148">
        <f t="shared" si="114"/>
        <v>640.57000000000005</v>
      </c>
      <c r="V349" s="379"/>
      <c r="W349" s="379"/>
      <c r="X349" s="31" t="e">
        <f>IF(B349&lt;&gt;0,VLOOKUP(B349,#REF!,4,FALSE),"")</f>
        <v>#REF!</v>
      </c>
      <c r="Y349" s="346" t="s">
        <v>3296</v>
      </c>
      <c r="Z349" s="334">
        <f t="shared" si="121"/>
        <v>453.44949999999994</v>
      </c>
      <c r="AA349" s="31"/>
      <c r="AB349" s="32" t="e">
        <f>IF(B349&lt;&gt;0,VLOOKUP(B349,#REF!,2,FALSE),"")</f>
        <v>#REF!</v>
      </c>
    </row>
    <row r="350" spans="1:28" ht="90">
      <c r="A350" s="19" t="s">
        <v>877</v>
      </c>
      <c r="B350" s="20">
        <v>94792</v>
      </c>
      <c r="C350" s="19" t="s">
        <v>1611</v>
      </c>
      <c r="D350" s="21" t="s">
        <v>12</v>
      </c>
      <c r="E350" s="21" t="s">
        <v>17</v>
      </c>
      <c r="F350" s="22">
        <v>13</v>
      </c>
      <c r="G350" s="22">
        <f t="shared" si="120"/>
        <v>90.873499999999993</v>
      </c>
      <c r="H350" s="22">
        <f t="shared" si="122"/>
        <v>115.24</v>
      </c>
      <c r="I350" s="147">
        <f t="shared" si="123"/>
        <v>1498.12</v>
      </c>
      <c r="J350" s="148"/>
      <c r="K350" s="148"/>
      <c r="L350" s="148"/>
      <c r="M350" s="148">
        <v>101.23</v>
      </c>
      <c r="N350" s="148">
        <v>128.37</v>
      </c>
      <c r="O350" s="148">
        <v>1668.81</v>
      </c>
      <c r="P350" s="494"/>
      <c r="Q350" s="148">
        <f t="shared" si="112"/>
        <v>0</v>
      </c>
      <c r="R350" s="148"/>
      <c r="S350" s="148">
        <f t="shared" si="124"/>
        <v>0</v>
      </c>
      <c r="T350" s="148">
        <f t="shared" si="116"/>
        <v>13</v>
      </c>
      <c r="U350" s="148">
        <f t="shared" si="114"/>
        <v>1668.81</v>
      </c>
      <c r="V350" s="379"/>
      <c r="W350" s="379"/>
      <c r="X350" s="31" t="e">
        <f>IF(B350&lt;&gt;0,VLOOKUP(B350,#REF!,4,FALSE),"")</f>
        <v>#REF!</v>
      </c>
      <c r="Y350" s="346" t="s">
        <v>3210</v>
      </c>
      <c r="Z350" s="334">
        <f t="shared" si="121"/>
        <v>1181.3554999999999</v>
      </c>
      <c r="AA350" s="31"/>
      <c r="AB350" s="32" t="e">
        <f>IF(B350&lt;&gt;0,VLOOKUP(B350,#REF!,2,FALSE),"")</f>
        <v>#REF!</v>
      </c>
    </row>
    <row r="351" spans="1:28" s="23" customFormat="1" ht="15" customHeight="1">
      <c r="A351" s="229" t="s">
        <v>878</v>
      </c>
      <c r="B351" s="229"/>
      <c r="C351" s="229" t="s">
        <v>135</v>
      </c>
      <c r="D351" s="230"/>
      <c r="E351" s="230"/>
      <c r="F351" s="230"/>
      <c r="G351" s="22"/>
      <c r="H351" s="230"/>
      <c r="I351" s="445"/>
      <c r="J351" s="440"/>
      <c r="K351" s="440"/>
      <c r="L351" s="440"/>
      <c r="M351" s="440"/>
      <c r="N351" s="440"/>
      <c r="O351" s="440"/>
      <c r="P351" s="492"/>
      <c r="Q351" s="148">
        <f t="shared" si="112"/>
        <v>0</v>
      </c>
      <c r="R351" s="440"/>
      <c r="S351" s="440"/>
      <c r="T351" s="148"/>
      <c r="U351" s="148"/>
      <c r="V351" s="330"/>
      <c r="W351" s="330"/>
      <c r="X351" s="32"/>
      <c r="Y351" s="346"/>
      <c r="Z351" s="334">
        <f t="shared" si="121"/>
        <v>0</v>
      </c>
      <c r="AA351" s="32"/>
      <c r="AB351" s="32"/>
    </row>
    <row r="352" spans="1:28" s="23" customFormat="1" ht="30">
      <c r="A352" s="19" t="s">
        <v>879</v>
      </c>
      <c r="B352" s="20">
        <v>102137</v>
      </c>
      <c r="C352" s="19" t="s">
        <v>136</v>
      </c>
      <c r="D352" s="21" t="s">
        <v>12</v>
      </c>
      <c r="E352" s="21" t="s">
        <v>17</v>
      </c>
      <c r="F352" s="22">
        <v>3</v>
      </c>
      <c r="G352" s="22">
        <f t="shared" si="120"/>
        <v>52.028500000000001</v>
      </c>
      <c r="H352" s="22">
        <f>ROUND(G352*(1+$X$14),2)</f>
        <v>65.98</v>
      </c>
      <c r="I352" s="147">
        <f>ROUND(H352*F352,2)</f>
        <v>197.94</v>
      </c>
      <c r="J352" s="148"/>
      <c r="K352" s="148"/>
      <c r="L352" s="148"/>
      <c r="M352" s="148">
        <v>57.96</v>
      </c>
      <c r="N352" s="148">
        <v>73.5</v>
      </c>
      <c r="O352" s="148">
        <v>220.5</v>
      </c>
      <c r="P352" s="494"/>
      <c r="Q352" s="148">
        <f t="shared" si="112"/>
        <v>0</v>
      </c>
      <c r="R352" s="148"/>
      <c r="S352" s="148">
        <f>ROUND(R352*P352,2)</f>
        <v>0</v>
      </c>
      <c r="T352" s="148">
        <f t="shared" si="116"/>
        <v>3</v>
      </c>
      <c r="U352" s="148">
        <f t="shared" si="114"/>
        <v>220.5</v>
      </c>
      <c r="V352" s="379"/>
      <c r="W352" s="379"/>
      <c r="X352" s="31" t="e">
        <f>IF(B352&lt;&gt;0,VLOOKUP(B352,#REF!,4,FALSE),"")</f>
        <v>#REF!</v>
      </c>
      <c r="Y352" s="346" t="s">
        <v>3288</v>
      </c>
      <c r="Z352" s="334">
        <f t="shared" si="121"/>
        <v>156.0855</v>
      </c>
      <c r="AA352" s="31"/>
      <c r="AB352" s="32" t="e">
        <f>IF(B352&lt;&gt;0,VLOOKUP(B352,#REF!,2,FALSE),"")</f>
        <v>#REF!</v>
      </c>
    </row>
    <row r="353" spans="1:28" s="23" customFormat="1" ht="45">
      <c r="A353" s="19" t="s">
        <v>880</v>
      </c>
      <c r="B353" s="20">
        <v>94797</v>
      </c>
      <c r="C353" s="19" t="s">
        <v>1612</v>
      </c>
      <c r="D353" s="21" t="s">
        <v>12</v>
      </c>
      <c r="E353" s="21" t="s">
        <v>17</v>
      </c>
      <c r="F353" s="22">
        <v>3</v>
      </c>
      <c r="G353" s="22">
        <f t="shared" si="120"/>
        <v>21.9895</v>
      </c>
      <c r="H353" s="22">
        <f>ROUND(G353*(1+$X$14),2)</f>
        <v>27.88</v>
      </c>
      <c r="I353" s="147">
        <f>ROUND(H353*F353,2)</f>
        <v>83.64</v>
      </c>
      <c r="J353" s="148"/>
      <c r="K353" s="148"/>
      <c r="L353" s="148"/>
      <c r="M353" s="148">
        <v>24.5</v>
      </c>
      <c r="N353" s="148">
        <v>31.07</v>
      </c>
      <c r="O353" s="148">
        <v>93.21</v>
      </c>
      <c r="P353" s="494"/>
      <c r="Q353" s="148">
        <f t="shared" si="112"/>
        <v>0</v>
      </c>
      <c r="R353" s="148"/>
      <c r="S353" s="148">
        <f>ROUND(R353*P353,2)</f>
        <v>0</v>
      </c>
      <c r="T353" s="148">
        <f t="shared" si="116"/>
        <v>3</v>
      </c>
      <c r="U353" s="148">
        <f t="shared" si="114"/>
        <v>93.21</v>
      </c>
      <c r="V353" s="379"/>
      <c r="W353" s="379"/>
      <c r="X353" s="31" t="e">
        <f>IF(B353&lt;&gt;0,VLOOKUP(B353,#REF!,4,FALSE),"")</f>
        <v>#REF!</v>
      </c>
      <c r="Y353" s="346" t="s">
        <v>3176</v>
      </c>
      <c r="Z353" s="334">
        <f t="shared" si="121"/>
        <v>65.968500000000006</v>
      </c>
      <c r="AA353" s="31"/>
      <c r="AB353" s="32" t="e">
        <f>IF(B353&lt;&gt;0,VLOOKUP(B353,#REF!,2,FALSE),"")</f>
        <v>#REF!</v>
      </c>
    </row>
    <row r="354" spans="1:28" s="38" customFormat="1" ht="40.5" customHeight="1">
      <c r="A354" s="19" t="s">
        <v>2476</v>
      </c>
      <c r="B354" s="20">
        <v>102116</v>
      </c>
      <c r="C354" s="19" t="s">
        <v>2477</v>
      </c>
      <c r="D354" s="21" t="s">
        <v>12</v>
      </c>
      <c r="E354" s="21" t="s">
        <v>17</v>
      </c>
      <c r="F354" s="22">
        <v>2</v>
      </c>
      <c r="G354" s="22">
        <f t="shared" si="120"/>
        <v>1221.9855</v>
      </c>
      <c r="H354" s="22">
        <f>ROUND(G354*(1+$X$14),2)</f>
        <v>1549.6</v>
      </c>
      <c r="I354" s="147">
        <f>ROUND(H354*F354,2)</f>
        <v>3099.2</v>
      </c>
      <c r="J354" s="148"/>
      <c r="K354" s="148"/>
      <c r="L354" s="148"/>
      <c r="M354" s="148">
        <v>1361.3</v>
      </c>
      <c r="N354" s="148">
        <v>1726.26</v>
      </c>
      <c r="O354" s="148">
        <v>3452.52</v>
      </c>
      <c r="P354" s="494"/>
      <c r="Q354" s="148">
        <f t="shared" si="112"/>
        <v>0</v>
      </c>
      <c r="R354" s="148"/>
      <c r="S354" s="148">
        <f>ROUND(R354*P354,2)</f>
        <v>0</v>
      </c>
      <c r="T354" s="148">
        <f t="shared" si="116"/>
        <v>2</v>
      </c>
      <c r="U354" s="148">
        <f t="shared" si="114"/>
        <v>3452.52</v>
      </c>
      <c r="V354" s="379"/>
      <c r="W354" s="379"/>
      <c r="X354" s="42" t="e">
        <f>IF(B354&lt;&gt;0,VLOOKUP(B354,#REF!,4,FALSE),"")</f>
        <v>#REF!</v>
      </c>
      <c r="Y354" s="336" t="s">
        <v>3303</v>
      </c>
      <c r="Z354" s="334">
        <f t="shared" si="121"/>
        <v>2443.971</v>
      </c>
      <c r="AA354" s="42"/>
      <c r="AB354" s="39" t="e">
        <f>IF(B354&lt;&gt;0,VLOOKUP(B354,#REF!,2,FALSE),"")</f>
        <v>#REF!</v>
      </c>
    </row>
    <row r="355" spans="1:28" s="38" customFormat="1" ht="40.5" customHeight="1">
      <c r="A355" s="19" t="s">
        <v>2625</v>
      </c>
      <c r="B355" s="20">
        <v>6801</v>
      </c>
      <c r="C355" s="19" t="s">
        <v>2626</v>
      </c>
      <c r="D355" s="21" t="s">
        <v>44</v>
      </c>
      <c r="E355" s="21" t="s">
        <v>17</v>
      </c>
      <c r="F355" s="22">
        <v>1</v>
      </c>
      <c r="G355" s="22">
        <f t="shared" si="120"/>
        <v>2888.9460000000004</v>
      </c>
      <c r="H355" s="22">
        <f>ROUND(G355*(1+$X$14),2)</f>
        <v>3663.47</v>
      </c>
      <c r="I355" s="147">
        <f>ROUND(H355*F355,2)</f>
        <v>3663.47</v>
      </c>
      <c r="J355" s="148"/>
      <c r="K355" s="148"/>
      <c r="L355" s="148"/>
      <c r="M355" s="148">
        <v>3218.31</v>
      </c>
      <c r="N355" s="148">
        <v>4081.14</v>
      </c>
      <c r="O355" s="148">
        <v>4081.14</v>
      </c>
      <c r="P355" s="494"/>
      <c r="Q355" s="148">
        <f>ROUND(P355*N355,2)</f>
        <v>0</v>
      </c>
      <c r="R355" s="148"/>
      <c r="S355" s="148">
        <f>ROUND(R355*N355,2)</f>
        <v>0</v>
      </c>
      <c r="T355" s="148">
        <f t="shared" ref="T355:T387" si="125">F355+P355-R355</f>
        <v>1</v>
      </c>
      <c r="U355" s="148">
        <f t="shared" ref="U355:U418" si="126">O355+Q355-S355+L355</f>
        <v>4081.14</v>
      </c>
      <c r="V355" s="379"/>
      <c r="W355" s="379"/>
      <c r="X355" s="42">
        <f>'COMPOSIÇÃO DE CUSTOS'!G2306</f>
        <v>2888.94</v>
      </c>
      <c r="Y355" s="336">
        <v>3398.76</v>
      </c>
      <c r="Z355" s="334">
        <f t="shared" si="121"/>
        <v>2888.9460000000004</v>
      </c>
      <c r="AA355" s="42"/>
      <c r="AB355" s="39"/>
    </row>
    <row r="356" spans="1:28" s="38" customFormat="1" ht="40.5" customHeight="1">
      <c r="A356" s="449" t="s">
        <v>2722</v>
      </c>
      <c r="B356" s="448">
        <v>7402</v>
      </c>
      <c r="C356" s="449" t="s">
        <v>3911</v>
      </c>
      <c r="D356" s="447" t="s">
        <v>44</v>
      </c>
      <c r="E356" s="447"/>
      <c r="F356" s="450"/>
      <c r="G356" s="450">
        <f>(V356-(V356*$Y$15))*$S$16</f>
        <v>2696.9524233149532</v>
      </c>
      <c r="H356" s="450">
        <f>ROUND(G356*(1+$X$14),2)</f>
        <v>3420.01</v>
      </c>
      <c r="I356" s="451"/>
      <c r="J356" s="452"/>
      <c r="K356" s="452"/>
      <c r="L356" s="452"/>
      <c r="M356" s="452"/>
      <c r="N356" s="452"/>
      <c r="O356" s="452"/>
      <c r="P356" s="493">
        <v>2</v>
      </c>
      <c r="Q356" s="452">
        <f>ROUND(P356*H356,2)</f>
        <v>6840.02</v>
      </c>
      <c r="R356" s="452"/>
      <c r="S356" s="452"/>
      <c r="T356" s="452"/>
      <c r="U356" s="452"/>
      <c r="V356" s="453">
        <f>COMP!G93</f>
        <v>2848.1700000000005</v>
      </c>
      <c r="W356" s="453"/>
      <c r="X356" s="42"/>
      <c r="Y356" s="336"/>
      <c r="Z356" s="336"/>
      <c r="AA356" s="42"/>
      <c r="AB356" s="39"/>
    </row>
    <row r="357" spans="1:28" s="23" customFormat="1" ht="15" customHeight="1">
      <c r="A357" s="229" t="s">
        <v>881</v>
      </c>
      <c r="B357" s="229"/>
      <c r="C357" s="229" t="s">
        <v>139</v>
      </c>
      <c r="D357" s="230"/>
      <c r="E357" s="230"/>
      <c r="F357" s="230"/>
      <c r="G357" s="22"/>
      <c r="H357" s="230"/>
      <c r="I357" s="445"/>
      <c r="J357" s="440"/>
      <c r="K357" s="440"/>
      <c r="L357" s="440"/>
      <c r="M357" s="440"/>
      <c r="N357" s="440"/>
      <c r="O357" s="440"/>
      <c r="P357" s="492"/>
      <c r="Q357" s="440"/>
      <c r="R357" s="440"/>
      <c r="S357" s="440"/>
      <c r="T357" s="148">
        <f t="shared" si="125"/>
        <v>0</v>
      </c>
      <c r="U357" s="148">
        <f t="shared" si="126"/>
        <v>0</v>
      </c>
      <c r="V357" s="330"/>
      <c r="W357" s="330"/>
      <c r="X357" s="32"/>
      <c r="Y357" s="346"/>
      <c r="Z357" s="334">
        <f t="shared" si="121"/>
        <v>0</v>
      </c>
      <c r="AA357" s="32"/>
      <c r="AB357" s="32"/>
    </row>
    <row r="358" spans="1:28" s="23" customFormat="1" ht="15" customHeight="1">
      <c r="A358" s="229" t="s">
        <v>882</v>
      </c>
      <c r="B358" s="229"/>
      <c r="C358" s="229" t="s">
        <v>140</v>
      </c>
      <c r="D358" s="230"/>
      <c r="E358" s="230"/>
      <c r="F358" s="230"/>
      <c r="G358" s="22"/>
      <c r="H358" s="230"/>
      <c r="I358" s="445"/>
      <c r="J358" s="440"/>
      <c r="K358" s="440"/>
      <c r="L358" s="440"/>
      <c r="M358" s="440"/>
      <c r="N358" s="440"/>
      <c r="O358" s="440"/>
      <c r="P358" s="492"/>
      <c r="Q358" s="440"/>
      <c r="R358" s="440"/>
      <c r="S358" s="440"/>
      <c r="T358" s="148">
        <f t="shared" si="125"/>
        <v>0</v>
      </c>
      <c r="U358" s="148">
        <f t="shared" si="126"/>
        <v>0</v>
      </c>
      <c r="V358" s="330"/>
      <c r="W358" s="330"/>
      <c r="X358" s="32"/>
      <c r="Y358" s="346"/>
      <c r="Z358" s="334">
        <f t="shared" si="121"/>
        <v>0</v>
      </c>
      <c r="AA358" s="32"/>
      <c r="AB358" s="32"/>
    </row>
    <row r="359" spans="1:28" ht="75">
      <c r="A359" s="19" t="s">
        <v>883</v>
      </c>
      <c r="B359" s="20">
        <v>91791</v>
      </c>
      <c r="C359" s="19" t="s">
        <v>1613</v>
      </c>
      <c r="D359" s="21" t="s">
        <v>12</v>
      </c>
      <c r="E359" s="21" t="s">
        <v>52</v>
      </c>
      <c r="F359" s="22">
        <v>40</v>
      </c>
      <c r="G359" s="22">
        <f t="shared" si="120"/>
        <v>67.184000000000012</v>
      </c>
      <c r="H359" s="22">
        <f t="shared" ref="H359:H378" si="127">ROUND(G359*(1+$X$14),2)</f>
        <v>85.2</v>
      </c>
      <c r="I359" s="147">
        <f t="shared" ref="I359:I378" si="128">ROUND(H359*F359,2)</f>
        <v>3408</v>
      </c>
      <c r="J359" s="148"/>
      <c r="K359" s="148"/>
      <c r="L359" s="148"/>
      <c r="M359" s="148">
        <v>74.84</v>
      </c>
      <c r="N359" s="148">
        <v>94.9</v>
      </c>
      <c r="O359" s="148">
        <v>3796</v>
      </c>
      <c r="P359" s="494"/>
      <c r="Q359" s="148">
        <f t="shared" ref="Q359:Q422" si="129">ROUND(P359*N359,2)</f>
        <v>0</v>
      </c>
      <c r="R359" s="148"/>
      <c r="S359" s="148">
        <f t="shared" ref="S359:S378" si="130">ROUND(R359*P359,2)</f>
        <v>0</v>
      </c>
      <c r="T359" s="148">
        <f t="shared" si="125"/>
        <v>40</v>
      </c>
      <c r="U359" s="148">
        <f t="shared" si="126"/>
        <v>3796</v>
      </c>
      <c r="V359" s="379"/>
      <c r="W359" s="379"/>
      <c r="X359" s="31" t="e">
        <f>IF(B359&lt;&gt;0,VLOOKUP(B359,#REF!,4,FALSE),"")</f>
        <v>#REF!</v>
      </c>
      <c r="Y359" s="346" t="s">
        <v>3274</v>
      </c>
      <c r="Z359" s="334">
        <f t="shared" si="121"/>
        <v>2687.3600000000006</v>
      </c>
      <c r="AA359" s="31"/>
      <c r="AB359" s="32" t="e">
        <f>IF(B359&lt;&gt;0,VLOOKUP(B359,#REF!,2,FALSE),"")</f>
        <v>#REF!</v>
      </c>
    </row>
    <row r="360" spans="1:28" ht="45">
      <c r="A360" s="19" t="s">
        <v>884</v>
      </c>
      <c r="B360" s="20">
        <v>89578</v>
      </c>
      <c r="C360" s="19" t="s">
        <v>1614</v>
      </c>
      <c r="D360" s="21" t="s">
        <v>12</v>
      </c>
      <c r="E360" s="21" t="s">
        <v>52</v>
      </c>
      <c r="F360" s="22">
        <v>41</v>
      </c>
      <c r="G360" s="22">
        <f t="shared" si="120"/>
        <v>31.866500000000002</v>
      </c>
      <c r="H360" s="22">
        <f t="shared" si="127"/>
        <v>40.409999999999997</v>
      </c>
      <c r="I360" s="147">
        <f t="shared" si="128"/>
        <v>1656.81</v>
      </c>
      <c r="J360" s="148"/>
      <c r="K360" s="148"/>
      <c r="L360" s="148"/>
      <c r="M360" s="148">
        <v>35.5</v>
      </c>
      <c r="N360" s="148">
        <v>45.02</v>
      </c>
      <c r="O360" s="148">
        <v>1845.82</v>
      </c>
      <c r="P360" s="494"/>
      <c r="Q360" s="148">
        <f t="shared" si="129"/>
        <v>0</v>
      </c>
      <c r="R360" s="148"/>
      <c r="S360" s="148">
        <f t="shared" si="130"/>
        <v>0</v>
      </c>
      <c r="T360" s="148">
        <f t="shared" si="125"/>
        <v>41</v>
      </c>
      <c r="U360" s="148">
        <f t="shared" si="126"/>
        <v>1845.82</v>
      </c>
      <c r="V360" s="379"/>
      <c r="W360" s="379"/>
      <c r="X360" s="31" t="e">
        <f>IF(B360&lt;&gt;0,VLOOKUP(B360,#REF!,4,FALSE),"")</f>
        <v>#REF!</v>
      </c>
      <c r="Y360" s="346" t="s">
        <v>3097</v>
      </c>
      <c r="Z360" s="334">
        <f t="shared" si="121"/>
        <v>1306.5265000000002</v>
      </c>
      <c r="AA360" s="31"/>
      <c r="AB360" s="32" t="e">
        <f>IF(B360&lt;&gt;0,VLOOKUP(B360,#REF!,2,FALSE),"")</f>
        <v>#REF!</v>
      </c>
    </row>
    <row r="361" spans="1:28" ht="45">
      <c r="A361" s="19" t="s">
        <v>885</v>
      </c>
      <c r="B361" s="20">
        <v>89576</v>
      </c>
      <c r="C361" s="19" t="s">
        <v>1615</v>
      </c>
      <c r="D361" s="21" t="s">
        <v>12</v>
      </c>
      <c r="E361" s="21" t="s">
        <v>52</v>
      </c>
      <c r="F361" s="22">
        <v>50</v>
      </c>
      <c r="G361" s="22">
        <f t="shared" si="120"/>
        <v>18.436500000000002</v>
      </c>
      <c r="H361" s="22">
        <f t="shared" si="127"/>
        <v>23.38</v>
      </c>
      <c r="I361" s="147">
        <f t="shared" si="128"/>
        <v>1169</v>
      </c>
      <c r="J361" s="148"/>
      <c r="K361" s="148"/>
      <c r="L361" s="148"/>
      <c r="M361" s="148">
        <v>20.54</v>
      </c>
      <c r="N361" s="148">
        <v>26.05</v>
      </c>
      <c r="O361" s="148">
        <v>1302.5</v>
      </c>
      <c r="P361" s="494"/>
      <c r="Q361" s="148">
        <f t="shared" si="129"/>
        <v>0</v>
      </c>
      <c r="R361" s="148"/>
      <c r="S361" s="148">
        <f t="shared" si="130"/>
        <v>0</v>
      </c>
      <c r="T361" s="148">
        <f t="shared" si="125"/>
        <v>50</v>
      </c>
      <c r="U361" s="148">
        <f t="shared" si="126"/>
        <v>1302.5</v>
      </c>
      <c r="V361" s="379"/>
      <c r="W361" s="379"/>
      <c r="X361" s="31" t="e">
        <f>IF(B361&lt;&gt;0,VLOOKUP(B361,#REF!,4,FALSE),"")</f>
        <v>#REF!</v>
      </c>
      <c r="Y361" s="346" t="s">
        <v>3269</v>
      </c>
      <c r="Z361" s="334">
        <f t="shared" si="121"/>
        <v>921.82500000000016</v>
      </c>
      <c r="AA361" s="31"/>
      <c r="AB361" s="32" t="e">
        <f>IF(B361&lt;&gt;0,VLOOKUP(B361,#REF!,2,FALSE),"")</f>
        <v>#REF!</v>
      </c>
    </row>
    <row r="362" spans="1:28" s="38" customFormat="1" ht="45">
      <c r="A362" s="19" t="s">
        <v>886</v>
      </c>
      <c r="B362" s="20">
        <v>10050</v>
      </c>
      <c r="C362" s="19" t="s">
        <v>2478</v>
      </c>
      <c r="D362" s="21" t="s">
        <v>44</v>
      </c>
      <c r="E362" s="21" t="s">
        <v>52</v>
      </c>
      <c r="F362" s="22">
        <v>34</v>
      </c>
      <c r="G362" s="22">
        <f t="shared" si="120"/>
        <v>754.851</v>
      </c>
      <c r="H362" s="22">
        <f t="shared" si="127"/>
        <v>957.23</v>
      </c>
      <c r="I362" s="147">
        <f t="shared" si="128"/>
        <v>32545.82</v>
      </c>
      <c r="J362" s="148"/>
      <c r="K362" s="148"/>
      <c r="L362" s="148"/>
      <c r="M362" s="148">
        <v>840.91</v>
      </c>
      <c r="N362" s="148">
        <v>1066.3599999999999</v>
      </c>
      <c r="O362" s="148">
        <v>36256.239999999998</v>
      </c>
      <c r="P362" s="494"/>
      <c r="Q362" s="148">
        <f t="shared" si="129"/>
        <v>0</v>
      </c>
      <c r="R362" s="148"/>
      <c r="S362" s="148">
        <f t="shared" si="130"/>
        <v>0</v>
      </c>
      <c r="T362" s="148">
        <f t="shared" si="125"/>
        <v>34</v>
      </c>
      <c r="U362" s="148">
        <f t="shared" si="126"/>
        <v>36256.239999999998</v>
      </c>
      <c r="V362" s="379"/>
      <c r="W362" s="379"/>
      <c r="X362" s="42">
        <f>'COMPOSIÇÃO DE CUSTOS'!G638</f>
        <v>754.85</v>
      </c>
      <c r="Y362" s="336">
        <v>888.06</v>
      </c>
      <c r="Z362" s="334">
        <f t="shared" si="121"/>
        <v>25664.934000000001</v>
      </c>
      <c r="AA362" s="42"/>
      <c r="AB362" s="39"/>
    </row>
    <row r="363" spans="1:28" s="23" customFormat="1" ht="45">
      <c r="A363" s="19" t="s">
        <v>887</v>
      </c>
      <c r="B363" s="20">
        <v>10049</v>
      </c>
      <c r="C363" s="19" t="s">
        <v>1772</v>
      </c>
      <c r="D363" s="21" t="s">
        <v>44</v>
      </c>
      <c r="E363" s="21" t="s">
        <v>52</v>
      </c>
      <c r="F363" s="22">
        <v>26</v>
      </c>
      <c r="G363" s="22">
        <f t="shared" si="120"/>
        <v>495.94950000000006</v>
      </c>
      <c r="H363" s="22">
        <f t="shared" si="127"/>
        <v>628.91</v>
      </c>
      <c r="I363" s="147">
        <f t="shared" si="128"/>
        <v>16351.66</v>
      </c>
      <c r="J363" s="148"/>
      <c r="K363" s="148"/>
      <c r="L363" s="148"/>
      <c r="M363" s="148">
        <v>552.49</v>
      </c>
      <c r="N363" s="148">
        <v>700.61</v>
      </c>
      <c r="O363" s="148">
        <v>18215.86</v>
      </c>
      <c r="P363" s="494"/>
      <c r="Q363" s="148">
        <f t="shared" si="129"/>
        <v>0</v>
      </c>
      <c r="R363" s="148"/>
      <c r="S363" s="148">
        <f t="shared" si="130"/>
        <v>0</v>
      </c>
      <c r="T363" s="148">
        <f t="shared" si="125"/>
        <v>26</v>
      </c>
      <c r="U363" s="148">
        <f t="shared" si="126"/>
        <v>18215.86</v>
      </c>
      <c r="V363" s="379"/>
      <c r="W363" s="379"/>
      <c r="X363" s="31">
        <f>'COMPOSIÇÃO DE CUSTOS'!G646</f>
        <v>495.96</v>
      </c>
      <c r="Y363" s="346">
        <v>583.47</v>
      </c>
      <c r="Z363" s="334">
        <f t="shared" si="121"/>
        <v>12894.687000000002</v>
      </c>
      <c r="AA363" s="31"/>
      <c r="AB363" s="32"/>
    </row>
    <row r="364" spans="1:28" s="38" customFormat="1" ht="45">
      <c r="A364" s="19" t="s">
        <v>888</v>
      </c>
      <c r="B364" s="20">
        <v>10052</v>
      </c>
      <c r="C364" s="19" t="s">
        <v>2113</v>
      </c>
      <c r="D364" s="21" t="s">
        <v>44</v>
      </c>
      <c r="E364" s="21" t="s">
        <v>52</v>
      </c>
      <c r="F364" s="22">
        <v>18</v>
      </c>
      <c r="G364" s="22">
        <f t="shared" si="120"/>
        <v>1293.1644999999999</v>
      </c>
      <c r="H364" s="22">
        <f t="shared" si="127"/>
        <v>1639.86</v>
      </c>
      <c r="I364" s="147">
        <f t="shared" si="128"/>
        <v>29517.48</v>
      </c>
      <c r="J364" s="148"/>
      <c r="K364" s="148"/>
      <c r="L364" s="148"/>
      <c r="M364" s="148">
        <v>972.69</v>
      </c>
      <c r="N364" s="148">
        <v>1233.47</v>
      </c>
      <c r="O364" s="148">
        <v>22202.46</v>
      </c>
      <c r="P364" s="494"/>
      <c r="Q364" s="148">
        <f t="shared" si="129"/>
        <v>0</v>
      </c>
      <c r="R364" s="148"/>
      <c r="S364" s="148">
        <f t="shared" si="130"/>
        <v>0</v>
      </c>
      <c r="T364" s="148">
        <f t="shared" si="125"/>
        <v>18</v>
      </c>
      <c r="U364" s="148">
        <f t="shared" si="126"/>
        <v>22202.46</v>
      </c>
      <c r="V364" s="379"/>
      <c r="W364" s="379"/>
      <c r="X364" s="42">
        <f>'COMPOSIÇÃO DE CUSTOS'!G655</f>
        <v>1293.17</v>
      </c>
      <c r="Y364" s="336">
        <v>1521.37</v>
      </c>
      <c r="Z364" s="334">
        <f t="shared" si="121"/>
        <v>23276.960999999996</v>
      </c>
      <c r="AA364" s="42"/>
      <c r="AB364" s="39"/>
    </row>
    <row r="365" spans="1:28" ht="60">
      <c r="A365" s="19" t="s">
        <v>889</v>
      </c>
      <c r="B365" s="20">
        <v>89590</v>
      </c>
      <c r="C365" s="19" t="s">
        <v>1616</v>
      </c>
      <c r="D365" s="21" t="s">
        <v>12</v>
      </c>
      <c r="E365" s="21" t="s">
        <v>17</v>
      </c>
      <c r="F365" s="22">
        <v>4</v>
      </c>
      <c r="G365" s="22">
        <f t="shared" si="120"/>
        <v>96.160499999999999</v>
      </c>
      <c r="H365" s="22">
        <f t="shared" si="127"/>
        <v>121.94</v>
      </c>
      <c r="I365" s="147">
        <f t="shared" si="128"/>
        <v>487.76</v>
      </c>
      <c r="J365" s="148"/>
      <c r="K365" s="148"/>
      <c r="L365" s="148"/>
      <c r="M365" s="148">
        <v>107.12</v>
      </c>
      <c r="N365" s="148">
        <v>135.84</v>
      </c>
      <c r="O365" s="148">
        <v>543.36</v>
      </c>
      <c r="P365" s="494"/>
      <c r="Q365" s="148">
        <f t="shared" si="129"/>
        <v>0</v>
      </c>
      <c r="R365" s="148"/>
      <c r="S365" s="148">
        <f t="shared" si="130"/>
        <v>0</v>
      </c>
      <c r="T365" s="148">
        <f t="shared" si="125"/>
        <v>4</v>
      </c>
      <c r="U365" s="148">
        <f t="shared" si="126"/>
        <v>543.36</v>
      </c>
      <c r="V365" s="379"/>
      <c r="W365" s="379"/>
      <c r="X365" s="31" t="e">
        <f>IF(B365&lt;&gt;0,VLOOKUP(B365,#REF!,4,FALSE),"")</f>
        <v>#REF!</v>
      </c>
      <c r="Y365" s="346" t="s">
        <v>3282</v>
      </c>
      <c r="Z365" s="334">
        <f t="shared" si="121"/>
        <v>384.642</v>
      </c>
      <c r="AA365" s="31"/>
      <c r="AB365" s="32" t="e">
        <f>IF(B365&lt;&gt;0,VLOOKUP(B365,#REF!,2,FALSE),"")</f>
        <v>#REF!</v>
      </c>
    </row>
    <row r="366" spans="1:28" ht="60">
      <c r="A366" s="19" t="s">
        <v>890</v>
      </c>
      <c r="B366" s="20">
        <v>89591</v>
      </c>
      <c r="C366" s="19" t="s">
        <v>1617</v>
      </c>
      <c r="D366" s="21" t="s">
        <v>12</v>
      </c>
      <c r="E366" s="21" t="s">
        <v>17</v>
      </c>
      <c r="F366" s="22">
        <v>6</v>
      </c>
      <c r="G366" s="22">
        <f t="shared" si="120"/>
        <v>78.727000000000004</v>
      </c>
      <c r="H366" s="22">
        <f t="shared" si="127"/>
        <v>99.83</v>
      </c>
      <c r="I366" s="147">
        <f t="shared" si="128"/>
        <v>598.98</v>
      </c>
      <c r="J366" s="148"/>
      <c r="K366" s="148"/>
      <c r="L366" s="148"/>
      <c r="M366" s="148">
        <v>87.7</v>
      </c>
      <c r="N366" s="148">
        <v>111.21</v>
      </c>
      <c r="O366" s="148">
        <v>667.26</v>
      </c>
      <c r="P366" s="494"/>
      <c r="Q366" s="148">
        <f t="shared" si="129"/>
        <v>0</v>
      </c>
      <c r="R366" s="148"/>
      <c r="S366" s="148">
        <f t="shared" si="130"/>
        <v>0</v>
      </c>
      <c r="T366" s="148">
        <f t="shared" si="125"/>
        <v>6</v>
      </c>
      <c r="U366" s="148">
        <f t="shared" si="126"/>
        <v>667.26</v>
      </c>
      <c r="V366" s="379"/>
      <c r="W366" s="379"/>
      <c r="X366" s="31" t="e">
        <f>IF(B366&lt;&gt;0,VLOOKUP(B366,#REF!,4,FALSE),"")</f>
        <v>#REF!</v>
      </c>
      <c r="Y366" s="346" t="s">
        <v>3186</v>
      </c>
      <c r="Z366" s="334">
        <f t="shared" si="121"/>
        <v>472.36200000000002</v>
      </c>
      <c r="AA366" s="31"/>
      <c r="AB366" s="32" t="e">
        <f>IF(B366&lt;&gt;0,VLOOKUP(B366,#REF!,2,FALSE),"")</f>
        <v>#REF!</v>
      </c>
    </row>
    <row r="367" spans="1:28" ht="60">
      <c r="A367" s="19" t="s">
        <v>891</v>
      </c>
      <c r="B367" s="20">
        <v>89584</v>
      </c>
      <c r="C367" s="19" t="s">
        <v>1618</v>
      </c>
      <c r="D367" s="21" t="s">
        <v>12</v>
      </c>
      <c r="E367" s="21" t="s">
        <v>17</v>
      </c>
      <c r="F367" s="22">
        <v>6</v>
      </c>
      <c r="G367" s="22">
        <f t="shared" si="120"/>
        <v>29.954000000000001</v>
      </c>
      <c r="H367" s="22">
        <f t="shared" si="127"/>
        <v>37.979999999999997</v>
      </c>
      <c r="I367" s="147">
        <f t="shared" si="128"/>
        <v>227.88</v>
      </c>
      <c r="J367" s="148"/>
      <c r="K367" s="148"/>
      <c r="L367" s="148"/>
      <c r="M367" s="148">
        <v>33.369999999999997</v>
      </c>
      <c r="N367" s="148">
        <v>42.32</v>
      </c>
      <c r="O367" s="148">
        <v>253.92</v>
      </c>
      <c r="P367" s="494"/>
      <c r="Q367" s="148">
        <f t="shared" si="129"/>
        <v>0</v>
      </c>
      <c r="R367" s="148"/>
      <c r="S367" s="148">
        <f t="shared" si="130"/>
        <v>0</v>
      </c>
      <c r="T367" s="148">
        <f t="shared" si="125"/>
        <v>6</v>
      </c>
      <c r="U367" s="148">
        <f t="shared" si="126"/>
        <v>253.92</v>
      </c>
      <c r="V367" s="379"/>
      <c r="W367" s="379"/>
      <c r="X367" s="31" t="e">
        <f>IF(B367&lt;&gt;0,VLOOKUP(B367,#REF!,4,FALSE),"")</f>
        <v>#REF!</v>
      </c>
      <c r="Y367" s="346" t="s">
        <v>3126</v>
      </c>
      <c r="Z367" s="334">
        <f t="shared" si="121"/>
        <v>179.72399999999999</v>
      </c>
      <c r="AA367" s="31"/>
      <c r="AB367" s="32" t="e">
        <f>IF(B367&lt;&gt;0,VLOOKUP(B367,#REF!,2,FALSE),"")</f>
        <v>#REF!</v>
      </c>
    </row>
    <row r="368" spans="1:28" ht="60">
      <c r="A368" s="19" t="s">
        <v>892</v>
      </c>
      <c r="B368" s="20">
        <v>89585</v>
      </c>
      <c r="C368" s="19" t="s">
        <v>1619</v>
      </c>
      <c r="D368" s="21" t="s">
        <v>12</v>
      </c>
      <c r="E368" s="21" t="s">
        <v>17</v>
      </c>
      <c r="F368" s="22">
        <v>4</v>
      </c>
      <c r="G368" s="22">
        <f t="shared" si="120"/>
        <v>23.885000000000002</v>
      </c>
      <c r="H368" s="22">
        <f t="shared" si="127"/>
        <v>30.29</v>
      </c>
      <c r="I368" s="147">
        <f t="shared" si="128"/>
        <v>121.16</v>
      </c>
      <c r="J368" s="148"/>
      <c r="K368" s="148"/>
      <c r="L368" s="148"/>
      <c r="M368" s="148">
        <v>26.61</v>
      </c>
      <c r="N368" s="148">
        <v>33.74</v>
      </c>
      <c r="O368" s="148">
        <v>134.96</v>
      </c>
      <c r="P368" s="494"/>
      <c r="Q368" s="148">
        <f t="shared" si="129"/>
        <v>0</v>
      </c>
      <c r="R368" s="148"/>
      <c r="S368" s="148">
        <f t="shared" si="130"/>
        <v>0</v>
      </c>
      <c r="T368" s="148">
        <f t="shared" si="125"/>
        <v>4</v>
      </c>
      <c r="U368" s="148">
        <f t="shared" si="126"/>
        <v>134.96</v>
      </c>
      <c r="V368" s="379"/>
      <c r="W368" s="379"/>
      <c r="X368" s="31" t="e">
        <f>IF(B368&lt;&gt;0,VLOOKUP(B368,#REF!,4,FALSE),"")</f>
        <v>#REF!</v>
      </c>
      <c r="Y368" s="346" t="s">
        <v>3281</v>
      </c>
      <c r="Z368" s="334">
        <f t="shared" si="121"/>
        <v>95.54</v>
      </c>
      <c r="AA368" s="31"/>
      <c r="AB368" s="32" t="e">
        <f>IF(B368&lt;&gt;0,VLOOKUP(B368,#REF!,2,FALSE),"")</f>
        <v>#REF!</v>
      </c>
    </row>
    <row r="369" spans="1:28" ht="45">
      <c r="A369" s="19" t="s">
        <v>893</v>
      </c>
      <c r="B369" s="20">
        <v>89492</v>
      </c>
      <c r="C369" s="19" t="s">
        <v>1620</v>
      </c>
      <c r="D369" s="21" t="s">
        <v>12</v>
      </c>
      <c r="E369" s="21" t="s">
        <v>17</v>
      </c>
      <c r="F369" s="22">
        <v>4</v>
      </c>
      <c r="G369" s="22">
        <f t="shared" si="120"/>
        <v>4.9809999999999999</v>
      </c>
      <c r="H369" s="22">
        <f t="shared" si="127"/>
        <v>6.32</v>
      </c>
      <c r="I369" s="147">
        <f t="shared" si="128"/>
        <v>25.28</v>
      </c>
      <c r="J369" s="148"/>
      <c r="K369" s="148"/>
      <c r="L369" s="148"/>
      <c r="M369" s="148">
        <v>5.55</v>
      </c>
      <c r="N369" s="148">
        <v>7.04</v>
      </c>
      <c r="O369" s="148">
        <v>28.16</v>
      </c>
      <c r="P369" s="494"/>
      <c r="Q369" s="148">
        <f t="shared" si="129"/>
        <v>0</v>
      </c>
      <c r="R369" s="148"/>
      <c r="S369" s="148">
        <f t="shared" si="130"/>
        <v>0</v>
      </c>
      <c r="T369" s="148">
        <f t="shared" si="125"/>
        <v>4</v>
      </c>
      <c r="U369" s="148">
        <f t="shared" si="126"/>
        <v>28.16</v>
      </c>
      <c r="V369" s="379"/>
      <c r="W369" s="379"/>
      <c r="X369" s="31" t="e">
        <f>IF(B369&lt;&gt;0,VLOOKUP(B369,#REF!,4,FALSE),"")</f>
        <v>#REF!</v>
      </c>
      <c r="Y369" s="346" t="s">
        <v>3119</v>
      </c>
      <c r="Z369" s="334">
        <f t="shared" si="121"/>
        <v>19.923999999999999</v>
      </c>
      <c r="AA369" s="31"/>
      <c r="AB369" s="32" t="e">
        <f>IF(B369&lt;&gt;0,VLOOKUP(B369,#REF!,2,FALSE),"")</f>
        <v>#REF!</v>
      </c>
    </row>
    <row r="370" spans="1:28" ht="45">
      <c r="A370" s="19" t="s">
        <v>894</v>
      </c>
      <c r="B370" s="20">
        <v>89513</v>
      </c>
      <c r="C370" s="19" t="s">
        <v>1591</v>
      </c>
      <c r="D370" s="21" t="s">
        <v>12</v>
      </c>
      <c r="E370" s="21" t="s">
        <v>17</v>
      </c>
      <c r="F370" s="22">
        <v>4</v>
      </c>
      <c r="G370" s="22">
        <f t="shared" si="120"/>
        <v>93.848500000000001</v>
      </c>
      <c r="H370" s="22">
        <f t="shared" si="127"/>
        <v>119.01</v>
      </c>
      <c r="I370" s="147">
        <f t="shared" si="128"/>
        <v>476.04</v>
      </c>
      <c r="J370" s="148"/>
      <c r="K370" s="148"/>
      <c r="L370" s="148"/>
      <c r="M370" s="148">
        <v>104.55</v>
      </c>
      <c r="N370" s="148">
        <v>132.58000000000001</v>
      </c>
      <c r="O370" s="148">
        <v>530.32000000000005</v>
      </c>
      <c r="P370" s="494"/>
      <c r="Q370" s="148">
        <f t="shared" si="129"/>
        <v>0</v>
      </c>
      <c r="R370" s="148"/>
      <c r="S370" s="148">
        <f t="shared" si="130"/>
        <v>0</v>
      </c>
      <c r="T370" s="148">
        <f t="shared" si="125"/>
        <v>4</v>
      </c>
      <c r="U370" s="148">
        <f t="shared" si="126"/>
        <v>530.32000000000005</v>
      </c>
      <c r="V370" s="379"/>
      <c r="W370" s="379"/>
      <c r="X370" s="31" t="e">
        <f>IF(B370&lt;&gt;0,VLOOKUP(B370,#REF!,4,FALSE),"")</f>
        <v>#REF!</v>
      </c>
      <c r="Y370" s="346" t="s">
        <v>3280</v>
      </c>
      <c r="Z370" s="334">
        <f t="shared" si="121"/>
        <v>375.39400000000001</v>
      </c>
      <c r="AA370" s="31"/>
      <c r="AB370" s="32" t="e">
        <f>IF(B370&lt;&gt;0,VLOOKUP(B370,#REF!,2,FALSE),"")</f>
        <v>#REF!</v>
      </c>
    </row>
    <row r="371" spans="1:28" ht="45">
      <c r="A371" s="19" t="s">
        <v>895</v>
      </c>
      <c r="B371" s="20">
        <v>89516</v>
      </c>
      <c r="C371" s="19" t="s">
        <v>1621</v>
      </c>
      <c r="D371" s="21" t="s">
        <v>12</v>
      </c>
      <c r="E371" s="21" t="s">
        <v>17</v>
      </c>
      <c r="F371" s="22">
        <v>3</v>
      </c>
      <c r="G371" s="22">
        <f t="shared" si="120"/>
        <v>6.0605000000000002</v>
      </c>
      <c r="H371" s="22">
        <f t="shared" si="127"/>
        <v>7.69</v>
      </c>
      <c r="I371" s="147">
        <f t="shared" si="128"/>
        <v>23.07</v>
      </c>
      <c r="J371" s="148"/>
      <c r="K371" s="148"/>
      <c r="L371" s="148"/>
      <c r="M371" s="148">
        <v>6.75</v>
      </c>
      <c r="N371" s="148">
        <v>8.56</v>
      </c>
      <c r="O371" s="148">
        <v>25.68</v>
      </c>
      <c r="P371" s="494"/>
      <c r="Q371" s="148">
        <f t="shared" si="129"/>
        <v>0</v>
      </c>
      <c r="R371" s="148"/>
      <c r="S371" s="148">
        <f t="shared" si="130"/>
        <v>0</v>
      </c>
      <c r="T371" s="148">
        <f t="shared" si="125"/>
        <v>3</v>
      </c>
      <c r="U371" s="148">
        <f t="shared" si="126"/>
        <v>25.68</v>
      </c>
      <c r="V371" s="379"/>
      <c r="W371" s="379"/>
      <c r="X371" s="31" t="e">
        <f>IF(B371&lt;&gt;0,VLOOKUP(B371,#REF!,4,FALSE),"")</f>
        <v>#REF!</v>
      </c>
      <c r="Y371" s="346" t="s">
        <v>1868</v>
      </c>
      <c r="Z371" s="334">
        <f t="shared" si="121"/>
        <v>18.1815</v>
      </c>
      <c r="AA371" s="31"/>
      <c r="AB371" s="32" t="e">
        <f>IF(B371&lt;&gt;0,VLOOKUP(B371,#REF!,2,FALSE),"")</f>
        <v>#REF!</v>
      </c>
    </row>
    <row r="372" spans="1:28" ht="60">
      <c r="A372" s="19" t="s">
        <v>896</v>
      </c>
      <c r="B372" s="20">
        <v>89582</v>
      </c>
      <c r="C372" s="19" t="s">
        <v>1622</v>
      </c>
      <c r="D372" s="21" t="s">
        <v>12</v>
      </c>
      <c r="E372" s="21" t="s">
        <v>17</v>
      </c>
      <c r="F372" s="22">
        <v>3</v>
      </c>
      <c r="G372" s="22">
        <f t="shared" si="120"/>
        <v>17.34</v>
      </c>
      <c r="H372" s="22">
        <f t="shared" si="127"/>
        <v>21.99</v>
      </c>
      <c r="I372" s="147">
        <f t="shared" si="128"/>
        <v>65.97</v>
      </c>
      <c r="J372" s="148"/>
      <c r="K372" s="148"/>
      <c r="L372" s="148"/>
      <c r="M372" s="148">
        <v>19.32</v>
      </c>
      <c r="N372" s="148">
        <v>24.5</v>
      </c>
      <c r="O372" s="148">
        <v>73.5</v>
      </c>
      <c r="P372" s="494"/>
      <c r="Q372" s="148">
        <f t="shared" si="129"/>
        <v>0</v>
      </c>
      <c r="R372" s="148"/>
      <c r="S372" s="148">
        <f t="shared" si="130"/>
        <v>0</v>
      </c>
      <c r="T372" s="148">
        <f t="shared" si="125"/>
        <v>3</v>
      </c>
      <c r="U372" s="148">
        <f t="shared" si="126"/>
        <v>73.5</v>
      </c>
      <c r="V372" s="379"/>
      <c r="W372" s="379"/>
      <c r="X372" s="31" t="e">
        <f>IF(B372&lt;&gt;0,VLOOKUP(B372,#REF!,4,FALSE),"")</f>
        <v>#REF!</v>
      </c>
      <c r="Y372" s="346" t="s">
        <v>3224</v>
      </c>
      <c r="Z372" s="334">
        <f t="shared" si="121"/>
        <v>52.019999999999996</v>
      </c>
      <c r="AA372" s="31"/>
      <c r="AB372" s="32" t="e">
        <f>IF(B372&lt;&gt;0,VLOOKUP(B372,#REF!,2,FALSE),"")</f>
        <v>#REF!</v>
      </c>
    </row>
    <row r="373" spans="1:28" ht="45">
      <c r="A373" s="19" t="s">
        <v>897</v>
      </c>
      <c r="B373" s="20">
        <v>89368</v>
      </c>
      <c r="C373" s="19" t="s">
        <v>1623</v>
      </c>
      <c r="D373" s="21" t="s">
        <v>12</v>
      </c>
      <c r="E373" s="21" t="s">
        <v>17</v>
      </c>
      <c r="F373" s="22">
        <v>6</v>
      </c>
      <c r="G373" s="22">
        <f t="shared" si="120"/>
        <v>9.8089999999999993</v>
      </c>
      <c r="H373" s="22">
        <f t="shared" si="127"/>
        <v>12.44</v>
      </c>
      <c r="I373" s="147">
        <f t="shared" si="128"/>
        <v>74.64</v>
      </c>
      <c r="J373" s="148"/>
      <c r="K373" s="148"/>
      <c r="L373" s="148"/>
      <c r="M373" s="148">
        <v>10.93</v>
      </c>
      <c r="N373" s="148">
        <v>13.86</v>
      </c>
      <c r="O373" s="148">
        <v>83.16</v>
      </c>
      <c r="P373" s="494"/>
      <c r="Q373" s="148">
        <f t="shared" si="129"/>
        <v>0</v>
      </c>
      <c r="R373" s="148"/>
      <c r="S373" s="148">
        <f t="shared" si="130"/>
        <v>0</v>
      </c>
      <c r="T373" s="148">
        <f t="shared" si="125"/>
        <v>6</v>
      </c>
      <c r="U373" s="148">
        <f t="shared" si="126"/>
        <v>83.16</v>
      </c>
      <c r="V373" s="379"/>
      <c r="W373" s="379"/>
      <c r="X373" s="31" t="e">
        <f>IF(B373&lt;&gt;0,VLOOKUP(B373,#REF!,4,FALSE),"")</f>
        <v>#REF!</v>
      </c>
      <c r="Y373" s="346" t="s">
        <v>3122</v>
      </c>
      <c r="Z373" s="334">
        <f t="shared" si="121"/>
        <v>58.853999999999999</v>
      </c>
      <c r="AA373" s="31"/>
      <c r="AB373" s="32" t="e">
        <f>IF(B373&lt;&gt;0,VLOOKUP(B373,#REF!,2,FALSE),"")</f>
        <v>#REF!</v>
      </c>
    </row>
    <row r="374" spans="1:28" ht="60">
      <c r="A374" s="19" t="s">
        <v>898</v>
      </c>
      <c r="B374" s="20">
        <v>89690</v>
      </c>
      <c r="C374" s="19" t="s">
        <v>1624</v>
      </c>
      <c r="D374" s="21" t="s">
        <v>12</v>
      </c>
      <c r="E374" s="21" t="s">
        <v>17</v>
      </c>
      <c r="F374" s="22">
        <v>6</v>
      </c>
      <c r="G374" s="22">
        <f t="shared" si="120"/>
        <v>55.360499999999995</v>
      </c>
      <c r="H374" s="22">
        <f t="shared" si="127"/>
        <v>70.2</v>
      </c>
      <c r="I374" s="147">
        <f t="shared" si="128"/>
        <v>421.2</v>
      </c>
      <c r="J374" s="148"/>
      <c r="K374" s="148"/>
      <c r="L374" s="148"/>
      <c r="M374" s="148">
        <v>61.67</v>
      </c>
      <c r="N374" s="148">
        <v>78.2</v>
      </c>
      <c r="O374" s="148">
        <v>469.2</v>
      </c>
      <c r="P374" s="494"/>
      <c r="Q374" s="148">
        <f t="shared" si="129"/>
        <v>0</v>
      </c>
      <c r="R374" s="148"/>
      <c r="S374" s="148">
        <f t="shared" si="130"/>
        <v>0</v>
      </c>
      <c r="T374" s="148">
        <f t="shared" si="125"/>
        <v>6</v>
      </c>
      <c r="U374" s="148">
        <f t="shared" si="126"/>
        <v>469.2</v>
      </c>
      <c r="V374" s="379"/>
      <c r="W374" s="379"/>
      <c r="X374" s="31" t="e">
        <f>IF(B374&lt;&gt;0,VLOOKUP(B374,#REF!,4,FALSE),"")</f>
        <v>#REF!</v>
      </c>
      <c r="Y374" s="346" t="s">
        <v>3284</v>
      </c>
      <c r="Z374" s="334">
        <f t="shared" si="121"/>
        <v>332.16299999999995</v>
      </c>
      <c r="AA374" s="31"/>
      <c r="AB374" s="32" t="e">
        <f>IF(B374&lt;&gt;0,VLOOKUP(B374,#REF!,2,FALSE),"")</f>
        <v>#REF!</v>
      </c>
    </row>
    <row r="375" spans="1:28" ht="45">
      <c r="A375" s="19" t="s">
        <v>899</v>
      </c>
      <c r="B375" s="20">
        <v>89574</v>
      </c>
      <c r="C375" s="19" t="s">
        <v>1625</v>
      </c>
      <c r="D375" s="21" t="s">
        <v>12</v>
      </c>
      <c r="E375" s="21" t="s">
        <v>17</v>
      </c>
      <c r="F375" s="22">
        <v>6</v>
      </c>
      <c r="G375" s="22">
        <f t="shared" si="120"/>
        <v>93.083500000000001</v>
      </c>
      <c r="H375" s="22">
        <f t="shared" si="127"/>
        <v>118.04</v>
      </c>
      <c r="I375" s="147">
        <f t="shared" si="128"/>
        <v>708.24</v>
      </c>
      <c r="J375" s="148"/>
      <c r="K375" s="148"/>
      <c r="L375" s="148"/>
      <c r="M375" s="148">
        <v>103.7</v>
      </c>
      <c r="N375" s="148">
        <v>131.5</v>
      </c>
      <c r="O375" s="148">
        <v>789</v>
      </c>
      <c r="P375" s="494"/>
      <c r="Q375" s="148">
        <f t="shared" si="129"/>
        <v>0</v>
      </c>
      <c r="R375" s="148"/>
      <c r="S375" s="148">
        <f t="shared" si="130"/>
        <v>0</v>
      </c>
      <c r="T375" s="148">
        <f t="shared" si="125"/>
        <v>6</v>
      </c>
      <c r="U375" s="148">
        <f t="shared" si="126"/>
        <v>789</v>
      </c>
      <c r="V375" s="379"/>
      <c r="W375" s="379"/>
      <c r="X375" s="31" t="e">
        <f>IF(B375&lt;&gt;0,VLOOKUP(B375,#REF!,4,FALSE),"")</f>
        <v>#REF!</v>
      </c>
      <c r="Y375" s="346" t="s">
        <v>3171</v>
      </c>
      <c r="Z375" s="334">
        <f t="shared" si="121"/>
        <v>558.50099999999998</v>
      </c>
      <c r="AA375" s="31"/>
      <c r="AB375" s="32" t="e">
        <f>IF(B375&lt;&gt;0,VLOOKUP(B375,#REF!,2,FALSE),"")</f>
        <v>#REF!</v>
      </c>
    </row>
    <row r="376" spans="1:28" ht="45">
      <c r="A376" s="19" t="s">
        <v>900</v>
      </c>
      <c r="B376" s="20">
        <v>89620</v>
      </c>
      <c r="C376" s="19" t="s">
        <v>1626</v>
      </c>
      <c r="D376" s="21" t="s">
        <v>12</v>
      </c>
      <c r="E376" s="21" t="s">
        <v>17</v>
      </c>
      <c r="F376" s="22">
        <v>7</v>
      </c>
      <c r="G376" s="22">
        <f t="shared" si="120"/>
        <v>8.0239999999999991</v>
      </c>
      <c r="H376" s="22">
        <f t="shared" si="127"/>
        <v>10.18</v>
      </c>
      <c r="I376" s="147">
        <f t="shared" si="128"/>
        <v>71.260000000000005</v>
      </c>
      <c r="J376" s="148"/>
      <c r="K376" s="148"/>
      <c r="L376" s="148"/>
      <c r="M376" s="148">
        <v>8.94</v>
      </c>
      <c r="N376" s="148">
        <v>11.34</v>
      </c>
      <c r="O376" s="148">
        <v>79.38</v>
      </c>
      <c r="P376" s="494"/>
      <c r="Q376" s="148">
        <f t="shared" si="129"/>
        <v>0</v>
      </c>
      <c r="R376" s="148"/>
      <c r="S376" s="148">
        <f t="shared" si="130"/>
        <v>0</v>
      </c>
      <c r="T376" s="148">
        <f t="shared" si="125"/>
        <v>7</v>
      </c>
      <c r="U376" s="148">
        <f t="shared" si="126"/>
        <v>79.38</v>
      </c>
      <c r="V376" s="379"/>
      <c r="W376" s="379"/>
      <c r="X376" s="31" t="e">
        <f>IF(B376&lt;&gt;0,VLOOKUP(B376,#REF!,4,FALSE),"")</f>
        <v>#REF!</v>
      </c>
      <c r="Y376" s="346" t="s">
        <v>3283</v>
      </c>
      <c r="Z376" s="334">
        <f t="shared" si="121"/>
        <v>56.167999999999992</v>
      </c>
      <c r="AA376" s="31"/>
      <c r="AB376" s="32" t="e">
        <f>IF(B376&lt;&gt;0,VLOOKUP(B376,#REF!,2,FALSE),"")</f>
        <v>#REF!</v>
      </c>
    </row>
    <row r="377" spans="1:28" s="23" customFormat="1">
      <c r="A377" s="19" t="s">
        <v>901</v>
      </c>
      <c r="B377" s="20">
        <v>53099</v>
      </c>
      <c r="C377" s="19" t="s">
        <v>2367</v>
      </c>
      <c r="D377" s="21" t="s">
        <v>1914</v>
      </c>
      <c r="E377" s="21" t="s">
        <v>17</v>
      </c>
      <c r="F377" s="22">
        <v>3</v>
      </c>
      <c r="G377" s="22">
        <f t="shared" si="120"/>
        <v>21.385999999999999</v>
      </c>
      <c r="H377" s="22">
        <f t="shared" si="127"/>
        <v>27.12</v>
      </c>
      <c r="I377" s="147">
        <f t="shared" si="128"/>
        <v>81.36</v>
      </c>
      <c r="J377" s="148"/>
      <c r="K377" s="148"/>
      <c r="L377" s="148"/>
      <c r="M377" s="148">
        <v>23.82</v>
      </c>
      <c r="N377" s="148">
        <v>30.21</v>
      </c>
      <c r="O377" s="148">
        <v>90.63</v>
      </c>
      <c r="P377" s="494"/>
      <c r="Q377" s="148">
        <f t="shared" si="129"/>
        <v>0</v>
      </c>
      <c r="R377" s="148"/>
      <c r="S377" s="148">
        <f t="shared" si="130"/>
        <v>0</v>
      </c>
      <c r="T377" s="148">
        <f t="shared" si="125"/>
        <v>3</v>
      </c>
      <c r="U377" s="148">
        <f t="shared" si="126"/>
        <v>90.63</v>
      </c>
      <c r="V377" s="379"/>
      <c r="W377" s="379"/>
      <c r="X377" s="31">
        <f>'COMPOSIÇÃO DE CUSTOS'!G662</f>
        <v>21.4</v>
      </c>
      <c r="Y377" s="346">
        <v>25.16</v>
      </c>
      <c r="Z377" s="334">
        <f t="shared" si="121"/>
        <v>64.158000000000001</v>
      </c>
      <c r="AA377" s="31"/>
      <c r="AB377" s="32"/>
    </row>
    <row r="378" spans="1:28" s="23" customFormat="1">
      <c r="A378" s="19" t="s">
        <v>902</v>
      </c>
      <c r="B378" s="21" t="s">
        <v>2116</v>
      </c>
      <c r="C378" s="19" t="s">
        <v>2368</v>
      </c>
      <c r="D378" s="21" t="s">
        <v>1914</v>
      </c>
      <c r="E378" s="21" t="s">
        <v>17</v>
      </c>
      <c r="F378" s="22">
        <v>3</v>
      </c>
      <c r="G378" s="22">
        <f t="shared" si="120"/>
        <v>29.460999999999999</v>
      </c>
      <c r="H378" s="22">
        <f t="shared" si="127"/>
        <v>37.36</v>
      </c>
      <c r="I378" s="147">
        <f t="shared" si="128"/>
        <v>112.08</v>
      </c>
      <c r="J378" s="148"/>
      <c r="K378" s="148"/>
      <c r="L378" s="148"/>
      <c r="M378" s="148">
        <v>32.82</v>
      </c>
      <c r="N378" s="148">
        <v>41.62</v>
      </c>
      <c r="O378" s="148">
        <v>124.86</v>
      </c>
      <c r="P378" s="494"/>
      <c r="Q378" s="148">
        <f t="shared" si="129"/>
        <v>0</v>
      </c>
      <c r="R378" s="148"/>
      <c r="S378" s="148">
        <f t="shared" si="130"/>
        <v>0</v>
      </c>
      <c r="T378" s="148">
        <f t="shared" si="125"/>
        <v>3</v>
      </c>
      <c r="U378" s="148">
        <f t="shared" si="126"/>
        <v>124.86</v>
      </c>
      <c r="V378" s="379"/>
      <c r="W378" s="379"/>
      <c r="X378" s="31">
        <f>'COMPOSIÇÃO DE CUSTOS'!G669</f>
        <v>29.47</v>
      </c>
      <c r="Y378" s="346">
        <v>34.659999999999997</v>
      </c>
      <c r="Z378" s="334">
        <f t="shared" si="121"/>
        <v>88.382999999999996</v>
      </c>
      <c r="AA378" s="31"/>
      <c r="AB378" s="32"/>
    </row>
    <row r="379" spans="1:28" s="23" customFormat="1" ht="15" customHeight="1">
      <c r="A379" s="229" t="s">
        <v>903</v>
      </c>
      <c r="B379" s="229"/>
      <c r="C379" s="229" t="s">
        <v>141</v>
      </c>
      <c r="D379" s="230"/>
      <c r="E379" s="230"/>
      <c r="F379" s="230"/>
      <c r="G379" s="22"/>
      <c r="H379" s="230"/>
      <c r="I379" s="445"/>
      <c r="J379" s="440"/>
      <c r="K379" s="440"/>
      <c r="L379" s="440"/>
      <c r="M379" s="440"/>
      <c r="N379" s="440"/>
      <c r="O379" s="440"/>
      <c r="P379" s="492"/>
      <c r="Q379" s="148">
        <f t="shared" si="129"/>
        <v>0</v>
      </c>
      <c r="R379" s="440"/>
      <c r="S379" s="440"/>
      <c r="T379" s="148"/>
      <c r="U379" s="148"/>
      <c r="V379" s="330"/>
      <c r="W379" s="330"/>
      <c r="X379" s="32"/>
      <c r="Y379" s="346"/>
      <c r="Z379" s="334">
        <f t="shared" si="121"/>
        <v>0</v>
      </c>
      <c r="AA379" s="32"/>
      <c r="AB379" s="32"/>
    </row>
    <row r="380" spans="1:28" s="38" customFormat="1" ht="90">
      <c r="A380" s="449" t="s">
        <v>904</v>
      </c>
      <c r="B380" s="447" t="s">
        <v>2117</v>
      </c>
      <c r="C380" s="449" t="s">
        <v>142</v>
      </c>
      <c r="D380" s="447" t="s">
        <v>1914</v>
      </c>
      <c r="E380" s="447" t="s">
        <v>17</v>
      </c>
      <c r="F380" s="450">
        <v>14</v>
      </c>
      <c r="G380" s="450">
        <f t="shared" si="120"/>
        <v>194.76900000000001</v>
      </c>
      <c r="H380" s="450">
        <f>ROUND(G380*(1+$X$14),2)</f>
        <v>246.99</v>
      </c>
      <c r="I380" s="451">
        <f>ROUND(H380*F380,2)</f>
        <v>3457.86</v>
      </c>
      <c r="J380" s="452"/>
      <c r="K380" s="452"/>
      <c r="L380" s="452"/>
      <c r="M380" s="452">
        <v>216.97</v>
      </c>
      <c r="N380" s="452">
        <v>275.14</v>
      </c>
      <c r="O380" s="452">
        <v>3851.96</v>
      </c>
      <c r="P380" s="493">
        <v>9</v>
      </c>
      <c r="Q380" s="452">
        <f t="shared" si="129"/>
        <v>2476.2600000000002</v>
      </c>
      <c r="R380" s="452"/>
      <c r="S380" s="452">
        <f>ROUND(R380*P380,2)</f>
        <v>0</v>
      </c>
      <c r="T380" s="452">
        <f t="shared" si="125"/>
        <v>23</v>
      </c>
      <c r="U380" s="452">
        <f t="shared" si="126"/>
        <v>6328.22</v>
      </c>
      <c r="V380" s="453"/>
      <c r="W380" s="453"/>
      <c r="X380" s="42">
        <f>'COMPOSIÇÃO DE CUSTOS'!G682</f>
        <v>194.75</v>
      </c>
      <c r="Y380" s="336">
        <v>229.14</v>
      </c>
      <c r="Z380" s="336">
        <f t="shared" si="121"/>
        <v>2726.7660000000001</v>
      </c>
      <c r="AA380" s="42"/>
      <c r="AB380" s="39"/>
    </row>
    <row r="381" spans="1:28" s="23" customFormat="1" ht="30">
      <c r="A381" s="19" t="s">
        <v>905</v>
      </c>
      <c r="B381" s="20">
        <v>72285</v>
      </c>
      <c r="C381" s="19" t="s">
        <v>143</v>
      </c>
      <c r="D381" s="21" t="s">
        <v>1914</v>
      </c>
      <c r="E381" s="21" t="s">
        <v>17</v>
      </c>
      <c r="F381" s="22">
        <v>7</v>
      </c>
      <c r="G381" s="22">
        <f t="shared" si="120"/>
        <v>60.375500000000002</v>
      </c>
      <c r="H381" s="22">
        <f>ROUND(G381*(1+$X$14),2)</f>
        <v>76.56</v>
      </c>
      <c r="I381" s="147">
        <f>ROUND(H381*F381,2)</f>
        <v>535.91999999999996</v>
      </c>
      <c r="J381" s="148"/>
      <c r="K381" s="148"/>
      <c r="L381" s="148"/>
      <c r="M381" s="148">
        <v>67.260000000000005</v>
      </c>
      <c r="N381" s="148">
        <v>85.29</v>
      </c>
      <c r="O381" s="148">
        <v>597.03</v>
      </c>
      <c r="P381" s="494"/>
      <c r="Q381" s="148">
        <f t="shared" si="129"/>
        <v>0</v>
      </c>
      <c r="R381" s="148"/>
      <c r="S381" s="148">
        <f>ROUND(R381*P381,2)</f>
        <v>0</v>
      </c>
      <c r="T381" s="148">
        <f t="shared" si="125"/>
        <v>7</v>
      </c>
      <c r="U381" s="148">
        <f t="shared" si="126"/>
        <v>597.03</v>
      </c>
      <c r="V381" s="379"/>
      <c r="W381" s="379"/>
      <c r="X381" s="31">
        <f>'COMPOSIÇÃO DE CUSTOS'!G692</f>
        <v>60.38</v>
      </c>
      <c r="Y381" s="346">
        <v>71.03</v>
      </c>
      <c r="Z381" s="334">
        <f t="shared" si="121"/>
        <v>422.62850000000003</v>
      </c>
      <c r="AA381" s="31"/>
      <c r="AB381" s="32"/>
    </row>
    <row r="382" spans="1:28" s="23" customFormat="1" ht="45">
      <c r="A382" s="19" t="s">
        <v>906</v>
      </c>
      <c r="B382" s="20">
        <v>89495</v>
      </c>
      <c r="C382" s="19" t="s">
        <v>1627</v>
      </c>
      <c r="D382" s="21" t="s">
        <v>12</v>
      </c>
      <c r="E382" s="21" t="s">
        <v>17</v>
      </c>
      <c r="F382" s="22">
        <v>8</v>
      </c>
      <c r="G382" s="22">
        <f t="shared" si="120"/>
        <v>6.0009999999999994</v>
      </c>
      <c r="H382" s="22">
        <f>ROUND(G382*(1+$X$14),2)</f>
        <v>7.61</v>
      </c>
      <c r="I382" s="147">
        <f>ROUND(H382*F382,2)</f>
        <v>60.88</v>
      </c>
      <c r="J382" s="148"/>
      <c r="K382" s="148"/>
      <c r="L382" s="148"/>
      <c r="M382" s="148">
        <v>6.69</v>
      </c>
      <c r="N382" s="148">
        <v>8.48</v>
      </c>
      <c r="O382" s="148">
        <v>67.84</v>
      </c>
      <c r="P382" s="494"/>
      <c r="Q382" s="148">
        <f t="shared" si="129"/>
        <v>0</v>
      </c>
      <c r="R382" s="148"/>
      <c r="S382" s="148">
        <f>ROUND(R382*P382,2)</f>
        <v>0</v>
      </c>
      <c r="T382" s="148">
        <f t="shared" si="125"/>
        <v>8</v>
      </c>
      <c r="U382" s="148">
        <f t="shared" si="126"/>
        <v>67.84</v>
      </c>
      <c r="V382" s="379"/>
      <c r="W382" s="379"/>
      <c r="X382" s="31" t="e">
        <f>IF(B382&lt;&gt;0,VLOOKUP(B382,#REF!,4,FALSE),"")</f>
        <v>#REF!</v>
      </c>
      <c r="Y382" s="346" t="s">
        <v>1839</v>
      </c>
      <c r="Z382" s="334">
        <f t="shared" si="121"/>
        <v>48.007999999999996</v>
      </c>
      <c r="AA382" s="31"/>
      <c r="AB382" s="32" t="e">
        <f>IF(B382&lt;&gt;0,VLOOKUP(B382,#REF!,2,FALSE),"")</f>
        <v>#REF!</v>
      </c>
    </row>
    <row r="383" spans="1:28" s="38" customFormat="1" ht="52.5" customHeight="1">
      <c r="A383" s="19" t="s">
        <v>907</v>
      </c>
      <c r="B383" s="20">
        <v>759</v>
      </c>
      <c r="C383" s="19" t="s">
        <v>144</v>
      </c>
      <c r="D383" s="21" t="s">
        <v>12</v>
      </c>
      <c r="E383" s="21" t="s">
        <v>17</v>
      </c>
      <c r="F383" s="22">
        <v>2</v>
      </c>
      <c r="G383" s="22">
        <f t="shared" si="120"/>
        <v>4085.1</v>
      </c>
      <c r="H383" s="22">
        <f>ROUND(G383*(1+$X$14),2)</f>
        <v>5180.32</v>
      </c>
      <c r="I383" s="147">
        <f>ROUND(H383*F383,2)</f>
        <v>10360.64</v>
      </c>
      <c r="J383" s="148"/>
      <c r="K383" s="148"/>
      <c r="L383" s="148"/>
      <c r="M383" s="148">
        <v>4550.84</v>
      </c>
      <c r="N383" s="148">
        <v>5770.92</v>
      </c>
      <c r="O383" s="148">
        <v>11541.84</v>
      </c>
      <c r="P383" s="494"/>
      <c r="Q383" s="148">
        <f t="shared" si="129"/>
        <v>0</v>
      </c>
      <c r="R383" s="148"/>
      <c r="S383" s="148">
        <f>ROUND(R383*P383,2)</f>
        <v>0</v>
      </c>
      <c r="T383" s="148">
        <f t="shared" si="125"/>
        <v>2</v>
      </c>
      <c r="U383" s="148">
        <f t="shared" si="126"/>
        <v>11541.84</v>
      </c>
      <c r="V383" s="379"/>
      <c r="W383" s="379"/>
      <c r="X383" s="42" t="e">
        <f>IF(B383&lt;&gt;0,VLOOKUP(B383,#REF!,4,FALSE),"")</f>
        <v>#REF!</v>
      </c>
      <c r="Y383" s="336" t="s">
        <v>3313</v>
      </c>
      <c r="Z383" s="334">
        <f t="shared" si="121"/>
        <v>8170.2</v>
      </c>
      <c r="AA383" s="42"/>
      <c r="AB383" s="39" t="e">
        <f>IF(B383&lt;&gt;0,VLOOKUP(B383,#REF!,2,FALSE),"")</f>
        <v>#REF!</v>
      </c>
    </row>
    <row r="384" spans="1:28" ht="15" customHeight="1">
      <c r="A384" s="229" t="s">
        <v>908</v>
      </c>
      <c r="B384" s="229"/>
      <c r="C384" s="229" t="s">
        <v>145</v>
      </c>
      <c r="D384" s="230"/>
      <c r="E384" s="230"/>
      <c r="F384" s="230"/>
      <c r="G384" s="22"/>
      <c r="H384" s="230"/>
      <c r="I384" s="445"/>
      <c r="J384" s="440"/>
      <c r="K384" s="440"/>
      <c r="L384" s="440"/>
      <c r="M384" s="440"/>
      <c r="N384" s="440"/>
      <c r="O384" s="440"/>
      <c r="P384" s="492"/>
      <c r="Q384" s="148">
        <f t="shared" si="129"/>
        <v>0</v>
      </c>
      <c r="R384" s="440"/>
      <c r="S384" s="440"/>
      <c r="T384" s="148"/>
      <c r="U384" s="148"/>
      <c r="V384" s="330"/>
      <c r="W384" s="330"/>
      <c r="X384" s="30"/>
      <c r="Y384" s="337"/>
      <c r="Z384" s="334">
        <f t="shared" si="121"/>
        <v>0</v>
      </c>
      <c r="AA384" s="30"/>
      <c r="AB384" s="30"/>
    </row>
    <row r="385" spans="1:28" ht="15" customHeight="1">
      <c r="A385" s="229" t="s">
        <v>909</v>
      </c>
      <c r="B385" s="229"/>
      <c r="C385" s="229" t="s">
        <v>140</v>
      </c>
      <c r="D385" s="230"/>
      <c r="E385" s="230"/>
      <c r="F385" s="230"/>
      <c r="G385" s="22"/>
      <c r="H385" s="230"/>
      <c r="I385" s="445"/>
      <c r="J385" s="440"/>
      <c r="K385" s="440"/>
      <c r="L385" s="440"/>
      <c r="M385" s="440"/>
      <c r="N385" s="440"/>
      <c r="O385" s="440"/>
      <c r="P385" s="492"/>
      <c r="Q385" s="148">
        <f t="shared" si="129"/>
        <v>0</v>
      </c>
      <c r="R385" s="440"/>
      <c r="S385" s="440"/>
      <c r="T385" s="148"/>
      <c r="U385" s="148"/>
      <c r="V385" s="330"/>
      <c r="W385" s="330"/>
      <c r="X385" s="30"/>
      <c r="Y385" s="337"/>
      <c r="Z385" s="334">
        <f t="shared" si="121"/>
        <v>0</v>
      </c>
      <c r="AA385" s="30"/>
      <c r="AB385" s="30"/>
    </row>
    <row r="386" spans="1:28" s="38" customFormat="1" ht="45">
      <c r="A386" s="449" t="s">
        <v>910</v>
      </c>
      <c r="B386" s="448">
        <v>89711</v>
      </c>
      <c r="C386" s="449" t="s">
        <v>1628</v>
      </c>
      <c r="D386" s="447" t="s">
        <v>12</v>
      </c>
      <c r="E386" s="447" t="s">
        <v>52</v>
      </c>
      <c r="F386" s="450">
        <v>15</v>
      </c>
      <c r="G386" s="450">
        <f t="shared" si="120"/>
        <v>12.1805</v>
      </c>
      <c r="H386" s="450">
        <f t="shared" ref="H386:H418" si="131">ROUND(G386*(1+$X$14),2)</f>
        <v>15.45</v>
      </c>
      <c r="I386" s="451">
        <f t="shared" ref="I386:I418" si="132">ROUND(H386*F386,2)</f>
        <v>231.75</v>
      </c>
      <c r="J386" s="452"/>
      <c r="K386" s="452"/>
      <c r="L386" s="452"/>
      <c r="M386" s="452">
        <v>13.57</v>
      </c>
      <c r="N386" s="452">
        <v>17.21</v>
      </c>
      <c r="O386" s="452">
        <v>258.14999999999998</v>
      </c>
      <c r="P386" s="493">
        <v>180</v>
      </c>
      <c r="Q386" s="452">
        <f t="shared" si="129"/>
        <v>3097.8</v>
      </c>
      <c r="R386" s="452"/>
      <c r="S386" s="452">
        <f t="shared" ref="S386:S418" si="133">ROUND(R386*P386,2)</f>
        <v>0</v>
      </c>
      <c r="T386" s="452">
        <f t="shared" si="125"/>
        <v>195</v>
      </c>
      <c r="U386" s="452">
        <f t="shared" si="126"/>
        <v>3355.9500000000003</v>
      </c>
      <c r="V386" s="453"/>
      <c r="W386" s="453"/>
      <c r="X386" s="42" t="e">
        <f>IF(B386&lt;&gt;0,VLOOKUP(B386,#REF!,4,FALSE),"")</f>
        <v>#REF!</v>
      </c>
      <c r="Y386" s="336" t="s">
        <v>3115</v>
      </c>
      <c r="Z386" s="336">
        <f t="shared" si="121"/>
        <v>182.70750000000001</v>
      </c>
      <c r="AA386" s="42"/>
      <c r="AB386" s="39" t="e">
        <f>IF(B386&lt;&gt;0,VLOOKUP(B386,#REF!,2,FALSE),"")</f>
        <v>#REF!</v>
      </c>
    </row>
    <row r="387" spans="1:28" ht="45">
      <c r="A387" s="19" t="s">
        <v>911</v>
      </c>
      <c r="B387" s="20">
        <v>89798</v>
      </c>
      <c r="C387" s="19" t="s">
        <v>1629</v>
      </c>
      <c r="D387" s="21" t="s">
        <v>12</v>
      </c>
      <c r="E387" s="21" t="s">
        <v>52</v>
      </c>
      <c r="F387" s="22">
        <v>190</v>
      </c>
      <c r="G387" s="22">
        <f t="shared" si="120"/>
        <v>8.84</v>
      </c>
      <c r="H387" s="22">
        <f t="shared" si="131"/>
        <v>11.21</v>
      </c>
      <c r="I387" s="147">
        <f t="shared" si="132"/>
        <v>2129.9</v>
      </c>
      <c r="J387" s="148"/>
      <c r="K387" s="148"/>
      <c r="L387" s="148"/>
      <c r="M387" s="148">
        <v>9.85</v>
      </c>
      <c r="N387" s="148">
        <v>12.49</v>
      </c>
      <c r="O387" s="148">
        <v>2373.1</v>
      </c>
      <c r="P387" s="494"/>
      <c r="Q387" s="148">
        <f t="shared" si="129"/>
        <v>0</v>
      </c>
      <c r="R387" s="148"/>
      <c r="S387" s="148">
        <f t="shared" si="133"/>
        <v>0</v>
      </c>
      <c r="T387" s="148">
        <f t="shared" si="125"/>
        <v>190</v>
      </c>
      <c r="U387" s="148">
        <f t="shared" si="126"/>
        <v>2373.1</v>
      </c>
      <c r="V387" s="379"/>
      <c r="W387" s="379"/>
      <c r="X387" s="31" t="e">
        <f>IF(B387&lt;&gt;0,VLOOKUP(B387,#REF!,4,FALSE),"")</f>
        <v>#REF!</v>
      </c>
      <c r="Y387" s="346" t="s">
        <v>1908</v>
      </c>
      <c r="Z387" s="334">
        <f t="shared" si="121"/>
        <v>1679.6</v>
      </c>
      <c r="AA387" s="31"/>
      <c r="AB387" s="32" t="e">
        <f>IF(B387&lt;&gt;0,VLOOKUP(B387,#REF!,2,FALSE),"")</f>
        <v>#REF!</v>
      </c>
    </row>
    <row r="388" spans="1:28" ht="45">
      <c r="A388" s="19" t="s">
        <v>912</v>
      </c>
      <c r="B388" s="20">
        <v>89799</v>
      </c>
      <c r="C388" s="19" t="s">
        <v>1630</v>
      </c>
      <c r="D388" s="21" t="s">
        <v>12</v>
      </c>
      <c r="E388" s="21" t="s">
        <v>52</v>
      </c>
      <c r="F388" s="22">
        <v>31</v>
      </c>
      <c r="G388" s="22">
        <f t="shared" si="120"/>
        <v>14.220500000000001</v>
      </c>
      <c r="H388" s="22">
        <f t="shared" si="131"/>
        <v>18.03</v>
      </c>
      <c r="I388" s="147">
        <f t="shared" si="132"/>
        <v>558.92999999999995</v>
      </c>
      <c r="J388" s="148"/>
      <c r="K388" s="148"/>
      <c r="L388" s="148"/>
      <c r="M388" s="148">
        <v>15.84</v>
      </c>
      <c r="N388" s="148">
        <v>20.09</v>
      </c>
      <c r="O388" s="148">
        <v>622.79</v>
      </c>
      <c r="P388" s="494"/>
      <c r="Q388" s="148">
        <f t="shared" si="129"/>
        <v>0</v>
      </c>
      <c r="R388" s="148"/>
      <c r="S388" s="148">
        <f t="shared" si="133"/>
        <v>0</v>
      </c>
      <c r="T388" s="148">
        <f t="shared" ref="T388:T418" si="134">F388+P388-R388</f>
        <v>31</v>
      </c>
      <c r="U388" s="148">
        <f t="shared" si="126"/>
        <v>622.79</v>
      </c>
      <c r="V388" s="379"/>
      <c r="W388" s="379"/>
      <c r="X388" s="31" t="e">
        <f>IF(B388&lt;&gt;0,VLOOKUP(B388,#REF!,4,FALSE),"")</f>
        <v>#REF!</v>
      </c>
      <c r="Y388" s="346" t="s">
        <v>3270</v>
      </c>
      <c r="Z388" s="334">
        <f t="shared" si="121"/>
        <v>440.83550000000002</v>
      </c>
      <c r="AA388" s="31"/>
      <c r="AB388" s="32" t="e">
        <f>IF(B388&lt;&gt;0,VLOOKUP(B388,#REF!,2,FALSE),"")</f>
        <v>#REF!</v>
      </c>
    </row>
    <row r="389" spans="1:28" s="38" customFormat="1" ht="45">
      <c r="A389" s="449" t="s">
        <v>913</v>
      </c>
      <c r="B389" s="448">
        <v>89714</v>
      </c>
      <c r="C389" s="449" t="s">
        <v>1631</v>
      </c>
      <c r="D389" s="447" t="s">
        <v>12</v>
      </c>
      <c r="E389" s="447" t="s">
        <v>52</v>
      </c>
      <c r="F389" s="450">
        <v>549</v>
      </c>
      <c r="G389" s="450">
        <f t="shared" si="120"/>
        <v>36.21</v>
      </c>
      <c r="H389" s="450">
        <f t="shared" si="131"/>
        <v>45.92</v>
      </c>
      <c r="I389" s="451">
        <f t="shared" si="132"/>
        <v>25210.080000000002</v>
      </c>
      <c r="J389" s="452"/>
      <c r="K389" s="452"/>
      <c r="L389" s="452"/>
      <c r="M389" s="452">
        <v>40.340000000000003</v>
      </c>
      <c r="N389" s="452">
        <v>51.16</v>
      </c>
      <c r="O389" s="452">
        <v>28086.84</v>
      </c>
      <c r="P389" s="493">
        <v>110</v>
      </c>
      <c r="Q389" s="452">
        <f t="shared" si="129"/>
        <v>5627.6</v>
      </c>
      <c r="R389" s="452"/>
      <c r="S389" s="452">
        <f t="shared" si="133"/>
        <v>0</v>
      </c>
      <c r="T389" s="452">
        <f t="shared" si="134"/>
        <v>659</v>
      </c>
      <c r="U389" s="452">
        <f t="shared" si="126"/>
        <v>33714.44</v>
      </c>
      <c r="V389" s="453"/>
      <c r="W389" s="453"/>
      <c r="X389" s="42" t="e">
        <f>IF(B389&lt;&gt;0,VLOOKUP(B389,#REF!,4,FALSE),"")</f>
        <v>#REF!</v>
      </c>
      <c r="Y389" s="336" t="s">
        <v>3036</v>
      </c>
      <c r="Z389" s="336">
        <f t="shared" si="121"/>
        <v>19879.29</v>
      </c>
      <c r="AA389" s="42"/>
      <c r="AB389" s="39" t="e">
        <f>IF(B389&lt;&gt;0,VLOOKUP(B389,#REF!,2,FALSE),"")</f>
        <v>#REF!</v>
      </c>
    </row>
    <row r="390" spans="1:28" ht="45">
      <c r="A390" s="19" t="s">
        <v>914</v>
      </c>
      <c r="B390" s="20">
        <v>89849</v>
      </c>
      <c r="C390" s="19" t="s">
        <v>1632</v>
      </c>
      <c r="D390" s="21" t="s">
        <v>12</v>
      </c>
      <c r="E390" s="21" t="s">
        <v>52</v>
      </c>
      <c r="F390" s="22">
        <v>115</v>
      </c>
      <c r="G390" s="22">
        <f t="shared" si="120"/>
        <v>41.794499999999999</v>
      </c>
      <c r="H390" s="22">
        <f t="shared" si="131"/>
        <v>53</v>
      </c>
      <c r="I390" s="147">
        <f t="shared" si="132"/>
        <v>6095</v>
      </c>
      <c r="J390" s="148"/>
      <c r="K390" s="148"/>
      <c r="L390" s="148"/>
      <c r="M390" s="148">
        <v>46.56</v>
      </c>
      <c r="N390" s="148">
        <v>59.04</v>
      </c>
      <c r="O390" s="148">
        <v>6789.6</v>
      </c>
      <c r="P390" s="494"/>
      <c r="Q390" s="148">
        <f t="shared" si="129"/>
        <v>0</v>
      </c>
      <c r="R390" s="148"/>
      <c r="S390" s="148">
        <f t="shared" si="133"/>
        <v>0</v>
      </c>
      <c r="T390" s="148">
        <f t="shared" si="134"/>
        <v>115</v>
      </c>
      <c r="U390" s="148">
        <f t="shared" si="126"/>
        <v>6789.6</v>
      </c>
      <c r="V390" s="379"/>
      <c r="W390" s="379"/>
      <c r="X390" s="31" t="e">
        <f>IF(B390&lt;&gt;0,VLOOKUP(B390,#REF!,4,FALSE),"")</f>
        <v>#REF!</v>
      </c>
      <c r="Y390" s="346" t="s">
        <v>3271</v>
      </c>
      <c r="Z390" s="334">
        <f t="shared" si="121"/>
        <v>4806.3675000000003</v>
      </c>
      <c r="AA390" s="31"/>
      <c r="AB390" s="32" t="e">
        <f>IF(B390&lt;&gt;0,VLOOKUP(B390,#REF!,2,FALSE),"")</f>
        <v>#REF!</v>
      </c>
    </row>
    <row r="391" spans="1:28" ht="60">
      <c r="A391" s="19" t="s">
        <v>915</v>
      </c>
      <c r="B391" s="20">
        <v>89731</v>
      </c>
      <c r="C391" s="19" t="s">
        <v>1633</v>
      </c>
      <c r="D391" s="21" t="s">
        <v>12</v>
      </c>
      <c r="E391" s="21" t="s">
        <v>17</v>
      </c>
      <c r="F391" s="22">
        <v>110</v>
      </c>
      <c r="G391" s="22">
        <f t="shared" si="120"/>
        <v>7.3525</v>
      </c>
      <c r="H391" s="22">
        <f t="shared" si="131"/>
        <v>9.32</v>
      </c>
      <c r="I391" s="147">
        <f t="shared" si="132"/>
        <v>1025.2</v>
      </c>
      <c r="J391" s="148"/>
      <c r="K391" s="148"/>
      <c r="L391" s="148"/>
      <c r="M391" s="148">
        <v>8.19</v>
      </c>
      <c r="N391" s="148">
        <v>10.39</v>
      </c>
      <c r="O391" s="148">
        <v>1142.9000000000001</v>
      </c>
      <c r="P391" s="494"/>
      <c r="Q391" s="148">
        <f t="shared" si="129"/>
        <v>0</v>
      </c>
      <c r="R391" s="148"/>
      <c r="S391" s="148">
        <f t="shared" si="133"/>
        <v>0</v>
      </c>
      <c r="T391" s="148">
        <f t="shared" si="134"/>
        <v>110</v>
      </c>
      <c r="U391" s="148">
        <f t="shared" si="126"/>
        <v>1142.9000000000001</v>
      </c>
      <c r="V391" s="379"/>
      <c r="W391" s="379"/>
      <c r="X391" s="31" t="e">
        <f>IF(B391&lt;&gt;0,VLOOKUP(B391,#REF!,4,FALSE),"")</f>
        <v>#REF!</v>
      </c>
      <c r="Y391" s="346" t="s">
        <v>3039</v>
      </c>
      <c r="Z391" s="334">
        <f t="shared" si="121"/>
        <v>808.77499999999998</v>
      </c>
      <c r="AA391" s="31"/>
      <c r="AB391" s="32" t="e">
        <f>IF(B391&lt;&gt;0,VLOOKUP(B391,#REF!,2,FALSE),"")</f>
        <v>#REF!</v>
      </c>
    </row>
    <row r="392" spans="1:28" ht="60">
      <c r="A392" s="19" t="s">
        <v>916</v>
      </c>
      <c r="B392" s="20">
        <v>89724</v>
      </c>
      <c r="C392" s="19" t="s">
        <v>1634</v>
      </c>
      <c r="D392" s="21" t="s">
        <v>12</v>
      </c>
      <c r="E392" s="21" t="s">
        <v>17</v>
      </c>
      <c r="F392" s="22">
        <v>154</v>
      </c>
      <c r="G392" s="22">
        <f t="shared" ref="G392:G467" si="135">Y392-(Y392*$Y$15)</f>
        <v>6.6724999999999994</v>
      </c>
      <c r="H392" s="22">
        <f t="shared" si="131"/>
        <v>8.4600000000000009</v>
      </c>
      <c r="I392" s="147">
        <f t="shared" si="132"/>
        <v>1302.8399999999999</v>
      </c>
      <c r="J392" s="148"/>
      <c r="K392" s="148"/>
      <c r="L392" s="148"/>
      <c r="M392" s="148">
        <v>7.43</v>
      </c>
      <c r="N392" s="148">
        <v>9.42</v>
      </c>
      <c r="O392" s="148">
        <v>1450.68</v>
      </c>
      <c r="P392" s="494"/>
      <c r="Q392" s="148">
        <f t="shared" si="129"/>
        <v>0</v>
      </c>
      <c r="R392" s="148"/>
      <c r="S392" s="148">
        <f t="shared" si="133"/>
        <v>0</v>
      </c>
      <c r="T392" s="148">
        <f t="shared" si="134"/>
        <v>154</v>
      </c>
      <c r="U392" s="148">
        <f t="shared" si="126"/>
        <v>1450.68</v>
      </c>
      <c r="V392" s="379"/>
      <c r="W392" s="379"/>
      <c r="X392" s="31" t="e">
        <f>IF(B392&lt;&gt;0,VLOOKUP(B392,#REF!,4,FALSE),"")</f>
        <v>#REF!</v>
      </c>
      <c r="Y392" s="346" t="s">
        <v>2648</v>
      </c>
      <c r="Z392" s="334">
        <f t="shared" ref="Z392:Z468" si="136">F392*G392</f>
        <v>1027.5649999999998</v>
      </c>
      <c r="AA392" s="31"/>
      <c r="AB392" s="32" t="e">
        <f>IF(B392&lt;&gt;0,VLOOKUP(B392,#REF!,2,FALSE),"")</f>
        <v>#REF!</v>
      </c>
    </row>
    <row r="393" spans="1:28" ht="60">
      <c r="A393" s="19" t="s">
        <v>917</v>
      </c>
      <c r="B393" s="20">
        <v>89805</v>
      </c>
      <c r="C393" s="19" t="s">
        <v>1635</v>
      </c>
      <c r="D393" s="21" t="s">
        <v>12</v>
      </c>
      <c r="E393" s="21" t="s">
        <v>17</v>
      </c>
      <c r="F393" s="22">
        <v>4</v>
      </c>
      <c r="G393" s="22">
        <f t="shared" si="135"/>
        <v>9.9705000000000013</v>
      </c>
      <c r="H393" s="22">
        <f t="shared" si="131"/>
        <v>12.64</v>
      </c>
      <c r="I393" s="147">
        <f t="shared" si="132"/>
        <v>50.56</v>
      </c>
      <c r="J393" s="148"/>
      <c r="K393" s="148"/>
      <c r="L393" s="148"/>
      <c r="M393" s="148">
        <v>11.11</v>
      </c>
      <c r="N393" s="148">
        <v>14.09</v>
      </c>
      <c r="O393" s="148">
        <v>56.36</v>
      </c>
      <c r="P393" s="494"/>
      <c r="Q393" s="148">
        <f t="shared" si="129"/>
        <v>0</v>
      </c>
      <c r="R393" s="148"/>
      <c r="S393" s="148">
        <f t="shared" si="133"/>
        <v>0</v>
      </c>
      <c r="T393" s="148">
        <f t="shared" si="134"/>
        <v>4</v>
      </c>
      <c r="U393" s="148">
        <f t="shared" si="126"/>
        <v>56.36</v>
      </c>
      <c r="V393" s="379"/>
      <c r="W393" s="379"/>
      <c r="X393" s="31" t="e">
        <f>IF(B393&lt;&gt;0,VLOOKUP(B393,#REF!,4,FALSE),"")</f>
        <v>#REF!</v>
      </c>
      <c r="Y393" s="346" t="s">
        <v>3103</v>
      </c>
      <c r="Z393" s="334">
        <f t="shared" si="136"/>
        <v>39.882000000000005</v>
      </c>
      <c r="AA393" s="31"/>
      <c r="AB393" s="32" t="e">
        <f>IF(B393&lt;&gt;0,VLOOKUP(B393,#REF!,2,FALSE),"")</f>
        <v>#REF!</v>
      </c>
    </row>
    <row r="394" spans="1:28" ht="60">
      <c r="A394" s="19" t="s">
        <v>918</v>
      </c>
      <c r="B394" s="20">
        <v>89744</v>
      </c>
      <c r="C394" s="19" t="s">
        <v>1636</v>
      </c>
      <c r="D394" s="21" t="s">
        <v>12</v>
      </c>
      <c r="E394" s="21" t="s">
        <v>17</v>
      </c>
      <c r="F394" s="22">
        <v>48</v>
      </c>
      <c r="G394" s="22">
        <f t="shared" si="135"/>
        <v>16.677</v>
      </c>
      <c r="H394" s="22">
        <f t="shared" si="131"/>
        <v>21.15</v>
      </c>
      <c r="I394" s="147">
        <f t="shared" si="132"/>
        <v>1015.2</v>
      </c>
      <c r="J394" s="148"/>
      <c r="K394" s="148"/>
      <c r="L394" s="148"/>
      <c r="M394" s="148">
        <v>18.579999999999998</v>
      </c>
      <c r="N394" s="148">
        <v>23.56</v>
      </c>
      <c r="O394" s="148">
        <v>1130.8800000000001</v>
      </c>
      <c r="P394" s="494"/>
      <c r="Q394" s="148">
        <f t="shared" si="129"/>
        <v>0</v>
      </c>
      <c r="R394" s="148"/>
      <c r="S394" s="148">
        <f t="shared" si="133"/>
        <v>0</v>
      </c>
      <c r="T394" s="148">
        <f t="shared" si="134"/>
        <v>48</v>
      </c>
      <c r="U394" s="148">
        <f t="shared" si="126"/>
        <v>1130.8800000000001</v>
      </c>
      <c r="V394" s="379"/>
      <c r="W394" s="379"/>
      <c r="X394" s="31" t="e">
        <f>IF(B394&lt;&gt;0,VLOOKUP(B394,#REF!,4,FALSE),"")</f>
        <v>#REF!</v>
      </c>
      <c r="Y394" s="346" t="s">
        <v>3129</v>
      </c>
      <c r="Z394" s="334">
        <f t="shared" si="136"/>
        <v>800.49599999999998</v>
      </c>
      <c r="AA394" s="31"/>
      <c r="AB394" s="32" t="e">
        <f>IF(B394&lt;&gt;0,VLOOKUP(B394,#REF!,2,FALSE),"")</f>
        <v>#REF!</v>
      </c>
    </row>
    <row r="395" spans="1:28" ht="60">
      <c r="A395" s="19" t="s">
        <v>919</v>
      </c>
      <c r="B395" s="20">
        <v>89854</v>
      </c>
      <c r="C395" s="19" t="s">
        <v>1637</v>
      </c>
      <c r="D395" s="21" t="s">
        <v>12</v>
      </c>
      <c r="E395" s="21" t="s">
        <v>17</v>
      </c>
      <c r="F395" s="22">
        <v>20</v>
      </c>
      <c r="G395" s="22">
        <f t="shared" si="135"/>
        <v>59.126000000000005</v>
      </c>
      <c r="H395" s="22">
        <f t="shared" si="131"/>
        <v>74.98</v>
      </c>
      <c r="I395" s="147">
        <f t="shared" si="132"/>
        <v>1499.6</v>
      </c>
      <c r="J395" s="148"/>
      <c r="K395" s="148"/>
      <c r="L395" s="148"/>
      <c r="M395" s="148">
        <v>65.87</v>
      </c>
      <c r="N395" s="148">
        <v>83.53</v>
      </c>
      <c r="O395" s="148">
        <v>1670.6</v>
      </c>
      <c r="P395" s="494"/>
      <c r="Q395" s="148">
        <f t="shared" si="129"/>
        <v>0</v>
      </c>
      <c r="R395" s="148"/>
      <c r="S395" s="148">
        <f t="shared" si="133"/>
        <v>0</v>
      </c>
      <c r="T395" s="148">
        <f t="shared" si="134"/>
        <v>20</v>
      </c>
      <c r="U395" s="148">
        <f t="shared" si="126"/>
        <v>1670.6</v>
      </c>
      <c r="V395" s="379"/>
      <c r="W395" s="379"/>
      <c r="X395" s="31" t="e">
        <f>IF(B395&lt;&gt;0,VLOOKUP(B395,#REF!,4,FALSE),"")</f>
        <v>#REF!</v>
      </c>
      <c r="Y395" s="346" t="s">
        <v>3185</v>
      </c>
      <c r="Z395" s="334">
        <f t="shared" si="136"/>
        <v>1182.52</v>
      </c>
      <c r="AA395" s="31"/>
      <c r="AB395" s="32" t="e">
        <f>IF(B395&lt;&gt;0,VLOOKUP(B395,#REF!,2,FALSE),"")</f>
        <v>#REF!</v>
      </c>
    </row>
    <row r="396" spans="1:28" ht="60">
      <c r="A396" s="19" t="s">
        <v>920</v>
      </c>
      <c r="B396" s="20">
        <v>89855</v>
      </c>
      <c r="C396" s="19" t="s">
        <v>1638</v>
      </c>
      <c r="D396" s="21" t="s">
        <v>12</v>
      </c>
      <c r="E396" s="21" t="s">
        <v>17</v>
      </c>
      <c r="F396" s="22">
        <v>15</v>
      </c>
      <c r="G396" s="22">
        <f t="shared" si="135"/>
        <v>62.815000000000005</v>
      </c>
      <c r="H396" s="22">
        <f t="shared" si="131"/>
        <v>79.66</v>
      </c>
      <c r="I396" s="147">
        <f t="shared" si="132"/>
        <v>1194.9000000000001</v>
      </c>
      <c r="J396" s="148"/>
      <c r="K396" s="148"/>
      <c r="L396" s="148"/>
      <c r="M396" s="148">
        <v>69.98</v>
      </c>
      <c r="N396" s="148">
        <v>88.74</v>
      </c>
      <c r="O396" s="148">
        <v>1331.1</v>
      </c>
      <c r="P396" s="494"/>
      <c r="Q396" s="148">
        <f t="shared" si="129"/>
        <v>0</v>
      </c>
      <c r="R396" s="148"/>
      <c r="S396" s="148">
        <f t="shared" si="133"/>
        <v>0</v>
      </c>
      <c r="T396" s="148">
        <f t="shared" si="134"/>
        <v>15</v>
      </c>
      <c r="U396" s="148">
        <f t="shared" si="126"/>
        <v>1331.1</v>
      </c>
      <c r="V396" s="379"/>
      <c r="W396" s="379"/>
      <c r="X396" s="31" t="e">
        <f>IF(B396&lt;&gt;0,VLOOKUP(B396,#REF!,4,FALSE),"")</f>
        <v>#REF!</v>
      </c>
      <c r="Y396" s="346" t="s">
        <v>3286</v>
      </c>
      <c r="Z396" s="334">
        <f t="shared" si="136"/>
        <v>942.22500000000002</v>
      </c>
      <c r="AA396" s="31"/>
      <c r="AB396" s="32" t="e">
        <f>IF(B396&lt;&gt;0,VLOOKUP(B396,#REF!,2,FALSE),"")</f>
        <v>#REF!</v>
      </c>
    </row>
    <row r="397" spans="1:28" ht="60">
      <c r="A397" s="19" t="s">
        <v>921</v>
      </c>
      <c r="B397" s="20">
        <v>89746</v>
      </c>
      <c r="C397" s="19" t="s">
        <v>1639</v>
      </c>
      <c r="D397" s="21" t="s">
        <v>12</v>
      </c>
      <c r="E397" s="21" t="s">
        <v>17</v>
      </c>
      <c r="F397" s="22">
        <v>35</v>
      </c>
      <c r="G397" s="22">
        <f t="shared" si="135"/>
        <v>16.634499999999999</v>
      </c>
      <c r="H397" s="22">
        <f t="shared" si="131"/>
        <v>21.09</v>
      </c>
      <c r="I397" s="147">
        <f t="shared" si="132"/>
        <v>738.15</v>
      </c>
      <c r="J397" s="148"/>
      <c r="K397" s="148"/>
      <c r="L397" s="148"/>
      <c r="M397" s="148">
        <v>18.53</v>
      </c>
      <c r="N397" s="148">
        <v>23.5</v>
      </c>
      <c r="O397" s="148">
        <v>822.5</v>
      </c>
      <c r="P397" s="494"/>
      <c r="Q397" s="148">
        <f t="shared" si="129"/>
        <v>0</v>
      </c>
      <c r="R397" s="148"/>
      <c r="S397" s="148">
        <f t="shared" si="133"/>
        <v>0</v>
      </c>
      <c r="T397" s="148">
        <f t="shared" si="134"/>
        <v>35</v>
      </c>
      <c r="U397" s="148">
        <f t="shared" si="126"/>
        <v>822.5</v>
      </c>
      <c r="V397" s="379"/>
      <c r="W397" s="379"/>
      <c r="X397" s="31" t="e">
        <f>IF(B397&lt;&gt;0,VLOOKUP(B397,#REF!,4,FALSE),"")</f>
        <v>#REF!</v>
      </c>
      <c r="Y397" s="346" t="s">
        <v>3181</v>
      </c>
      <c r="Z397" s="334">
        <f t="shared" si="136"/>
        <v>582.20749999999998</v>
      </c>
      <c r="AA397" s="31"/>
      <c r="AB397" s="32" t="e">
        <f>IF(B397&lt;&gt;0,VLOOKUP(B397,#REF!,2,FALSE),"")</f>
        <v>#REF!</v>
      </c>
    </row>
    <row r="398" spans="1:28" ht="60">
      <c r="A398" s="19" t="s">
        <v>922</v>
      </c>
      <c r="B398" s="20">
        <v>89739</v>
      </c>
      <c r="C398" s="19" t="s">
        <v>1640</v>
      </c>
      <c r="D398" s="21" t="s">
        <v>12</v>
      </c>
      <c r="E398" s="21" t="s">
        <v>17</v>
      </c>
      <c r="F398" s="22">
        <v>8</v>
      </c>
      <c r="G398" s="22">
        <f t="shared" si="135"/>
        <v>13.506500000000001</v>
      </c>
      <c r="H398" s="22">
        <f t="shared" si="131"/>
        <v>17.13</v>
      </c>
      <c r="I398" s="147">
        <f t="shared" si="132"/>
        <v>137.04</v>
      </c>
      <c r="J398" s="148"/>
      <c r="K398" s="148"/>
      <c r="L398" s="148"/>
      <c r="M398" s="148">
        <v>15.05</v>
      </c>
      <c r="N398" s="148">
        <v>19.079999999999998</v>
      </c>
      <c r="O398" s="148">
        <v>152.63999999999999</v>
      </c>
      <c r="P398" s="494"/>
      <c r="Q398" s="148">
        <f t="shared" si="129"/>
        <v>0</v>
      </c>
      <c r="R398" s="148"/>
      <c r="S398" s="148">
        <f t="shared" si="133"/>
        <v>0</v>
      </c>
      <c r="T398" s="148">
        <f t="shared" si="134"/>
        <v>8</v>
      </c>
      <c r="U398" s="148">
        <f t="shared" si="126"/>
        <v>152.63999999999999</v>
      </c>
      <c r="V398" s="379"/>
      <c r="W398" s="379"/>
      <c r="X398" s="31" t="e">
        <f>IF(B398&lt;&gt;0,VLOOKUP(B398,#REF!,4,FALSE),"")</f>
        <v>#REF!</v>
      </c>
      <c r="Y398" s="346" t="s">
        <v>1881</v>
      </c>
      <c r="Z398" s="334">
        <f t="shared" si="136"/>
        <v>108.05200000000001</v>
      </c>
      <c r="AA398" s="31"/>
      <c r="AB398" s="32" t="e">
        <f>IF(B398&lt;&gt;0,VLOOKUP(B398,#REF!,2,FALSE),"")</f>
        <v>#REF!</v>
      </c>
    </row>
    <row r="399" spans="1:28" ht="60">
      <c r="A399" s="19" t="s">
        <v>923</v>
      </c>
      <c r="B399" s="20">
        <v>89802</v>
      </c>
      <c r="C399" s="19" t="s">
        <v>1641</v>
      </c>
      <c r="D399" s="21" t="s">
        <v>12</v>
      </c>
      <c r="E399" s="21" t="s">
        <v>17</v>
      </c>
      <c r="F399" s="22">
        <v>52</v>
      </c>
      <c r="G399" s="22">
        <f t="shared" si="135"/>
        <v>5.4654999999999996</v>
      </c>
      <c r="H399" s="22">
        <f t="shared" si="131"/>
        <v>6.93</v>
      </c>
      <c r="I399" s="147">
        <f t="shared" si="132"/>
        <v>360.36</v>
      </c>
      <c r="J399" s="148"/>
      <c r="K399" s="148"/>
      <c r="L399" s="148"/>
      <c r="M399" s="148">
        <v>6.09</v>
      </c>
      <c r="N399" s="148">
        <v>7.72</v>
      </c>
      <c r="O399" s="148">
        <v>401.44</v>
      </c>
      <c r="P399" s="494"/>
      <c r="Q399" s="148">
        <f t="shared" si="129"/>
        <v>0</v>
      </c>
      <c r="R399" s="148"/>
      <c r="S399" s="148">
        <f t="shared" si="133"/>
        <v>0</v>
      </c>
      <c r="T399" s="148">
        <f t="shared" si="134"/>
        <v>52</v>
      </c>
      <c r="U399" s="148">
        <f t="shared" si="126"/>
        <v>401.44</v>
      </c>
      <c r="V399" s="379"/>
      <c r="W399" s="379"/>
      <c r="X399" s="31" t="e">
        <f>IF(B399&lt;&gt;0,VLOOKUP(B399,#REF!,4,FALSE),"")</f>
        <v>#REF!</v>
      </c>
      <c r="Y399" s="346" t="s">
        <v>1835</v>
      </c>
      <c r="Z399" s="334">
        <f t="shared" si="136"/>
        <v>284.20599999999996</v>
      </c>
      <c r="AA399" s="31"/>
      <c r="AB399" s="32" t="e">
        <f>IF(B399&lt;&gt;0,VLOOKUP(B399,#REF!,2,FALSE),"")</f>
        <v>#REF!</v>
      </c>
    </row>
    <row r="400" spans="1:28" ht="60">
      <c r="A400" s="19" t="s">
        <v>924</v>
      </c>
      <c r="B400" s="20">
        <v>89726</v>
      </c>
      <c r="C400" s="19" t="s">
        <v>1642</v>
      </c>
      <c r="D400" s="21" t="s">
        <v>12</v>
      </c>
      <c r="E400" s="21" t="s">
        <v>17</v>
      </c>
      <c r="F400" s="22">
        <v>26</v>
      </c>
      <c r="G400" s="22">
        <f t="shared" si="135"/>
        <v>4.7089999999999996</v>
      </c>
      <c r="H400" s="22">
        <f t="shared" si="131"/>
        <v>5.97</v>
      </c>
      <c r="I400" s="147">
        <f t="shared" si="132"/>
        <v>155.22</v>
      </c>
      <c r="J400" s="148"/>
      <c r="K400" s="148"/>
      <c r="L400" s="148"/>
      <c r="M400" s="148">
        <v>5.25</v>
      </c>
      <c r="N400" s="148">
        <v>6.66</v>
      </c>
      <c r="O400" s="148">
        <v>173.16</v>
      </c>
      <c r="P400" s="494"/>
      <c r="Q400" s="148">
        <f t="shared" si="129"/>
        <v>0</v>
      </c>
      <c r="R400" s="148"/>
      <c r="S400" s="148">
        <f t="shared" si="133"/>
        <v>0</v>
      </c>
      <c r="T400" s="148">
        <f t="shared" si="134"/>
        <v>26</v>
      </c>
      <c r="U400" s="148">
        <f t="shared" si="126"/>
        <v>173.16</v>
      </c>
      <c r="V400" s="379"/>
      <c r="W400" s="379"/>
      <c r="X400" s="31" t="e">
        <f>IF(B400&lt;&gt;0,VLOOKUP(B400,#REF!,4,FALSE),"")</f>
        <v>#REF!</v>
      </c>
      <c r="Y400" s="346" t="s">
        <v>1904</v>
      </c>
      <c r="Z400" s="334">
        <f t="shared" si="136"/>
        <v>122.434</v>
      </c>
      <c r="AA400" s="31"/>
      <c r="AB400" s="32" t="e">
        <f>IF(B400&lt;&gt;0,VLOOKUP(B400,#REF!,2,FALSE),"")</f>
        <v>#REF!</v>
      </c>
    </row>
    <row r="401" spans="1:28" s="23" customFormat="1" ht="30">
      <c r="A401" s="19" t="s">
        <v>925</v>
      </c>
      <c r="B401" s="21" t="s">
        <v>2209</v>
      </c>
      <c r="C401" s="19" t="s">
        <v>146</v>
      </c>
      <c r="D401" s="21" t="s">
        <v>70</v>
      </c>
      <c r="E401" s="21" t="s">
        <v>17</v>
      </c>
      <c r="F401" s="22">
        <v>26</v>
      </c>
      <c r="G401" s="22">
        <f t="shared" si="135"/>
        <v>33.855499999999999</v>
      </c>
      <c r="H401" s="22">
        <f t="shared" si="131"/>
        <v>42.93</v>
      </c>
      <c r="I401" s="147">
        <f t="shared" si="132"/>
        <v>1116.18</v>
      </c>
      <c r="J401" s="148"/>
      <c r="K401" s="148"/>
      <c r="L401" s="148"/>
      <c r="M401" s="148">
        <v>37.72</v>
      </c>
      <c r="N401" s="148">
        <v>47.83</v>
      </c>
      <c r="O401" s="148">
        <v>1243.58</v>
      </c>
      <c r="P401" s="494"/>
      <c r="Q401" s="148">
        <f t="shared" si="129"/>
        <v>0</v>
      </c>
      <c r="R401" s="148"/>
      <c r="S401" s="148">
        <f t="shared" si="133"/>
        <v>0</v>
      </c>
      <c r="T401" s="148">
        <f t="shared" si="134"/>
        <v>26</v>
      </c>
      <c r="U401" s="148">
        <f t="shared" si="126"/>
        <v>1243.58</v>
      </c>
      <c r="V401" s="379"/>
      <c r="W401" s="379"/>
      <c r="X401" s="31">
        <f>'COMPOSIÇÃO DE CUSTOS'!G702</f>
        <v>33.86</v>
      </c>
      <c r="Y401" s="346">
        <v>39.83</v>
      </c>
      <c r="Z401" s="334">
        <f t="shared" si="136"/>
        <v>880.24299999999994</v>
      </c>
      <c r="AA401" s="31"/>
      <c r="AB401" s="32"/>
    </row>
    <row r="402" spans="1:28" s="23" customFormat="1">
      <c r="A402" s="19" t="s">
        <v>926</v>
      </c>
      <c r="B402" s="20">
        <v>145683</v>
      </c>
      <c r="C402" s="19" t="s">
        <v>147</v>
      </c>
      <c r="D402" s="21" t="s">
        <v>1914</v>
      </c>
      <c r="E402" s="21" t="s">
        <v>17</v>
      </c>
      <c r="F402" s="22">
        <v>6</v>
      </c>
      <c r="G402" s="22">
        <f t="shared" si="135"/>
        <v>21.819500000000001</v>
      </c>
      <c r="H402" s="22">
        <f t="shared" si="131"/>
        <v>27.67</v>
      </c>
      <c r="I402" s="147">
        <f t="shared" si="132"/>
        <v>166.02</v>
      </c>
      <c r="J402" s="148"/>
      <c r="K402" s="148"/>
      <c r="L402" s="148"/>
      <c r="M402" s="148">
        <v>24.31</v>
      </c>
      <c r="N402" s="148">
        <v>30.83</v>
      </c>
      <c r="O402" s="148">
        <v>184.98</v>
      </c>
      <c r="P402" s="494"/>
      <c r="Q402" s="148">
        <f t="shared" si="129"/>
        <v>0</v>
      </c>
      <c r="R402" s="148"/>
      <c r="S402" s="148">
        <f t="shared" si="133"/>
        <v>0</v>
      </c>
      <c r="T402" s="148">
        <f t="shared" si="134"/>
        <v>6</v>
      </c>
      <c r="U402" s="148">
        <f t="shared" si="126"/>
        <v>184.98</v>
      </c>
      <c r="V402" s="379"/>
      <c r="W402" s="379"/>
      <c r="X402" s="31">
        <f>'COMPOSIÇÃO DE CUSTOS'!G711</f>
        <v>21.81</v>
      </c>
      <c r="Y402" s="346">
        <v>25.67</v>
      </c>
      <c r="Z402" s="334">
        <f t="shared" si="136"/>
        <v>130.917</v>
      </c>
      <c r="AA402" s="31"/>
      <c r="AB402" s="32"/>
    </row>
    <row r="403" spans="1:28" s="23" customFormat="1" ht="60">
      <c r="A403" s="19" t="s">
        <v>927</v>
      </c>
      <c r="B403" s="20">
        <v>89784</v>
      </c>
      <c r="C403" s="19" t="s">
        <v>1643</v>
      </c>
      <c r="D403" s="21" t="s">
        <v>12</v>
      </c>
      <c r="E403" s="21" t="s">
        <v>17</v>
      </c>
      <c r="F403" s="22">
        <v>100</v>
      </c>
      <c r="G403" s="22">
        <f t="shared" si="135"/>
        <v>13.9145</v>
      </c>
      <c r="H403" s="22">
        <f t="shared" si="131"/>
        <v>17.64</v>
      </c>
      <c r="I403" s="147">
        <f t="shared" si="132"/>
        <v>1764</v>
      </c>
      <c r="J403" s="148"/>
      <c r="K403" s="148"/>
      <c r="L403" s="148"/>
      <c r="M403" s="148">
        <v>15.5</v>
      </c>
      <c r="N403" s="148">
        <v>19.66</v>
      </c>
      <c r="O403" s="148">
        <v>1966</v>
      </c>
      <c r="P403" s="494"/>
      <c r="Q403" s="148">
        <f t="shared" si="129"/>
        <v>0</v>
      </c>
      <c r="R403" s="148"/>
      <c r="S403" s="148">
        <f t="shared" si="133"/>
        <v>0</v>
      </c>
      <c r="T403" s="148">
        <f t="shared" si="134"/>
        <v>100</v>
      </c>
      <c r="U403" s="148">
        <f t="shared" si="126"/>
        <v>1966</v>
      </c>
      <c r="V403" s="379"/>
      <c r="W403" s="379"/>
      <c r="X403" s="31" t="e">
        <f>IF(B403&lt;&gt;0,VLOOKUP(B403,#REF!,4,FALSE),"")</f>
        <v>#REF!</v>
      </c>
      <c r="Y403" s="346" t="s">
        <v>1882</v>
      </c>
      <c r="Z403" s="334">
        <f t="shared" si="136"/>
        <v>1391.45</v>
      </c>
      <c r="AA403" s="31"/>
      <c r="AB403" s="32" t="e">
        <f>IF(B403&lt;&gt;0,VLOOKUP(B403,#REF!,2,FALSE),"")</f>
        <v>#REF!</v>
      </c>
    </row>
    <row r="404" spans="1:28" ht="60">
      <c r="A404" s="19" t="s">
        <v>928</v>
      </c>
      <c r="B404" s="20">
        <v>89677</v>
      </c>
      <c r="C404" s="19" t="s">
        <v>1644</v>
      </c>
      <c r="D404" s="21" t="s">
        <v>12</v>
      </c>
      <c r="E404" s="21" t="s">
        <v>17</v>
      </c>
      <c r="F404" s="22">
        <v>11</v>
      </c>
      <c r="G404" s="22">
        <f t="shared" si="135"/>
        <v>49.146999999999998</v>
      </c>
      <c r="H404" s="22">
        <f t="shared" si="131"/>
        <v>62.32</v>
      </c>
      <c r="I404" s="147">
        <f t="shared" si="132"/>
        <v>685.52</v>
      </c>
      <c r="J404" s="148"/>
      <c r="K404" s="148"/>
      <c r="L404" s="148"/>
      <c r="M404" s="148">
        <v>54.75</v>
      </c>
      <c r="N404" s="148">
        <v>69.430000000000007</v>
      </c>
      <c r="O404" s="148">
        <v>763.73</v>
      </c>
      <c r="P404" s="494"/>
      <c r="Q404" s="148">
        <f t="shared" si="129"/>
        <v>0</v>
      </c>
      <c r="R404" s="148"/>
      <c r="S404" s="148">
        <f t="shared" si="133"/>
        <v>0</v>
      </c>
      <c r="T404" s="148">
        <f t="shared" si="134"/>
        <v>11</v>
      </c>
      <c r="U404" s="148">
        <f t="shared" si="126"/>
        <v>763.73</v>
      </c>
      <c r="V404" s="379"/>
      <c r="W404" s="379"/>
      <c r="X404" s="31" t="e">
        <f>IF(B404&lt;&gt;0,VLOOKUP(B404,#REF!,4,FALSE),"")</f>
        <v>#REF!</v>
      </c>
      <c r="Y404" s="346" t="s">
        <v>3180</v>
      </c>
      <c r="Z404" s="334">
        <f t="shared" si="136"/>
        <v>540.61699999999996</v>
      </c>
      <c r="AA404" s="31"/>
      <c r="AB404" s="32" t="e">
        <f>IF(B404&lt;&gt;0,VLOOKUP(B404,#REF!,2,FALSE),"")</f>
        <v>#REF!</v>
      </c>
    </row>
    <row r="405" spans="1:28" ht="60">
      <c r="A405" s="19" t="s">
        <v>929</v>
      </c>
      <c r="B405" s="20">
        <v>89856</v>
      </c>
      <c r="C405" s="19" t="s">
        <v>1645</v>
      </c>
      <c r="D405" s="21" t="s">
        <v>12</v>
      </c>
      <c r="E405" s="21" t="s">
        <v>17</v>
      </c>
      <c r="F405" s="22">
        <v>7</v>
      </c>
      <c r="G405" s="22">
        <f t="shared" si="135"/>
        <v>12.835000000000001</v>
      </c>
      <c r="H405" s="22">
        <f t="shared" si="131"/>
        <v>16.28</v>
      </c>
      <c r="I405" s="147">
        <f t="shared" si="132"/>
        <v>113.96</v>
      </c>
      <c r="J405" s="148"/>
      <c r="K405" s="148"/>
      <c r="L405" s="148"/>
      <c r="M405" s="148">
        <v>14.3</v>
      </c>
      <c r="N405" s="148">
        <v>18.13</v>
      </c>
      <c r="O405" s="148">
        <v>126.91</v>
      </c>
      <c r="P405" s="494"/>
      <c r="Q405" s="148">
        <f t="shared" si="129"/>
        <v>0</v>
      </c>
      <c r="R405" s="148"/>
      <c r="S405" s="148">
        <f t="shared" si="133"/>
        <v>0</v>
      </c>
      <c r="T405" s="148">
        <f t="shared" si="134"/>
        <v>7</v>
      </c>
      <c r="U405" s="148">
        <f t="shared" si="126"/>
        <v>126.91</v>
      </c>
      <c r="V405" s="379"/>
      <c r="W405" s="379"/>
      <c r="X405" s="31" t="e">
        <f>IF(B405&lt;&gt;0,VLOOKUP(B405,#REF!,4,FALSE),"")</f>
        <v>#REF!</v>
      </c>
      <c r="Y405" s="346" t="s">
        <v>3236</v>
      </c>
      <c r="Z405" s="334">
        <f t="shared" si="136"/>
        <v>89.844999999999999</v>
      </c>
      <c r="AA405" s="31"/>
      <c r="AB405" s="32" t="e">
        <f>IF(B405&lt;&gt;0,VLOOKUP(B405,#REF!,2,FALSE),"")</f>
        <v>#REF!</v>
      </c>
    </row>
    <row r="406" spans="1:28" ht="60">
      <c r="A406" s="19" t="s">
        <v>930</v>
      </c>
      <c r="B406" s="20">
        <v>89813</v>
      </c>
      <c r="C406" s="19" t="s">
        <v>1646</v>
      </c>
      <c r="D406" s="21" t="s">
        <v>12</v>
      </c>
      <c r="E406" s="21" t="s">
        <v>17</v>
      </c>
      <c r="F406" s="22">
        <v>4</v>
      </c>
      <c r="G406" s="22">
        <f t="shared" si="135"/>
        <v>5.0065</v>
      </c>
      <c r="H406" s="22">
        <f t="shared" si="131"/>
        <v>6.35</v>
      </c>
      <c r="I406" s="147">
        <f t="shared" si="132"/>
        <v>25.4</v>
      </c>
      <c r="J406" s="148"/>
      <c r="K406" s="148"/>
      <c r="L406" s="148"/>
      <c r="M406" s="148">
        <v>5.58</v>
      </c>
      <c r="N406" s="148">
        <v>7.08</v>
      </c>
      <c r="O406" s="148">
        <v>28.32</v>
      </c>
      <c r="P406" s="494"/>
      <c r="Q406" s="148">
        <f t="shared" si="129"/>
        <v>0</v>
      </c>
      <c r="R406" s="148"/>
      <c r="S406" s="148">
        <f t="shared" si="133"/>
        <v>0</v>
      </c>
      <c r="T406" s="148">
        <f t="shared" si="134"/>
        <v>4</v>
      </c>
      <c r="U406" s="148">
        <f t="shared" si="126"/>
        <v>28.32</v>
      </c>
      <c r="V406" s="379"/>
      <c r="W406" s="379"/>
      <c r="X406" s="31" t="e">
        <f>IF(B406&lt;&gt;0,VLOOKUP(B406,#REF!,4,FALSE),"")</f>
        <v>#REF!</v>
      </c>
      <c r="Y406" s="346" t="s">
        <v>3123</v>
      </c>
      <c r="Z406" s="334">
        <f t="shared" si="136"/>
        <v>20.026</v>
      </c>
      <c r="AA406" s="31"/>
      <c r="AB406" s="32" t="e">
        <f>IF(B406&lt;&gt;0,VLOOKUP(B406,#REF!,2,FALSE),"")</f>
        <v>#REF!</v>
      </c>
    </row>
    <row r="407" spans="1:28" ht="60">
      <c r="A407" s="19" t="s">
        <v>931</v>
      </c>
      <c r="B407" s="20">
        <v>89752</v>
      </c>
      <c r="C407" s="19" t="s">
        <v>1647</v>
      </c>
      <c r="D407" s="21" t="s">
        <v>12</v>
      </c>
      <c r="E407" s="21" t="s">
        <v>17</v>
      </c>
      <c r="F407" s="22">
        <v>5</v>
      </c>
      <c r="G407" s="22">
        <f t="shared" si="135"/>
        <v>4.0970000000000004</v>
      </c>
      <c r="H407" s="22">
        <f t="shared" si="131"/>
        <v>5.2</v>
      </c>
      <c r="I407" s="147">
        <f t="shared" si="132"/>
        <v>26</v>
      </c>
      <c r="J407" s="148"/>
      <c r="K407" s="148"/>
      <c r="L407" s="148"/>
      <c r="M407" s="148">
        <v>4.5599999999999996</v>
      </c>
      <c r="N407" s="148">
        <v>5.78</v>
      </c>
      <c r="O407" s="148">
        <v>28.9</v>
      </c>
      <c r="P407" s="494"/>
      <c r="Q407" s="148">
        <f t="shared" si="129"/>
        <v>0</v>
      </c>
      <c r="R407" s="148"/>
      <c r="S407" s="148">
        <f t="shared" si="133"/>
        <v>0</v>
      </c>
      <c r="T407" s="148">
        <f t="shared" si="134"/>
        <v>5</v>
      </c>
      <c r="U407" s="148">
        <f t="shared" si="126"/>
        <v>28.9</v>
      </c>
      <c r="V407" s="379"/>
      <c r="W407" s="379"/>
      <c r="X407" s="31" t="e">
        <f>IF(B407&lt;&gt;0,VLOOKUP(B407,#REF!,4,FALSE),"")</f>
        <v>#REF!</v>
      </c>
      <c r="Y407" s="346" t="s">
        <v>1862</v>
      </c>
      <c r="Z407" s="334">
        <f t="shared" si="136"/>
        <v>20.485000000000003</v>
      </c>
      <c r="AA407" s="31"/>
      <c r="AB407" s="32" t="e">
        <f>IF(B407&lt;&gt;0,VLOOKUP(B407,#REF!,2,FALSE),"")</f>
        <v>#REF!</v>
      </c>
    </row>
    <row r="408" spans="1:28" ht="45">
      <c r="A408" s="19" t="s">
        <v>932</v>
      </c>
      <c r="B408" s="20">
        <v>89798</v>
      </c>
      <c r="C408" s="19" t="s">
        <v>1629</v>
      </c>
      <c r="D408" s="21" t="s">
        <v>12</v>
      </c>
      <c r="E408" s="21" t="s">
        <v>52</v>
      </c>
      <c r="F408" s="22">
        <v>11</v>
      </c>
      <c r="G408" s="22">
        <f t="shared" si="135"/>
        <v>8.84</v>
      </c>
      <c r="H408" s="22">
        <f t="shared" si="131"/>
        <v>11.21</v>
      </c>
      <c r="I408" s="147">
        <f t="shared" si="132"/>
        <v>123.31</v>
      </c>
      <c r="J408" s="148"/>
      <c r="K408" s="148"/>
      <c r="L408" s="148"/>
      <c r="M408" s="148">
        <v>9.85</v>
      </c>
      <c r="N408" s="148">
        <v>12.49</v>
      </c>
      <c r="O408" s="148">
        <v>137.38999999999999</v>
      </c>
      <c r="P408" s="494"/>
      <c r="Q408" s="148">
        <f t="shared" si="129"/>
        <v>0</v>
      </c>
      <c r="R408" s="148"/>
      <c r="S408" s="148">
        <f t="shared" si="133"/>
        <v>0</v>
      </c>
      <c r="T408" s="148">
        <f t="shared" si="134"/>
        <v>11</v>
      </c>
      <c r="U408" s="148">
        <f t="shared" si="126"/>
        <v>137.38999999999999</v>
      </c>
      <c r="V408" s="379"/>
      <c r="W408" s="379"/>
      <c r="X408" s="31" t="e">
        <f>IF(B408&lt;&gt;0,VLOOKUP(B408,#REF!,4,FALSE),"")</f>
        <v>#REF!</v>
      </c>
      <c r="Y408" s="346" t="s">
        <v>1908</v>
      </c>
      <c r="Z408" s="334">
        <f t="shared" si="136"/>
        <v>97.24</v>
      </c>
      <c r="AA408" s="31"/>
      <c r="AB408" s="32" t="e">
        <f>IF(B408&lt;&gt;0,VLOOKUP(B408,#REF!,2,FALSE),"")</f>
        <v>#REF!</v>
      </c>
    </row>
    <row r="409" spans="1:28" ht="60">
      <c r="A409" s="19" t="s">
        <v>933</v>
      </c>
      <c r="B409" s="20">
        <v>89782</v>
      </c>
      <c r="C409" s="19" t="s">
        <v>1648</v>
      </c>
      <c r="D409" s="21" t="s">
        <v>12</v>
      </c>
      <c r="E409" s="21" t="s">
        <v>17</v>
      </c>
      <c r="F409" s="22">
        <v>4</v>
      </c>
      <c r="G409" s="22">
        <f t="shared" si="135"/>
        <v>7.8370000000000006</v>
      </c>
      <c r="H409" s="22">
        <f t="shared" si="131"/>
        <v>9.94</v>
      </c>
      <c r="I409" s="147">
        <f t="shared" si="132"/>
        <v>39.76</v>
      </c>
      <c r="J409" s="148"/>
      <c r="K409" s="148"/>
      <c r="L409" s="148"/>
      <c r="M409" s="148">
        <v>8.73</v>
      </c>
      <c r="N409" s="148">
        <v>11.07</v>
      </c>
      <c r="O409" s="148">
        <v>44.28</v>
      </c>
      <c r="P409" s="494"/>
      <c r="Q409" s="148">
        <f t="shared" si="129"/>
        <v>0</v>
      </c>
      <c r="R409" s="148"/>
      <c r="S409" s="148">
        <f t="shared" si="133"/>
        <v>0</v>
      </c>
      <c r="T409" s="148">
        <f t="shared" si="134"/>
        <v>4</v>
      </c>
      <c r="U409" s="148">
        <f t="shared" si="126"/>
        <v>44.28</v>
      </c>
      <c r="V409" s="379"/>
      <c r="W409" s="379"/>
      <c r="X409" s="31" t="e">
        <f>IF(B409&lt;&gt;0,VLOOKUP(B409,#REF!,4,FALSE),"")</f>
        <v>#REF!</v>
      </c>
      <c r="Y409" s="346" t="s">
        <v>1884</v>
      </c>
      <c r="Z409" s="334">
        <f t="shared" si="136"/>
        <v>31.348000000000003</v>
      </c>
      <c r="AA409" s="31"/>
      <c r="AB409" s="32" t="e">
        <f>IF(B409&lt;&gt;0,VLOOKUP(B409,#REF!,2,FALSE),"")</f>
        <v>#REF!</v>
      </c>
    </row>
    <row r="410" spans="1:28" ht="60">
      <c r="A410" s="19" t="s">
        <v>934</v>
      </c>
      <c r="B410" s="20">
        <v>89829</v>
      </c>
      <c r="C410" s="19" t="s">
        <v>1649</v>
      </c>
      <c r="D410" s="21" t="s">
        <v>12</v>
      </c>
      <c r="E410" s="21" t="s">
        <v>17</v>
      </c>
      <c r="F410" s="22">
        <v>20</v>
      </c>
      <c r="G410" s="22">
        <f t="shared" si="135"/>
        <v>19.456500000000002</v>
      </c>
      <c r="H410" s="22">
        <f t="shared" si="131"/>
        <v>24.67</v>
      </c>
      <c r="I410" s="147">
        <f t="shared" si="132"/>
        <v>493.4</v>
      </c>
      <c r="J410" s="148"/>
      <c r="K410" s="148"/>
      <c r="L410" s="148"/>
      <c r="M410" s="148">
        <v>21.67</v>
      </c>
      <c r="N410" s="148">
        <v>27.48</v>
      </c>
      <c r="O410" s="148">
        <v>549.6</v>
      </c>
      <c r="P410" s="494"/>
      <c r="Q410" s="148">
        <f t="shared" si="129"/>
        <v>0</v>
      </c>
      <c r="R410" s="148"/>
      <c r="S410" s="148">
        <f t="shared" si="133"/>
        <v>0</v>
      </c>
      <c r="T410" s="148">
        <f t="shared" si="134"/>
        <v>20</v>
      </c>
      <c r="U410" s="148">
        <f t="shared" si="126"/>
        <v>549.6</v>
      </c>
      <c r="V410" s="379"/>
      <c r="W410" s="379"/>
      <c r="X410" s="31" t="e">
        <f>IF(B410&lt;&gt;0,VLOOKUP(B410,#REF!,4,FALSE),"")</f>
        <v>#REF!</v>
      </c>
      <c r="Y410" s="346" t="s">
        <v>3099</v>
      </c>
      <c r="Z410" s="334">
        <f t="shared" si="136"/>
        <v>389.13000000000005</v>
      </c>
      <c r="AA410" s="31"/>
      <c r="AB410" s="32" t="e">
        <f>IF(B410&lt;&gt;0,VLOOKUP(B410,#REF!,2,FALSE),"")</f>
        <v>#REF!</v>
      </c>
    </row>
    <row r="411" spans="1:28" ht="60">
      <c r="A411" s="19" t="s">
        <v>935</v>
      </c>
      <c r="B411" s="20">
        <v>89833</v>
      </c>
      <c r="C411" s="19" t="s">
        <v>1650</v>
      </c>
      <c r="D411" s="21" t="s">
        <v>12</v>
      </c>
      <c r="E411" s="21" t="s">
        <v>17</v>
      </c>
      <c r="F411" s="22">
        <v>33</v>
      </c>
      <c r="G411" s="22">
        <f t="shared" si="135"/>
        <v>23.97</v>
      </c>
      <c r="H411" s="22">
        <f t="shared" si="131"/>
        <v>30.4</v>
      </c>
      <c r="I411" s="147">
        <f t="shared" si="132"/>
        <v>1003.2</v>
      </c>
      <c r="J411" s="148"/>
      <c r="K411" s="148"/>
      <c r="L411" s="148"/>
      <c r="M411" s="148">
        <v>26.7</v>
      </c>
      <c r="N411" s="148">
        <v>33.86</v>
      </c>
      <c r="O411" s="148">
        <v>1117.3800000000001</v>
      </c>
      <c r="P411" s="494"/>
      <c r="Q411" s="148">
        <f t="shared" si="129"/>
        <v>0</v>
      </c>
      <c r="R411" s="148"/>
      <c r="S411" s="148">
        <f t="shared" si="133"/>
        <v>0</v>
      </c>
      <c r="T411" s="148">
        <f t="shared" si="134"/>
        <v>33</v>
      </c>
      <c r="U411" s="148">
        <f t="shared" si="126"/>
        <v>1117.3800000000001</v>
      </c>
      <c r="V411" s="379"/>
      <c r="W411" s="379"/>
      <c r="X411" s="31" t="e">
        <f>IF(B411&lt;&gt;0,VLOOKUP(B411,#REF!,4,FALSE),"")</f>
        <v>#REF!</v>
      </c>
      <c r="Y411" s="346" t="s">
        <v>3149</v>
      </c>
      <c r="Z411" s="334">
        <f t="shared" si="136"/>
        <v>791.01</v>
      </c>
      <c r="AA411" s="31"/>
      <c r="AB411" s="32" t="e">
        <f>IF(B411&lt;&gt;0,VLOOKUP(B411,#REF!,2,FALSE),"")</f>
        <v>#REF!</v>
      </c>
    </row>
    <row r="412" spans="1:28" s="55" customFormat="1" ht="60">
      <c r="A412" s="19" t="s">
        <v>936</v>
      </c>
      <c r="B412" s="21" t="s">
        <v>2122</v>
      </c>
      <c r="C412" s="19" t="s">
        <v>148</v>
      </c>
      <c r="D412" s="21" t="s">
        <v>1914</v>
      </c>
      <c r="E412" s="21" t="s">
        <v>17</v>
      </c>
      <c r="F412" s="22">
        <v>6</v>
      </c>
      <c r="G412" s="22">
        <f t="shared" si="135"/>
        <v>23.442999999999998</v>
      </c>
      <c r="H412" s="22">
        <f t="shared" si="131"/>
        <v>29.73</v>
      </c>
      <c r="I412" s="147">
        <f t="shared" si="132"/>
        <v>178.38</v>
      </c>
      <c r="J412" s="148"/>
      <c r="K412" s="148"/>
      <c r="L412" s="148"/>
      <c r="M412" s="148">
        <v>26.12</v>
      </c>
      <c r="N412" s="148">
        <v>33.119999999999997</v>
      </c>
      <c r="O412" s="148">
        <v>198.72</v>
      </c>
      <c r="P412" s="494"/>
      <c r="Q412" s="148">
        <f t="shared" si="129"/>
        <v>0</v>
      </c>
      <c r="R412" s="148"/>
      <c r="S412" s="148">
        <f t="shared" si="133"/>
        <v>0</v>
      </c>
      <c r="T412" s="148">
        <f t="shared" si="134"/>
        <v>6</v>
      </c>
      <c r="U412" s="148">
        <f t="shared" si="126"/>
        <v>198.72</v>
      </c>
      <c r="V412" s="379"/>
      <c r="W412" s="379"/>
      <c r="X412" s="57">
        <f>'COMPOSIÇÃO DE CUSTOS'!G721</f>
        <v>23.44</v>
      </c>
      <c r="Y412" s="334">
        <v>27.58</v>
      </c>
      <c r="Z412" s="334">
        <f t="shared" si="136"/>
        <v>140.65799999999999</v>
      </c>
      <c r="AA412" s="57"/>
      <c r="AB412" s="58" t="e">
        <f>IF(B412&lt;&gt;0,VLOOKUP(B412,#REF!,2,FALSE),"")</f>
        <v>#REF!</v>
      </c>
    </row>
    <row r="413" spans="1:28" s="55" customFormat="1" ht="60">
      <c r="A413" s="19" t="s">
        <v>937</v>
      </c>
      <c r="B413" s="21" t="s">
        <v>2123</v>
      </c>
      <c r="C413" s="19" t="s">
        <v>1651</v>
      </c>
      <c r="D413" s="21" t="s">
        <v>1914</v>
      </c>
      <c r="E413" s="21" t="s">
        <v>17</v>
      </c>
      <c r="F413" s="22">
        <v>6</v>
      </c>
      <c r="G413" s="22">
        <f t="shared" si="135"/>
        <v>19.277999999999999</v>
      </c>
      <c r="H413" s="22">
        <f t="shared" si="131"/>
        <v>24.45</v>
      </c>
      <c r="I413" s="147">
        <f t="shared" si="132"/>
        <v>146.69999999999999</v>
      </c>
      <c r="J413" s="148"/>
      <c r="K413" s="148"/>
      <c r="L413" s="148"/>
      <c r="M413" s="148">
        <v>21.48</v>
      </c>
      <c r="N413" s="148">
        <v>27.24</v>
      </c>
      <c r="O413" s="148">
        <v>163.44</v>
      </c>
      <c r="P413" s="494"/>
      <c r="Q413" s="148">
        <f t="shared" si="129"/>
        <v>0</v>
      </c>
      <c r="R413" s="148"/>
      <c r="S413" s="148">
        <f t="shared" si="133"/>
        <v>0</v>
      </c>
      <c r="T413" s="148">
        <f t="shared" si="134"/>
        <v>6</v>
      </c>
      <c r="U413" s="148">
        <f t="shared" si="126"/>
        <v>163.44</v>
      </c>
      <c r="V413" s="379"/>
      <c r="W413" s="379"/>
      <c r="X413" s="57">
        <f>'COMPOSIÇÃO DE CUSTOS'!G730</f>
        <v>19.27</v>
      </c>
      <c r="Y413" s="334">
        <v>22.68</v>
      </c>
      <c r="Z413" s="334">
        <f t="shared" si="136"/>
        <v>115.66799999999999</v>
      </c>
      <c r="AA413" s="57"/>
      <c r="AB413" s="58"/>
    </row>
    <row r="414" spans="1:28" s="55" customFormat="1" ht="60">
      <c r="A414" s="19" t="s">
        <v>938</v>
      </c>
      <c r="B414" s="21" t="s">
        <v>2124</v>
      </c>
      <c r="C414" s="19" t="s">
        <v>1652</v>
      </c>
      <c r="D414" s="21" t="s">
        <v>1914</v>
      </c>
      <c r="E414" s="21" t="s">
        <v>17</v>
      </c>
      <c r="F414" s="22">
        <v>12</v>
      </c>
      <c r="G414" s="22">
        <f t="shared" si="135"/>
        <v>64.61699999999999</v>
      </c>
      <c r="H414" s="22">
        <f t="shared" si="131"/>
        <v>81.94</v>
      </c>
      <c r="I414" s="147">
        <f t="shared" si="132"/>
        <v>983.28</v>
      </c>
      <c r="J414" s="148"/>
      <c r="K414" s="148"/>
      <c r="L414" s="148"/>
      <c r="M414" s="148">
        <v>71.98</v>
      </c>
      <c r="N414" s="148">
        <v>91.28</v>
      </c>
      <c r="O414" s="148">
        <v>1095.3599999999999</v>
      </c>
      <c r="P414" s="494"/>
      <c r="Q414" s="148">
        <f t="shared" si="129"/>
        <v>0</v>
      </c>
      <c r="R414" s="148"/>
      <c r="S414" s="148">
        <f t="shared" si="133"/>
        <v>0</v>
      </c>
      <c r="T414" s="148">
        <f t="shared" si="134"/>
        <v>12</v>
      </c>
      <c r="U414" s="148">
        <f t="shared" si="126"/>
        <v>1095.3599999999999</v>
      </c>
      <c r="V414" s="379"/>
      <c r="W414" s="379"/>
      <c r="X414" s="57">
        <f>'COMPOSIÇÃO DE CUSTOS'!G739</f>
        <v>64.61</v>
      </c>
      <c r="Y414" s="334">
        <v>76.02</v>
      </c>
      <c r="Z414" s="334">
        <f t="shared" si="136"/>
        <v>775.40399999999988</v>
      </c>
      <c r="AA414" s="57"/>
      <c r="AB414" s="58" t="e">
        <f>IF(B414&lt;&gt;0,VLOOKUP(B414,#REF!,2,FALSE),"")</f>
        <v>#REF!</v>
      </c>
    </row>
    <row r="415" spans="1:28" s="55" customFormat="1" ht="30">
      <c r="A415" s="19" t="s">
        <v>939</v>
      </c>
      <c r="B415" s="20">
        <v>1208</v>
      </c>
      <c r="C415" s="19" t="s">
        <v>149</v>
      </c>
      <c r="D415" s="21" t="s">
        <v>44</v>
      </c>
      <c r="E415" s="21" t="s">
        <v>17</v>
      </c>
      <c r="F415" s="22">
        <v>20</v>
      </c>
      <c r="G415" s="22">
        <f t="shared" si="135"/>
        <v>51.186999999999998</v>
      </c>
      <c r="H415" s="22">
        <f t="shared" si="131"/>
        <v>64.91</v>
      </c>
      <c r="I415" s="147">
        <f t="shared" si="132"/>
        <v>1298.2</v>
      </c>
      <c r="J415" s="148"/>
      <c r="K415" s="148"/>
      <c r="L415" s="148"/>
      <c r="M415" s="148">
        <v>57.02</v>
      </c>
      <c r="N415" s="148">
        <v>72.31</v>
      </c>
      <c r="O415" s="148">
        <v>1446.2</v>
      </c>
      <c r="P415" s="494"/>
      <c r="Q415" s="148">
        <f t="shared" si="129"/>
        <v>0</v>
      </c>
      <c r="R415" s="148"/>
      <c r="S415" s="148">
        <f t="shared" si="133"/>
        <v>0</v>
      </c>
      <c r="T415" s="148">
        <f t="shared" si="134"/>
        <v>20</v>
      </c>
      <c r="U415" s="148">
        <f t="shared" si="126"/>
        <v>1446.2</v>
      </c>
      <c r="V415" s="379"/>
      <c r="W415" s="379"/>
      <c r="X415" s="57">
        <f>'COMPOSIÇÃO DE CUSTOS'!G748</f>
        <v>51.2</v>
      </c>
      <c r="Y415" s="334">
        <v>60.22</v>
      </c>
      <c r="Z415" s="334">
        <f t="shared" si="136"/>
        <v>1023.74</v>
      </c>
      <c r="AA415" s="57"/>
      <c r="AB415" s="58"/>
    </row>
    <row r="416" spans="1:28" ht="45">
      <c r="A416" s="19" t="s">
        <v>940</v>
      </c>
      <c r="B416" s="20">
        <v>1582</v>
      </c>
      <c r="C416" s="19" t="s">
        <v>150</v>
      </c>
      <c r="D416" s="21" t="s">
        <v>44</v>
      </c>
      <c r="E416" s="21" t="s">
        <v>17</v>
      </c>
      <c r="F416" s="22">
        <v>19</v>
      </c>
      <c r="G416" s="22">
        <f t="shared" si="135"/>
        <v>12.6905</v>
      </c>
      <c r="H416" s="22">
        <f t="shared" si="131"/>
        <v>16.09</v>
      </c>
      <c r="I416" s="147">
        <f t="shared" si="132"/>
        <v>305.70999999999998</v>
      </c>
      <c r="J416" s="148"/>
      <c r="K416" s="148"/>
      <c r="L416" s="148"/>
      <c r="M416" s="148">
        <v>14.14</v>
      </c>
      <c r="N416" s="148">
        <v>17.93</v>
      </c>
      <c r="O416" s="148">
        <v>340.67</v>
      </c>
      <c r="P416" s="494"/>
      <c r="Q416" s="148">
        <f t="shared" si="129"/>
        <v>0</v>
      </c>
      <c r="R416" s="148"/>
      <c r="S416" s="148">
        <f t="shared" si="133"/>
        <v>0</v>
      </c>
      <c r="T416" s="148">
        <f t="shared" si="134"/>
        <v>19</v>
      </c>
      <c r="U416" s="148">
        <f t="shared" si="126"/>
        <v>340.67</v>
      </c>
      <c r="V416" s="379"/>
      <c r="W416" s="379"/>
      <c r="X416" s="33">
        <f>'COMPOSIÇÃO DE CUSTOS'!G757</f>
        <v>12.68</v>
      </c>
      <c r="Y416" s="337">
        <v>14.93</v>
      </c>
      <c r="Z416" s="334">
        <f t="shared" si="136"/>
        <v>241.11950000000002</v>
      </c>
      <c r="AA416" s="33"/>
      <c r="AB416" s="30"/>
    </row>
    <row r="417" spans="1:28" ht="30">
      <c r="A417" s="19" t="s">
        <v>941</v>
      </c>
      <c r="B417" s="21" t="s">
        <v>2134</v>
      </c>
      <c r="C417" s="19" t="s">
        <v>151</v>
      </c>
      <c r="D417" s="21" t="s">
        <v>70</v>
      </c>
      <c r="E417" s="21" t="s">
        <v>17</v>
      </c>
      <c r="F417" s="22">
        <v>8</v>
      </c>
      <c r="G417" s="22">
        <f t="shared" si="135"/>
        <v>13.123999999999999</v>
      </c>
      <c r="H417" s="22">
        <f t="shared" si="131"/>
        <v>16.64</v>
      </c>
      <c r="I417" s="147">
        <f t="shared" si="132"/>
        <v>133.12</v>
      </c>
      <c r="J417" s="148"/>
      <c r="K417" s="148"/>
      <c r="L417" s="148"/>
      <c r="M417" s="148">
        <v>14.62</v>
      </c>
      <c r="N417" s="148">
        <v>18.54</v>
      </c>
      <c r="O417" s="148">
        <v>148.32</v>
      </c>
      <c r="P417" s="494"/>
      <c r="Q417" s="148">
        <f t="shared" si="129"/>
        <v>0</v>
      </c>
      <c r="R417" s="148"/>
      <c r="S417" s="148">
        <f t="shared" si="133"/>
        <v>0</v>
      </c>
      <c r="T417" s="148">
        <f t="shared" si="134"/>
        <v>8</v>
      </c>
      <c r="U417" s="148">
        <f t="shared" si="126"/>
        <v>148.32</v>
      </c>
      <c r="V417" s="379"/>
      <c r="W417" s="379"/>
      <c r="X417" s="33">
        <f>'COMPOSIÇÃO DE CUSTOS'!G766</f>
        <v>13.13</v>
      </c>
      <c r="Y417" s="337">
        <v>15.44</v>
      </c>
      <c r="Z417" s="334">
        <f t="shared" si="136"/>
        <v>104.99199999999999</v>
      </c>
      <c r="AA417" s="33"/>
      <c r="AB417" s="30"/>
    </row>
    <row r="418" spans="1:28" ht="30">
      <c r="A418" s="19" t="s">
        <v>942</v>
      </c>
      <c r="B418" s="21" t="s">
        <v>2135</v>
      </c>
      <c r="C418" s="19" t="s">
        <v>152</v>
      </c>
      <c r="D418" s="21" t="s">
        <v>70</v>
      </c>
      <c r="E418" s="21" t="s">
        <v>17</v>
      </c>
      <c r="F418" s="22">
        <v>1</v>
      </c>
      <c r="G418" s="22">
        <f t="shared" si="135"/>
        <v>5.0999999999999996</v>
      </c>
      <c r="H418" s="22">
        <f t="shared" si="131"/>
        <v>6.47</v>
      </c>
      <c r="I418" s="147">
        <f t="shared" si="132"/>
        <v>6.47</v>
      </c>
      <c r="J418" s="148"/>
      <c r="K418" s="148"/>
      <c r="L418" s="148"/>
      <c r="M418" s="148">
        <v>5.68</v>
      </c>
      <c r="N418" s="148">
        <v>7.2</v>
      </c>
      <c r="O418" s="148">
        <v>7.2</v>
      </c>
      <c r="P418" s="494"/>
      <c r="Q418" s="148">
        <f t="shared" si="129"/>
        <v>0</v>
      </c>
      <c r="R418" s="148"/>
      <c r="S418" s="148">
        <f t="shared" si="133"/>
        <v>0</v>
      </c>
      <c r="T418" s="148">
        <f t="shared" si="134"/>
        <v>1</v>
      </c>
      <c r="U418" s="148">
        <f t="shared" si="126"/>
        <v>7.2</v>
      </c>
      <c r="V418" s="379"/>
      <c r="W418" s="379"/>
      <c r="X418" s="33">
        <f>'COMPOSIÇÃO DE CUSTOS'!G775</f>
        <v>5.0999999999999996</v>
      </c>
      <c r="Y418" s="337">
        <v>6</v>
      </c>
      <c r="Z418" s="334">
        <f t="shared" si="136"/>
        <v>5.0999999999999996</v>
      </c>
      <c r="AA418" s="33"/>
      <c r="AB418" s="30"/>
    </row>
    <row r="419" spans="1:28" ht="15" customHeight="1">
      <c r="A419" s="229" t="s">
        <v>943</v>
      </c>
      <c r="B419" s="229"/>
      <c r="C419" s="229" t="s">
        <v>141</v>
      </c>
      <c r="D419" s="230"/>
      <c r="E419" s="230"/>
      <c r="F419" s="230"/>
      <c r="G419" s="22"/>
      <c r="H419" s="230"/>
      <c r="I419" s="445"/>
      <c r="J419" s="440"/>
      <c r="K419" s="440"/>
      <c r="L419" s="440"/>
      <c r="M419" s="440"/>
      <c r="N419" s="440"/>
      <c r="O419" s="440"/>
      <c r="P419" s="492"/>
      <c r="Q419" s="148">
        <f t="shared" si="129"/>
        <v>0</v>
      </c>
      <c r="R419" s="440"/>
      <c r="S419" s="440"/>
      <c r="T419" s="148"/>
      <c r="U419" s="148"/>
      <c r="V419" s="330"/>
      <c r="W419" s="330"/>
      <c r="X419" s="33"/>
      <c r="Y419" s="337"/>
      <c r="Z419" s="334">
        <f t="shared" si="136"/>
        <v>0</v>
      </c>
      <c r="AA419" s="33"/>
      <c r="AB419" s="30"/>
    </row>
    <row r="420" spans="1:28" ht="90">
      <c r="A420" s="19" t="s">
        <v>944</v>
      </c>
      <c r="B420" s="21" t="s">
        <v>2117</v>
      </c>
      <c r="C420" s="19" t="s">
        <v>142</v>
      </c>
      <c r="D420" s="21" t="s">
        <v>1914</v>
      </c>
      <c r="E420" s="21" t="s">
        <v>17</v>
      </c>
      <c r="F420" s="22">
        <v>4</v>
      </c>
      <c r="G420" s="22">
        <f t="shared" si="135"/>
        <v>194.76900000000001</v>
      </c>
      <c r="H420" s="22">
        <f>ROUND(G420*(1+$X$14),2)</f>
        <v>246.99</v>
      </c>
      <c r="I420" s="147">
        <f>ROUND(H420*F420,2)</f>
        <v>987.96</v>
      </c>
      <c r="J420" s="148"/>
      <c r="K420" s="148"/>
      <c r="L420" s="148"/>
      <c r="M420" s="148">
        <v>216.97</v>
      </c>
      <c r="N420" s="148">
        <v>275.14</v>
      </c>
      <c r="O420" s="148">
        <v>1100.56</v>
      </c>
      <c r="P420" s="494"/>
      <c r="Q420" s="148">
        <f t="shared" si="129"/>
        <v>0</v>
      </c>
      <c r="R420" s="148"/>
      <c r="S420" s="148">
        <f>ROUND(R420*P420,2)</f>
        <v>0</v>
      </c>
      <c r="T420" s="148">
        <f t="shared" ref="T420:T449" si="137">F420+P420-R420</f>
        <v>4</v>
      </c>
      <c r="U420" s="148">
        <f t="shared" ref="U420:U496" si="138">O420+Q420-S420+L420</f>
        <v>1100.56</v>
      </c>
      <c r="V420" s="379"/>
      <c r="W420" s="379"/>
      <c r="X420" s="33">
        <f>'COMPOSIÇÃO DE CUSTOS'!G788</f>
        <v>194.75</v>
      </c>
      <c r="Y420" s="337">
        <v>229.14</v>
      </c>
      <c r="Z420" s="334">
        <f t="shared" si="136"/>
        <v>779.07600000000002</v>
      </c>
      <c r="AA420" s="33"/>
      <c r="AB420" s="30"/>
    </row>
    <row r="421" spans="1:28" ht="45">
      <c r="A421" s="19" t="s">
        <v>945</v>
      </c>
      <c r="B421" s="21" t="s">
        <v>2139</v>
      </c>
      <c r="C421" s="19" t="s">
        <v>153</v>
      </c>
      <c r="D421" s="21" t="s">
        <v>1914</v>
      </c>
      <c r="E421" s="21" t="s">
        <v>17</v>
      </c>
      <c r="F421" s="22">
        <v>3</v>
      </c>
      <c r="G421" s="22">
        <f t="shared" si="135"/>
        <v>337.12700000000001</v>
      </c>
      <c r="H421" s="22">
        <f>ROUND(G421*(1+$X$14),2)</f>
        <v>427.51</v>
      </c>
      <c r="I421" s="147">
        <f>ROUND(H421*F421,2)</f>
        <v>1282.53</v>
      </c>
      <c r="J421" s="148"/>
      <c r="K421" s="148"/>
      <c r="L421" s="148"/>
      <c r="M421" s="148">
        <v>375.56</v>
      </c>
      <c r="N421" s="148">
        <v>476.25</v>
      </c>
      <c r="O421" s="148">
        <v>1428.75</v>
      </c>
      <c r="P421" s="494"/>
      <c r="Q421" s="148">
        <f t="shared" si="129"/>
        <v>0</v>
      </c>
      <c r="R421" s="148"/>
      <c r="S421" s="148">
        <f>ROUND(R421*P421,2)</f>
        <v>0</v>
      </c>
      <c r="T421" s="148">
        <f t="shared" si="137"/>
        <v>3</v>
      </c>
      <c r="U421" s="148">
        <f t="shared" si="138"/>
        <v>1428.75</v>
      </c>
      <c r="V421" s="379"/>
      <c r="W421" s="379"/>
      <c r="X421" s="33">
        <f>'COMPOSIÇÃO DE CUSTOS'!G796</f>
        <v>337.13</v>
      </c>
      <c r="Y421" s="337">
        <v>396.62</v>
      </c>
      <c r="Z421" s="334">
        <f t="shared" si="136"/>
        <v>1011.3810000000001</v>
      </c>
      <c r="AA421" s="33"/>
      <c r="AB421" s="30"/>
    </row>
    <row r="422" spans="1:28" ht="30">
      <c r="A422" s="19" t="s">
        <v>946</v>
      </c>
      <c r="B422" s="20">
        <v>522265</v>
      </c>
      <c r="C422" s="19" t="s">
        <v>154</v>
      </c>
      <c r="D422" s="21" t="s">
        <v>1914</v>
      </c>
      <c r="E422" s="21" t="s">
        <v>17</v>
      </c>
      <c r="F422" s="22">
        <v>22</v>
      </c>
      <c r="G422" s="22">
        <f t="shared" si="135"/>
        <v>6.63</v>
      </c>
      <c r="H422" s="22">
        <f>ROUND(G422*(1+$X$14),2)</f>
        <v>8.41</v>
      </c>
      <c r="I422" s="147">
        <f>ROUND(H422*F422,2)</f>
        <v>185.02</v>
      </c>
      <c r="J422" s="148"/>
      <c r="K422" s="148"/>
      <c r="L422" s="148"/>
      <c r="M422" s="148">
        <v>7.39</v>
      </c>
      <c r="N422" s="148">
        <v>9.3699999999999992</v>
      </c>
      <c r="O422" s="148">
        <v>206.14</v>
      </c>
      <c r="P422" s="494"/>
      <c r="Q422" s="148">
        <f t="shared" si="129"/>
        <v>0</v>
      </c>
      <c r="R422" s="148"/>
      <c r="S422" s="148">
        <f>ROUND(R422*P422,2)</f>
        <v>0</v>
      </c>
      <c r="T422" s="148">
        <f t="shared" si="137"/>
        <v>22</v>
      </c>
      <c r="U422" s="148">
        <f t="shared" si="138"/>
        <v>206.14</v>
      </c>
      <c r="V422" s="379"/>
      <c r="W422" s="379"/>
      <c r="X422" s="31">
        <f>'COMPOSIÇÃO DE CUSTOS'!G805</f>
        <v>6.63</v>
      </c>
      <c r="Y422" s="346">
        <v>7.8</v>
      </c>
      <c r="Z422" s="334">
        <f t="shared" si="136"/>
        <v>145.85999999999999</v>
      </c>
      <c r="AA422" s="31"/>
      <c r="AB422" s="30"/>
    </row>
    <row r="423" spans="1:28">
      <c r="A423" s="270" t="s">
        <v>4173</v>
      </c>
      <c r="B423" s="20"/>
      <c r="C423" s="229" t="s">
        <v>4174</v>
      </c>
      <c r="D423" s="21"/>
      <c r="E423" s="21"/>
      <c r="F423" s="22"/>
      <c r="G423" s="22"/>
      <c r="H423" s="22"/>
      <c r="I423" s="147"/>
      <c r="J423" s="148"/>
      <c r="K423" s="148"/>
      <c r="L423" s="148"/>
      <c r="M423" s="148"/>
      <c r="N423" s="148"/>
      <c r="O423" s="148"/>
      <c r="P423" s="494"/>
      <c r="Q423" s="148"/>
      <c r="R423" s="148"/>
      <c r="S423" s="148"/>
      <c r="T423" s="148"/>
      <c r="U423" s="148"/>
      <c r="V423" s="379"/>
      <c r="W423" s="379"/>
      <c r="X423" s="31"/>
      <c r="Y423" s="346"/>
      <c r="Z423" s="334"/>
      <c r="AA423" s="31"/>
      <c r="AB423" s="30"/>
    </row>
    <row r="424" spans="1:28" s="38" customFormat="1">
      <c r="A424" s="456" t="s">
        <v>4175</v>
      </c>
      <c r="B424" s="448">
        <v>77</v>
      </c>
      <c r="C424" s="449" t="s">
        <v>3790</v>
      </c>
      <c r="D424" s="447" t="s">
        <v>44</v>
      </c>
      <c r="E424" s="447" t="s">
        <v>35</v>
      </c>
      <c r="F424" s="450"/>
      <c r="G424" s="450">
        <v>71.624053795785713</v>
      </c>
      <c r="H424" s="450">
        <v>90.83</v>
      </c>
      <c r="I424" s="451"/>
      <c r="J424" s="452"/>
      <c r="K424" s="452"/>
      <c r="L424" s="452"/>
      <c r="M424" s="452"/>
      <c r="N424" s="452"/>
      <c r="O424" s="452"/>
      <c r="P424" s="493">
        <f>110*0.5*1</f>
        <v>55</v>
      </c>
      <c r="Q424" s="452">
        <f>ROUND(P424*H424,2)</f>
        <v>4995.6499999999996</v>
      </c>
      <c r="R424" s="452"/>
      <c r="S424" s="452"/>
      <c r="T424" s="452">
        <f t="shared" si="137"/>
        <v>55</v>
      </c>
      <c r="U424" s="452">
        <f t="shared" si="138"/>
        <v>4995.6499999999996</v>
      </c>
      <c r="V424" s="453"/>
      <c r="W424" s="453"/>
      <c r="X424" s="42"/>
      <c r="Y424" s="336"/>
      <c r="Z424" s="336"/>
      <c r="AA424" s="42"/>
      <c r="AB424" s="39"/>
    </row>
    <row r="425" spans="1:28" s="38" customFormat="1" ht="30">
      <c r="A425" s="456" t="s">
        <v>4176</v>
      </c>
      <c r="B425" s="448">
        <v>79480</v>
      </c>
      <c r="C425" s="449" t="s">
        <v>34</v>
      </c>
      <c r="D425" s="447" t="s">
        <v>1914</v>
      </c>
      <c r="E425" s="447" t="s">
        <v>35</v>
      </c>
      <c r="F425" s="450"/>
      <c r="G425" s="450">
        <v>2.0995000000000004</v>
      </c>
      <c r="H425" s="450">
        <v>2.66</v>
      </c>
      <c r="I425" s="451"/>
      <c r="J425" s="452"/>
      <c r="K425" s="452"/>
      <c r="L425" s="452"/>
      <c r="M425" s="452"/>
      <c r="N425" s="452"/>
      <c r="O425" s="452"/>
      <c r="P425" s="493">
        <f>P424</f>
        <v>55</v>
      </c>
      <c r="Q425" s="452">
        <f>ROUND(P425*H425,2)*$S$16</f>
        <v>162.97942374597088</v>
      </c>
      <c r="R425" s="452"/>
      <c r="S425" s="452"/>
      <c r="T425" s="452">
        <f t="shared" si="137"/>
        <v>55</v>
      </c>
      <c r="U425" s="452">
        <f t="shared" si="138"/>
        <v>162.97942374597088</v>
      </c>
      <c r="V425" s="453"/>
      <c r="W425" s="453"/>
      <c r="X425" s="42"/>
      <c r="Y425" s="336"/>
      <c r="Z425" s="336"/>
      <c r="AA425" s="42"/>
      <c r="AB425" s="39"/>
    </row>
    <row r="426" spans="1:28" s="38" customFormat="1" ht="30">
      <c r="A426" s="456" t="s">
        <v>4177</v>
      </c>
      <c r="B426" s="448">
        <v>97635</v>
      </c>
      <c r="C426" s="449" t="s">
        <v>3007</v>
      </c>
      <c r="D426" s="447" t="s">
        <v>12</v>
      </c>
      <c r="E426" s="447" t="s">
        <v>26</v>
      </c>
      <c r="F426" s="450"/>
      <c r="G426" s="450">
        <v>8.7635000000000005</v>
      </c>
      <c r="H426" s="450">
        <v>11.11</v>
      </c>
      <c r="I426" s="451"/>
      <c r="J426" s="452"/>
      <c r="K426" s="452"/>
      <c r="L426" s="452"/>
      <c r="M426" s="452"/>
      <c r="N426" s="452"/>
      <c r="O426" s="452"/>
      <c r="P426" s="493">
        <f>110*0.5</f>
        <v>55</v>
      </c>
      <c r="Q426" s="452">
        <f>ROUND(P426*H426,2)*$S$16</f>
        <v>680.7148112096753</v>
      </c>
      <c r="R426" s="452"/>
      <c r="S426" s="452"/>
      <c r="T426" s="452">
        <f t="shared" si="137"/>
        <v>55</v>
      </c>
      <c r="U426" s="452">
        <f t="shared" si="138"/>
        <v>680.7148112096753</v>
      </c>
      <c r="V426" s="453"/>
      <c r="W426" s="453"/>
      <c r="X426" s="42"/>
      <c r="Y426" s="336"/>
      <c r="Z426" s="336"/>
      <c r="AA426" s="42"/>
      <c r="AB426" s="39"/>
    </row>
    <row r="427" spans="1:28" s="38" customFormat="1" ht="75">
      <c r="A427" s="456" t="s">
        <v>4178</v>
      </c>
      <c r="B427" s="448">
        <v>101860</v>
      </c>
      <c r="C427" s="449" t="s">
        <v>3803</v>
      </c>
      <c r="D427" s="447" t="s">
        <v>12</v>
      </c>
      <c r="E427" s="447" t="s">
        <v>26</v>
      </c>
      <c r="F427" s="450"/>
      <c r="G427" s="450">
        <v>24.316574583233436</v>
      </c>
      <c r="H427" s="450">
        <v>30.84</v>
      </c>
      <c r="I427" s="451"/>
      <c r="J427" s="452"/>
      <c r="K427" s="452"/>
      <c r="L427" s="452"/>
      <c r="M427" s="452"/>
      <c r="N427" s="452"/>
      <c r="O427" s="452"/>
      <c r="P427" s="493">
        <f>P426</f>
        <v>55</v>
      </c>
      <c r="Q427" s="452">
        <f>ROUND(P427*H427,2)</f>
        <v>1696.2</v>
      </c>
      <c r="R427" s="452"/>
      <c r="S427" s="452"/>
      <c r="T427" s="452">
        <f t="shared" si="137"/>
        <v>55</v>
      </c>
      <c r="U427" s="452">
        <f t="shared" si="138"/>
        <v>1696.2</v>
      </c>
      <c r="V427" s="453"/>
      <c r="W427" s="453"/>
      <c r="X427" s="42"/>
      <c r="Y427" s="336"/>
      <c r="Z427" s="336"/>
      <c r="AA427" s="42"/>
      <c r="AB427" s="39"/>
    </row>
    <row r="428" spans="1:28">
      <c r="A428" s="270" t="s">
        <v>4184</v>
      </c>
      <c r="B428" s="20"/>
      <c r="C428" s="229" t="s">
        <v>4179</v>
      </c>
      <c r="D428" s="21"/>
      <c r="E428" s="21"/>
      <c r="F428" s="22"/>
      <c r="G428" s="22"/>
      <c r="H428" s="22"/>
      <c r="I428" s="147"/>
      <c r="J428" s="148"/>
      <c r="K428" s="148"/>
      <c r="L428" s="148"/>
      <c r="M428" s="148"/>
      <c r="N428" s="148"/>
      <c r="O428" s="148"/>
      <c r="P428" s="494"/>
      <c r="Q428" s="148"/>
      <c r="R428" s="148"/>
      <c r="S428" s="148"/>
      <c r="T428" s="148"/>
      <c r="U428" s="148"/>
      <c r="V428" s="379"/>
      <c r="W428" s="379"/>
      <c r="X428" s="33"/>
      <c r="Y428" s="337"/>
      <c r="Z428" s="337"/>
      <c r="AA428" s="33"/>
      <c r="AB428" s="30"/>
    </row>
    <row r="429" spans="1:28" s="38" customFormat="1">
      <c r="A429" s="456" t="s">
        <v>4180</v>
      </c>
      <c r="B429" s="448">
        <v>77</v>
      </c>
      <c r="C429" s="449" t="s">
        <v>3790</v>
      </c>
      <c r="D429" s="447" t="s">
        <v>44</v>
      </c>
      <c r="E429" s="447" t="s">
        <v>35</v>
      </c>
      <c r="F429" s="450"/>
      <c r="G429" s="450">
        <v>71.624053795785713</v>
      </c>
      <c r="H429" s="450">
        <v>90.83</v>
      </c>
      <c r="I429" s="451"/>
      <c r="J429" s="452"/>
      <c r="K429" s="452"/>
      <c r="L429" s="452"/>
      <c r="M429" s="452"/>
      <c r="N429" s="452"/>
      <c r="O429" s="452"/>
      <c r="P429" s="493">
        <f>0.5*180*0.5</f>
        <v>45</v>
      </c>
      <c r="Q429" s="452">
        <f>ROUND(P429*H429,2)</f>
        <v>4087.35</v>
      </c>
      <c r="R429" s="452"/>
      <c r="S429" s="452"/>
      <c r="T429" s="452">
        <f t="shared" ref="T429" si="139">F429+P429-R429</f>
        <v>45</v>
      </c>
      <c r="U429" s="452">
        <f t="shared" ref="U429" si="140">O429+Q429-S429+L429</f>
        <v>4087.35</v>
      </c>
      <c r="V429" s="453"/>
      <c r="W429" s="453"/>
      <c r="X429" s="42"/>
      <c r="Y429" s="336"/>
      <c r="Z429" s="336"/>
      <c r="AA429" s="42"/>
      <c r="AB429" s="39"/>
    </row>
    <row r="430" spans="1:28" s="38" customFormat="1" ht="30">
      <c r="A430" s="456" t="s">
        <v>4181</v>
      </c>
      <c r="B430" s="448">
        <v>79480</v>
      </c>
      <c r="C430" s="449" t="s">
        <v>34</v>
      </c>
      <c r="D430" s="447" t="s">
        <v>1914</v>
      </c>
      <c r="E430" s="447" t="s">
        <v>35</v>
      </c>
      <c r="F430" s="450"/>
      <c r="G430" s="450">
        <v>2.0995000000000004</v>
      </c>
      <c r="H430" s="450">
        <v>2.66</v>
      </c>
      <c r="I430" s="451"/>
      <c r="J430" s="452"/>
      <c r="K430" s="452"/>
      <c r="L430" s="452"/>
      <c r="M430" s="452"/>
      <c r="N430" s="452"/>
      <c r="O430" s="452"/>
      <c r="P430" s="493">
        <f>0.5*180*0.5</f>
        <v>45</v>
      </c>
      <c r="Q430" s="452">
        <f>ROUND(P430*H430,2)*$S$16</f>
        <v>133.34680124670345</v>
      </c>
      <c r="R430" s="452"/>
      <c r="S430" s="452"/>
      <c r="T430" s="452">
        <f t="shared" ref="T430:T433" si="141">F430+P430-R430</f>
        <v>45</v>
      </c>
      <c r="U430" s="452">
        <f t="shared" ref="U430:U433" si="142">O430+Q430-S430+L430</f>
        <v>133.34680124670345</v>
      </c>
      <c r="V430" s="453"/>
      <c r="W430" s="453"/>
      <c r="X430" s="42"/>
      <c r="Y430" s="336"/>
      <c r="Z430" s="336"/>
      <c r="AA430" s="42"/>
      <c r="AB430" s="39"/>
    </row>
    <row r="431" spans="1:28" s="38" customFormat="1" ht="30">
      <c r="A431" s="456" t="s">
        <v>4182</v>
      </c>
      <c r="B431" s="448">
        <v>97635</v>
      </c>
      <c r="C431" s="449" t="s">
        <v>3007</v>
      </c>
      <c r="D431" s="447" t="s">
        <v>12</v>
      </c>
      <c r="E431" s="447" t="s">
        <v>26</v>
      </c>
      <c r="F431" s="450"/>
      <c r="G431" s="450">
        <v>8.7635000000000005</v>
      </c>
      <c r="H431" s="450">
        <v>11.11</v>
      </c>
      <c r="I431" s="451"/>
      <c r="J431" s="452"/>
      <c r="K431" s="452"/>
      <c r="L431" s="452"/>
      <c r="M431" s="452"/>
      <c r="N431" s="452"/>
      <c r="O431" s="452"/>
      <c r="P431" s="493">
        <f>0.5*180</f>
        <v>90</v>
      </c>
      <c r="Q431" s="452">
        <f>ROUND(P431*H431,2)*$S$16</f>
        <v>1113.8969637976504</v>
      </c>
      <c r="R431" s="452"/>
      <c r="S431" s="452"/>
      <c r="T431" s="452">
        <f t="shared" si="141"/>
        <v>90</v>
      </c>
      <c r="U431" s="452">
        <f t="shared" si="142"/>
        <v>1113.8969637976504</v>
      </c>
      <c r="V431" s="453"/>
      <c r="W431" s="453"/>
      <c r="X431" s="42"/>
      <c r="Y431" s="336"/>
      <c r="Z431" s="336"/>
      <c r="AA431" s="42"/>
      <c r="AB431" s="39"/>
    </row>
    <row r="432" spans="1:28" s="38" customFormat="1" ht="75">
      <c r="A432" s="456" t="s">
        <v>4183</v>
      </c>
      <c r="B432" s="448">
        <v>101860</v>
      </c>
      <c r="C432" s="449" t="s">
        <v>3803</v>
      </c>
      <c r="D432" s="447" t="s">
        <v>12</v>
      </c>
      <c r="E432" s="447" t="s">
        <v>26</v>
      </c>
      <c r="F432" s="450"/>
      <c r="G432" s="450">
        <v>24.316574583233436</v>
      </c>
      <c r="H432" s="450">
        <v>30.84</v>
      </c>
      <c r="I432" s="451"/>
      <c r="J432" s="452"/>
      <c r="K432" s="452"/>
      <c r="L432" s="452"/>
      <c r="M432" s="452"/>
      <c r="N432" s="452"/>
      <c r="O432" s="452"/>
      <c r="P432" s="493">
        <f>0.5*180</f>
        <v>90</v>
      </c>
      <c r="Q432" s="452">
        <f>ROUND(P432*H432,2)</f>
        <v>2775.6</v>
      </c>
      <c r="R432" s="452"/>
      <c r="S432" s="452"/>
      <c r="T432" s="452">
        <f t="shared" si="141"/>
        <v>90</v>
      </c>
      <c r="U432" s="452">
        <f t="shared" si="142"/>
        <v>2775.6</v>
      </c>
      <c r="V432" s="453"/>
      <c r="W432" s="453"/>
      <c r="X432" s="42"/>
      <c r="Y432" s="336"/>
      <c r="Z432" s="336"/>
      <c r="AA432" s="42"/>
      <c r="AB432" s="39"/>
    </row>
    <row r="433" spans="1:28" s="38" customFormat="1" ht="30">
      <c r="A433" s="456" t="s">
        <v>4186</v>
      </c>
      <c r="B433" s="448">
        <v>4235</v>
      </c>
      <c r="C433" s="449" t="s">
        <v>3419</v>
      </c>
      <c r="D433" s="447" t="s">
        <v>44</v>
      </c>
      <c r="E433" s="447" t="s">
        <v>52</v>
      </c>
      <c r="F433" s="450">
        <v>336</v>
      </c>
      <c r="G433" s="450">
        <v>23.766000000000002</v>
      </c>
      <c r="H433" s="450">
        <v>30.14</v>
      </c>
      <c r="I433" s="451">
        <v>10127.040000000001</v>
      </c>
      <c r="J433" s="452"/>
      <c r="K433" s="452"/>
      <c r="L433" s="452"/>
      <c r="M433" s="452">
        <v>26.48</v>
      </c>
      <c r="N433" s="452">
        <v>33.58</v>
      </c>
      <c r="O433" s="452"/>
      <c r="P433" s="493">
        <f>92+106</f>
        <v>198</v>
      </c>
      <c r="Q433" s="452">
        <f>ROUND(P433*N433,2)</f>
        <v>6648.84</v>
      </c>
      <c r="R433" s="452"/>
      <c r="S433" s="452"/>
      <c r="T433" s="452">
        <f t="shared" si="141"/>
        <v>534</v>
      </c>
      <c r="U433" s="452">
        <f t="shared" si="142"/>
        <v>6648.84</v>
      </c>
      <c r="V433" s="453"/>
      <c r="W433" s="453"/>
      <c r="X433" s="42"/>
      <c r="Y433" s="336"/>
      <c r="Z433" s="336"/>
      <c r="AA433" s="42"/>
      <c r="AB433" s="39"/>
    </row>
    <row r="434" spans="1:28" s="38" customFormat="1">
      <c r="A434" s="456" t="s">
        <v>4188</v>
      </c>
      <c r="B434" s="448">
        <v>7826</v>
      </c>
      <c r="C434" s="449" t="s">
        <v>4189</v>
      </c>
      <c r="D434" s="447" t="s">
        <v>44</v>
      </c>
      <c r="E434" s="447" t="s">
        <v>17</v>
      </c>
      <c r="F434" s="450"/>
      <c r="G434" s="450">
        <v>2467.7346192120199</v>
      </c>
      <c r="H434" s="450">
        <v>3129.33</v>
      </c>
      <c r="I434" s="451"/>
      <c r="J434" s="452"/>
      <c r="K434" s="452"/>
      <c r="L434" s="452"/>
      <c r="M434" s="452"/>
      <c r="N434" s="452"/>
      <c r="O434" s="452"/>
      <c r="P434" s="493">
        <v>1</v>
      </c>
      <c r="Q434" s="452">
        <f>ROUND(P434*H434,2)</f>
        <v>3129.33</v>
      </c>
      <c r="R434" s="452"/>
      <c r="S434" s="452"/>
      <c r="T434" s="452">
        <f t="shared" ref="T434" si="143">F434+P434-R434</f>
        <v>1</v>
      </c>
      <c r="U434" s="452">
        <f t="shared" ref="U434" si="144">O434+Q434-S434+L434</f>
        <v>3129.33</v>
      </c>
      <c r="V434" s="453"/>
      <c r="W434" s="453"/>
      <c r="X434" s="42"/>
      <c r="Y434" s="336"/>
      <c r="Z434" s="336"/>
      <c r="AA434" s="42"/>
      <c r="AB434" s="39"/>
    </row>
    <row r="435" spans="1:28" s="38" customFormat="1" ht="30">
      <c r="A435" s="456" t="s">
        <v>4190</v>
      </c>
      <c r="B435" s="448">
        <v>750</v>
      </c>
      <c r="C435" s="449" t="s">
        <v>4187</v>
      </c>
      <c r="D435" s="447" t="s">
        <v>12</v>
      </c>
      <c r="E435" s="447" t="s">
        <v>238</v>
      </c>
      <c r="F435" s="450"/>
      <c r="G435" s="450">
        <f>(V435-(V435*$Y$15))*$S$16</f>
        <v>6582.7940685138128</v>
      </c>
      <c r="H435" s="450">
        <f>ROUND(G435*(1+$X$14),2)</f>
        <v>8347.64</v>
      </c>
      <c r="I435" s="451"/>
      <c r="J435" s="452"/>
      <c r="K435" s="452"/>
      <c r="L435" s="452"/>
      <c r="M435" s="452"/>
      <c r="N435" s="452"/>
      <c r="O435" s="452"/>
      <c r="P435" s="493">
        <v>1</v>
      </c>
      <c r="Q435" s="452">
        <f>ROUND(P435*H435,2)</f>
        <v>8347.64</v>
      </c>
      <c r="R435" s="452"/>
      <c r="S435" s="452"/>
      <c r="T435" s="452">
        <f t="shared" ref="T435" si="145">F435+P435-R435</f>
        <v>1</v>
      </c>
      <c r="U435" s="452">
        <f t="shared" ref="U435" si="146">O435+Q435-S435+L435</f>
        <v>8347.64</v>
      </c>
      <c r="V435" s="453">
        <f>COMP!G415</f>
        <v>6951.89</v>
      </c>
      <c r="W435" s="453"/>
      <c r="X435" s="42"/>
      <c r="Y435" s="336"/>
      <c r="Z435" s="336"/>
      <c r="AA435" s="42"/>
      <c r="AB435" s="39"/>
    </row>
    <row r="436" spans="1:28" ht="15" customHeight="1">
      <c r="A436" s="229" t="s">
        <v>947</v>
      </c>
      <c r="B436" s="229"/>
      <c r="C436" s="229" t="s">
        <v>155</v>
      </c>
      <c r="D436" s="230"/>
      <c r="E436" s="230"/>
      <c r="F436" s="230"/>
      <c r="G436" s="22"/>
      <c r="H436" s="230"/>
      <c r="I436" s="445"/>
      <c r="J436" s="440"/>
      <c r="K436" s="440"/>
      <c r="L436" s="440"/>
      <c r="M436" s="440"/>
      <c r="N436" s="440"/>
      <c r="O436" s="440"/>
      <c r="P436" s="492"/>
      <c r="Q436" s="148">
        <f t="shared" ref="Q436:Q449" si="147">ROUND(P436*N436,2)</f>
        <v>0</v>
      </c>
      <c r="R436" s="440"/>
      <c r="S436" s="440"/>
      <c r="T436" s="148"/>
      <c r="U436" s="148"/>
      <c r="V436" s="330"/>
      <c r="W436" s="330"/>
      <c r="X436" s="33"/>
      <c r="Y436" s="337"/>
      <c r="Z436" s="334">
        <f t="shared" si="136"/>
        <v>0</v>
      </c>
      <c r="AA436" s="33"/>
      <c r="AB436" s="30"/>
    </row>
    <row r="437" spans="1:28" s="55" customFormat="1" ht="15" customHeight="1">
      <c r="A437" s="229" t="s">
        <v>948</v>
      </c>
      <c r="B437" s="229"/>
      <c r="C437" s="229" t="s">
        <v>156</v>
      </c>
      <c r="D437" s="230"/>
      <c r="E437" s="230"/>
      <c r="F437" s="230"/>
      <c r="G437" s="22"/>
      <c r="H437" s="230"/>
      <c r="I437" s="445"/>
      <c r="J437" s="440"/>
      <c r="K437" s="440"/>
      <c r="L437" s="440"/>
      <c r="M437" s="440"/>
      <c r="N437" s="440"/>
      <c r="O437" s="440"/>
      <c r="P437" s="492"/>
      <c r="Q437" s="148">
        <f t="shared" si="147"/>
        <v>0</v>
      </c>
      <c r="R437" s="440"/>
      <c r="S437" s="440"/>
      <c r="T437" s="148"/>
      <c r="U437" s="148"/>
      <c r="V437" s="330"/>
      <c r="W437" s="330"/>
      <c r="X437" s="57"/>
      <c r="Y437" s="334"/>
      <c r="Z437" s="334">
        <f t="shared" si="136"/>
        <v>0</v>
      </c>
      <c r="AA437" s="57"/>
      <c r="AB437" s="58"/>
    </row>
    <row r="438" spans="1:28" s="38" customFormat="1">
      <c r="A438" s="19" t="s">
        <v>949</v>
      </c>
      <c r="B438" s="21" t="s">
        <v>2147</v>
      </c>
      <c r="C438" s="19" t="s">
        <v>157</v>
      </c>
      <c r="D438" s="21" t="s">
        <v>70</v>
      </c>
      <c r="E438" s="21" t="s">
        <v>52</v>
      </c>
      <c r="F438" s="22">
        <v>85</v>
      </c>
      <c r="G438" s="22">
        <f t="shared" si="135"/>
        <v>177.2165</v>
      </c>
      <c r="H438" s="22">
        <f t="shared" ref="H438:H444" si="148">ROUND(G438*(1+$X$14),2)</f>
        <v>224.73</v>
      </c>
      <c r="I438" s="147">
        <f t="shared" ref="I438:I444" si="149">ROUND(H438*F438,2)</f>
        <v>19102.05</v>
      </c>
      <c r="J438" s="148"/>
      <c r="K438" s="148"/>
      <c r="L438" s="148"/>
      <c r="M438" s="148">
        <v>197.42</v>
      </c>
      <c r="N438" s="148">
        <v>250.35</v>
      </c>
      <c r="O438" s="148">
        <v>21279.75</v>
      </c>
      <c r="P438" s="494"/>
      <c r="Q438" s="148">
        <f t="shared" si="147"/>
        <v>0</v>
      </c>
      <c r="R438" s="148"/>
      <c r="S438" s="148">
        <f t="shared" ref="S438:S444" si="150">ROUND(R438*P438,2)</f>
        <v>0</v>
      </c>
      <c r="T438" s="148">
        <f t="shared" si="137"/>
        <v>85</v>
      </c>
      <c r="U438" s="148">
        <f t="shared" si="138"/>
        <v>21279.75</v>
      </c>
      <c r="V438" s="379"/>
      <c r="W438" s="379"/>
      <c r="X438" s="42">
        <f>'COMPOSIÇÃO DE CUSTOS'!G817</f>
        <v>177.22</v>
      </c>
      <c r="Y438" s="336">
        <v>208.49</v>
      </c>
      <c r="Z438" s="334">
        <f t="shared" si="136"/>
        <v>15063.4025</v>
      </c>
      <c r="AA438" s="42"/>
      <c r="AB438" s="39"/>
    </row>
    <row r="439" spans="1:28" s="55" customFormat="1" ht="45">
      <c r="A439" s="19" t="s">
        <v>950</v>
      </c>
      <c r="B439" s="21" t="s">
        <v>2148</v>
      </c>
      <c r="C439" s="19" t="s">
        <v>158</v>
      </c>
      <c r="D439" s="21" t="s">
        <v>70</v>
      </c>
      <c r="E439" s="21" t="s">
        <v>17</v>
      </c>
      <c r="F439" s="22">
        <v>13</v>
      </c>
      <c r="G439" s="22">
        <f t="shared" si="135"/>
        <v>575.22900000000004</v>
      </c>
      <c r="H439" s="22">
        <f t="shared" si="148"/>
        <v>729.45</v>
      </c>
      <c r="I439" s="147">
        <f t="shared" si="149"/>
        <v>9482.85</v>
      </c>
      <c r="J439" s="148"/>
      <c r="K439" s="148"/>
      <c r="L439" s="148"/>
      <c r="M439" s="148">
        <v>640.80999999999995</v>
      </c>
      <c r="N439" s="148">
        <v>812.61</v>
      </c>
      <c r="O439" s="148">
        <v>10563.93</v>
      </c>
      <c r="P439" s="494"/>
      <c r="Q439" s="148">
        <f t="shared" si="147"/>
        <v>0</v>
      </c>
      <c r="R439" s="148"/>
      <c r="S439" s="148">
        <f t="shared" si="150"/>
        <v>0</v>
      </c>
      <c r="T439" s="148">
        <f t="shared" si="137"/>
        <v>13</v>
      </c>
      <c r="U439" s="148">
        <f t="shared" si="138"/>
        <v>10563.93</v>
      </c>
      <c r="V439" s="379"/>
      <c r="W439" s="379"/>
      <c r="X439" s="57">
        <f>'COMPOSIÇÃO DE CUSTOS'!G836</f>
        <v>575.22</v>
      </c>
      <c r="Y439" s="334">
        <v>676.74</v>
      </c>
      <c r="Z439" s="334">
        <f t="shared" si="136"/>
        <v>7477.9770000000008</v>
      </c>
      <c r="AA439" s="57"/>
      <c r="AB439" s="58"/>
    </row>
    <row r="440" spans="1:28" s="55" customFormat="1" ht="45">
      <c r="A440" s="19" t="s">
        <v>951</v>
      </c>
      <c r="B440" s="20">
        <v>238093</v>
      </c>
      <c r="C440" s="19" t="s">
        <v>159</v>
      </c>
      <c r="D440" s="21" t="s">
        <v>1914</v>
      </c>
      <c r="E440" s="21" t="s">
        <v>17</v>
      </c>
      <c r="F440" s="22">
        <v>2</v>
      </c>
      <c r="G440" s="22">
        <f t="shared" si="135"/>
        <v>350.625</v>
      </c>
      <c r="H440" s="22">
        <f t="shared" si="148"/>
        <v>444.63</v>
      </c>
      <c r="I440" s="147">
        <f t="shared" si="149"/>
        <v>889.26</v>
      </c>
      <c r="J440" s="148"/>
      <c r="K440" s="148"/>
      <c r="L440" s="148"/>
      <c r="M440" s="148">
        <v>390.6</v>
      </c>
      <c r="N440" s="148">
        <v>495.32</v>
      </c>
      <c r="O440" s="148">
        <v>990.64</v>
      </c>
      <c r="P440" s="494"/>
      <c r="Q440" s="148">
        <f t="shared" si="147"/>
        <v>0</v>
      </c>
      <c r="R440" s="148"/>
      <c r="S440" s="148">
        <f t="shared" si="150"/>
        <v>0</v>
      </c>
      <c r="T440" s="148">
        <f t="shared" si="137"/>
        <v>2</v>
      </c>
      <c r="U440" s="148">
        <f t="shared" si="138"/>
        <v>990.64</v>
      </c>
      <c r="V440" s="379"/>
      <c r="W440" s="379"/>
      <c r="X440" s="57">
        <f>'COMPOSIÇÃO DE CUSTOS'!G845</f>
        <v>350.63</v>
      </c>
      <c r="Y440" s="334">
        <v>412.5</v>
      </c>
      <c r="Z440" s="334">
        <f t="shared" si="136"/>
        <v>701.25</v>
      </c>
      <c r="AA440" s="57"/>
      <c r="AB440" s="58"/>
    </row>
    <row r="441" spans="1:28" s="55" customFormat="1" ht="75">
      <c r="A441" s="19" t="s">
        <v>952</v>
      </c>
      <c r="B441" s="21" t="s">
        <v>2142</v>
      </c>
      <c r="C441" s="19" t="s">
        <v>160</v>
      </c>
      <c r="D441" s="21" t="s">
        <v>1914</v>
      </c>
      <c r="E441" s="21" t="s">
        <v>17</v>
      </c>
      <c r="F441" s="22">
        <v>14</v>
      </c>
      <c r="G441" s="22">
        <f t="shared" si="135"/>
        <v>343.80799999999999</v>
      </c>
      <c r="H441" s="22">
        <f t="shared" si="148"/>
        <v>435.98</v>
      </c>
      <c r="I441" s="147">
        <f t="shared" si="149"/>
        <v>6103.72</v>
      </c>
      <c r="J441" s="148"/>
      <c r="K441" s="148"/>
      <c r="L441" s="148"/>
      <c r="M441" s="148">
        <v>383</v>
      </c>
      <c r="N441" s="148">
        <v>485.68</v>
      </c>
      <c r="O441" s="148">
        <v>6799.52</v>
      </c>
      <c r="P441" s="494"/>
      <c r="Q441" s="148">
        <f t="shared" si="147"/>
        <v>0</v>
      </c>
      <c r="R441" s="148"/>
      <c r="S441" s="148">
        <f t="shared" si="150"/>
        <v>0</v>
      </c>
      <c r="T441" s="148">
        <f t="shared" si="137"/>
        <v>14</v>
      </c>
      <c r="U441" s="148">
        <f t="shared" si="138"/>
        <v>6799.52</v>
      </c>
      <c r="V441" s="379"/>
      <c r="W441" s="379"/>
      <c r="X441" s="57">
        <f>'COMPOSIÇÃO DE CUSTOS'!G855</f>
        <v>343.79</v>
      </c>
      <c r="Y441" s="334">
        <v>404.48</v>
      </c>
      <c r="Z441" s="334">
        <f t="shared" si="136"/>
        <v>4813.3119999999999</v>
      </c>
      <c r="AA441" s="57"/>
      <c r="AB441" s="58" t="e">
        <f>IF(B441&lt;&gt;0,VLOOKUP(B441,#REF!,2,FALSE),"")</f>
        <v>#REF!</v>
      </c>
    </row>
    <row r="442" spans="1:28" s="55" customFormat="1" ht="45">
      <c r="A442" s="19" t="s">
        <v>953</v>
      </c>
      <c r="B442" s="21" t="s">
        <v>2143</v>
      </c>
      <c r="C442" s="19" t="s">
        <v>161</v>
      </c>
      <c r="D442" s="21" t="s">
        <v>1914</v>
      </c>
      <c r="E442" s="21" t="s">
        <v>17</v>
      </c>
      <c r="F442" s="22">
        <v>3</v>
      </c>
      <c r="G442" s="22">
        <f t="shared" si="135"/>
        <v>1425.1185</v>
      </c>
      <c r="H442" s="22">
        <f t="shared" si="148"/>
        <v>1807.19</v>
      </c>
      <c r="I442" s="147">
        <f t="shared" si="149"/>
        <v>5421.57</v>
      </c>
      <c r="J442" s="148"/>
      <c r="K442" s="148"/>
      <c r="L442" s="148"/>
      <c r="M442" s="148">
        <v>1587.59</v>
      </c>
      <c r="N442" s="148">
        <v>2013.22</v>
      </c>
      <c r="O442" s="148">
        <v>6039.66</v>
      </c>
      <c r="P442" s="494"/>
      <c r="Q442" s="148">
        <f t="shared" si="147"/>
        <v>0</v>
      </c>
      <c r="R442" s="148"/>
      <c r="S442" s="148">
        <f t="shared" si="150"/>
        <v>0</v>
      </c>
      <c r="T442" s="148">
        <f t="shared" si="137"/>
        <v>3</v>
      </c>
      <c r="U442" s="148">
        <f t="shared" si="138"/>
        <v>6039.66</v>
      </c>
      <c r="V442" s="379"/>
      <c r="W442" s="379"/>
      <c r="X442" s="57">
        <f>'COMPOSIÇÃO DE CUSTOS'!G866</f>
        <v>1425.13</v>
      </c>
      <c r="Y442" s="334">
        <v>1676.61</v>
      </c>
      <c r="Z442" s="334">
        <f t="shared" si="136"/>
        <v>4275.3554999999997</v>
      </c>
      <c r="AA442" s="57"/>
      <c r="AB442" s="58" t="e">
        <f>IF(B442&lt;&gt;0,VLOOKUP(B442,#REF!,2,FALSE),"")</f>
        <v>#REF!</v>
      </c>
    </row>
    <row r="443" spans="1:28" s="55" customFormat="1">
      <c r="A443" s="19" t="s">
        <v>954</v>
      </c>
      <c r="B443" s="21" t="s">
        <v>2149</v>
      </c>
      <c r="C443" s="19" t="s">
        <v>162</v>
      </c>
      <c r="D443" s="21" t="s">
        <v>70</v>
      </c>
      <c r="E443" s="21" t="s">
        <v>17</v>
      </c>
      <c r="F443" s="22">
        <v>2</v>
      </c>
      <c r="G443" s="22">
        <f t="shared" si="135"/>
        <v>206.97499999999999</v>
      </c>
      <c r="H443" s="22">
        <f t="shared" si="148"/>
        <v>262.45999999999998</v>
      </c>
      <c r="I443" s="147">
        <f t="shared" si="149"/>
        <v>524.91999999999996</v>
      </c>
      <c r="J443" s="148"/>
      <c r="K443" s="148"/>
      <c r="L443" s="148"/>
      <c r="M443" s="148">
        <v>230.57</v>
      </c>
      <c r="N443" s="148">
        <v>292.39</v>
      </c>
      <c r="O443" s="148">
        <v>584.78</v>
      </c>
      <c r="P443" s="494"/>
      <c r="Q443" s="148">
        <f t="shared" si="147"/>
        <v>0</v>
      </c>
      <c r="R443" s="148"/>
      <c r="S443" s="148">
        <f t="shared" si="150"/>
        <v>0</v>
      </c>
      <c r="T443" s="148">
        <f t="shared" si="137"/>
        <v>2</v>
      </c>
      <c r="U443" s="148">
        <f t="shared" si="138"/>
        <v>584.78</v>
      </c>
      <c r="V443" s="379"/>
      <c r="W443" s="379"/>
      <c r="X443" s="57">
        <f>'COMPOSIÇÃO DE CUSTOS'!G883</f>
        <v>206.98</v>
      </c>
      <c r="Y443" s="334">
        <v>243.5</v>
      </c>
      <c r="Z443" s="334">
        <f t="shared" si="136"/>
        <v>413.95</v>
      </c>
      <c r="AA443" s="57"/>
      <c r="AB443" s="58"/>
    </row>
    <row r="444" spans="1:28" s="55" customFormat="1">
      <c r="A444" s="19" t="s">
        <v>955</v>
      </c>
      <c r="B444" s="21" t="s">
        <v>2150</v>
      </c>
      <c r="C444" s="19" t="s">
        <v>163</v>
      </c>
      <c r="D444" s="21" t="s">
        <v>70</v>
      </c>
      <c r="E444" s="21" t="s">
        <v>26</v>
      </c>
      <c r="F444" s="22">
        <v>14</v>
      </c>
      <c r="G444" s="22">
        <f t="shared" si="135"/>
        <v>221.73950000000002</v>
      </c>
      <c r="H444" s="22">
        <f t="shared" si="148"/>
        <v>281.19</v>
      </c>
      <c r="I444" s="147">
        <f t="shared" si="149"/>
        <v>3936.66</v>
      </c>
      <c r="J444" s="148"/>
      <c r="K444" s="148"/>
      <c r="L444" s="148"/>
      <c r="M444" s="148">
        <v>247.02</v>
      </c>
      <c r="N444" s="148">
        <v>313.25</v>
      </c>
      <c r="O444" s="148">
        <v>4385.5</v>
      </c>
      <c r="P444" s="494"/>
      <c r="Q444" s="148">
        <f t="shared" si="147"/>
        <v>0</v>
      </c>
      <c r="R444" s="148"/>
      <c r="S444" s="148">
        <f t="shared" si="150"/>
        <v>0</v>
      </c>
      <c r="T444" s="148">
        <f t="shared" si="137"/>
        <v>14</v>
      </c>
      <c r="U444" s="148">
        <f t="shared" si="138"/>
        <v>4385.5</v>
      </c>
      <c r="V444" s="379"/>
      <c r="W444" s="379"/>
      <c r="X444" s="57">
        <f>'COMPOSIÇÃO DE CUSTOS'!G893</f>
        <v>221.74</v>
      </c>
      <c r="Y444" s="334">
        <v>260.87</v>
      </c>
      <c r="Z444" s="334">
        <f t="shared" si="136"/>
        <v>3104.3530000000001</v>
      </c>
      <c r="AA444" s="57"/>
      <c r="AB444" s="58"/>
    </row>
    <row r="445" spans="1:28" ht="15" customHeight="1">
      <c r="A445" s="229" t="s">
        <v>956</v>
      </c>
      <c r="B445" s="229"/>
      <c r="C445" s="229" t="s">
        <v>164</v>
      </c>
      <c r="D445" s="230"/>
      <c r="E445" s="230"/>
      <c r="F445" s="230"/>
      <c r="G445" s="22"/>
      <c r="H445" s="230"/>
      <c r="I445" s="445"/>
      <c r="J445" s="440"/>
      <c r="K445" s="440"/>
      <c r="L445" s="440"/>
      <c r="M445" s="440"/>
      <c r="N445" s="440"/>
      <c r="O445" s="440"/>
      <c r="P445" s="492"/>
      <c r="Q445" s="148">
        <f t="shared" si="147"/>
        <v>0</v>
      </c>
      <c r="R445" s="440"/>
      <c r="S445" s="440"/>
      <c r="T445" s="148"/>
      <c r="U445" s="148"/>
      <c r="V445" s="330"/>
      <c r="W445" s="330"/>
      <c r="X445" s="30"/>
      <c r="Y445" s="337"/>
      <c r="Z445" s="334">
        <f t="shared" si="136"/>
        <v>0</v>
      </c>
      <c r="AA445" s="30"/>
      <c r="AB445" s="30"/>
    </row>
    <row r="446" spans="1:28" ht="45">
      <c r="A446" s="19" t="s">
        <v>957</v>
      </c>
      <c r="B446" s="20">
        <v>89865</v>
      </c>
      <c r="C446" s="19" t="s">
        <v>1653</v>
      </c>
      <c r="D446" s="21" t="s">
        <v>12</v>
      </c>
      <c r="E446" s="21" t="s">
        <v>52</v>
      </c>
      <c r="F446" s="22">
        <v>99</v>
      </c>
      <c r="G446" s="22">
        <f t="shared" si="135"/>
        <v>8.6870000000000012</v>
      </c>
      <c r="H446" s="22">
        <f>ROUND(G446*(1+$X$14),2)</f>
        <v>11.02</v>
      </c>
      <c r="I446" s="147">
        <f>ROUND(H446*F446,2)</f>
        <v>1090.98</v>
      </c>
      <c r="J446" s="148"/>
      <c r="K446" s="148"/>
      <c r="L446" s="148"/>
      <c r="M446" s="148">
        <v>9.68</v>
      </c>
      <c r="N446" s="148">
        <v>12.28</v>
      </c>
      <c r="O446" s="148">
        <v>1215.72</v>
      </c>
      <c r="P446" s="494"/>
      <c r="Q446" s="148">
        <f t="shared" si="147"/>
        <v>0</v>
      </c>
      <c r="R446" s="148"/>
      <c r="S446" s="148">
        <f>ROUND(R446*P446,2)</f>
        <v>0</v>
      </c>
      <c r="T446" s="148">
        <f t="shared" si="137"/>
        <v>99</v>
      </c>
      <c r="U446" s="148">
        <f t="shared" si="138"/>
        <v>1215.72</v>
      </c>
      <c r="V446" s="379"/>
      <c r="W446" s="379"/>
      <c r="X446" s="31" t="e">
        <f>IF(B446&lt;&gt;0,VLOOKUP(B446,#REF!,4,FALSE),"")</f>
        <v>#REF!</v>
      </c>
      <c r="Y446" s="346" t="s">
        <v>1852</v>
      </c>
      <c r="Z446" s="334">
        <f t="shared" si="136"/>
        <v>860.01300000000015</v>
      </c>
      <c r="AA446" s="31"/>
      <c r="AB446" s="32" t="e">
        <f>IF(B446&lt;&gt;0,VLOOKUP(B446,#REF!,2,FALSE),"")</f>
        <v>#REF!</v>
      </c>
    </row>
    <row r="447" spans="1:28" ht="45">
      <c r="A447" s="19" t="s">
        <v>958</v>
      </c>
      <c r="B447" s="20">
        <v>89868</v>
      </c>
      <c r="C447" s="19" t="s">
        <v>1654</v>
      </c>
      <c r="D447" s="21" t="s">
        <v>12</v>
      </c>
      <c r="E447" s="21" t="s">
        <v>17</v>
      </c>
      <c r="F447" s="22">
        <v>32</v>
      </c>
      <c r="G447" s="22">
        <f t="shared" si="135"/>
        <v>2.5840000000000001</v>
      </c>
      <c r="H447" s="22">
        <f>ROUND(G447*(1+$X$14),2)</f>
        <v>3.28</v>
      </c>
      <c r="I447" s="147">
        <f>ROUND(H447*F447,2)</f>
        <v>104.96</v>
      </c>
      <c r="J447" s="148"/>
      <c r="K447" s="148"/>
      <c r="L447" s="148"/>
      <c r="M447" s="148">
        <v>2.88</v>
      </c>
      <c r="N447" s="148">
        <v>3.65</v>
      </c>
      <c r="O447" s="148">
        <v>116.8</v>
      </c>
      <c r="P447" s="494"/>
      <c r="Q447" s="148">
        <f t="shared" si="147"/>
        <v>0</v>
      </c>
      <c r="R447" s="148"/>
      <c r="S447" s="148">
        <f>ROUND(R447*P447,2)</f>
        <v>0</v>
      </c>
      <c r="T447" s="148">
        <f t="shared" si="137"/>
        <v>32</v>
      </c>
      <c r="U447" s="148">
        <f t="shared" si="138"/>
        <v>116.8</v>
      </c>
      <c r="V447" s="379"/>
      <c r="W447" s="379"/>
      <c r="X447" s="31" t="e">
        <f>IF(B447&lt;&gt;0,VLOOKUP(B447,#REF!,4,FALSE),"")</f>
        <v>#REF!</v>
      </c>
      <c r="Y447" s="346" t="s">
        <v>1841</v>
      </c>
      <c r="Z447" s="334">
        <f t="shared" si="136"/>
        <v>82.688000000000002</v>
      </c>
      <c r="AA447" s="31"/>
      <c r="AB447" s="32" t="e">
        <f>IF(B447&lt;&gt;0,VLOOKUP(B447,#REF!,2,FALSE),"")</f>
        <v>#REF!</v>
      </c>
    </row>
    <row r="448" spans="1:28" ht="45">
      <c r="A448" s="19" t="s">
        <v>959</v>
      </c>
      <c r="B448" s="20">
        <v>89866</v>
      </c>
      <c r="C448" s="19" t="s">
        <v>1655</v>
      </c>
      <c r="D448" s="21" t="s">
        <v>12</v>
      </c>
      <c r="E448" s="21" t="s">
        <v>17</v>
      </c>
      <c r="F448" s="22">
        <v>124</v>
      </c>
      <c r="G448" s="22">
        <f t="shared" si="135"/>
        <v>3.3149999999999999</v>
      </c>
      <c r="H448" s="22">
        <f>ROUND(G448*(1+$X$14),2)</f>
        <v>4.2</v>
      </c>
      <c r="I448" s="147">
        <f>ROUND(H448*F448,2)</f>
        <v>520.79999999999995</v>
      </c>
      <c r="J448" s="148"/>
      <c r="K448" s="148"/>
      <c r="L448" s="148"/>
      <c r="M448" s="148">
        <v>3.69</v>
      </c>
      <c r="N448" s="148">
        <v>4.68</v>
      </c>
      <c r="O448" s="148">
        <v>580.32000000000005</v>
      </c>
      <c r="P448" s="494"/>
      <c r="Q448" s="148">
        <f t="shared" si="147"/>
        <v>0</v>
      </c>
      <c r="R448" s="148"/>
      <c r="S448" s="148">
        <f>ROUND(R448*P448,2)</f>
        <v>0</v>
      </c>
      <c r="T448" s="148">
        <f t="shared" si="137"/>
        <v>124</v>
      </c>
      <c r="U448" s="148">
        <f t="shared" si="138"/>
        <v>580.32000000000005</v>
      </c>
      <c r="V448" s="379"/>
      <c r="W448" s="379"/>
      <c r="X448" s="31" t="e">
        <f>IF(B448&lt;&gt;0,VLOOKUP(B448,#REF!,4,FALSE),"")</f>
        <v>#REF!</v>
      </c>
      <c r="Y448" s="346" t="s">
        <v>3030</v>
      </c>
      <c r="Z448" s="334">
        <f t="shared" si="136"/>
        <v>411.06</v>
      </c>
      <c r="AA448" s="31"/>
      <c r="AB448" s="32" t="e">
        <f>IF(B448&lt;&gt;0,VLOOKUP(B448,#REF!,2,FALSE),"")</f>
        <v>#REF!</v>
      </c>
    </row>
    <row r="449" spans="1:28" ht="45">
      <c r="A449" s="19" t="s">
        <v>960</v>
      </c>
      <c r="B449" s="20">
        <v>89869</v>
      </c>
      <c r="C449" s="19" t="s">
        <v>1656</v>
      </c>
      <c r="D449" s="21" t="s">
        <v>12</v>
      </c>
      <c r="E449" s="21" t="s">
        <v>17</v>
      </c>
      <c r="F449" s="22">
        <v>35</v>
      </c>
      <c r="G449" s="22">
        <f t="shared" si="135"/>
        <v>5.4485000000000001</v>
      </c>
      <c r="H449" s="22">
        <f>ROUND(G449*(1+$X$14),2)</f>
        <v>6.91</v>
      </c>
      <c r="I449" s="147">
        <f>ROUND(H449*F449,2)</f>
        <v>241.85</v>
      </c>
      <c r="J449" s="148"/>
      <c r="K449" s="148"/>
      <c r="L449" s="148"/>
      <c r="M449" s="148">
        <v>6.07</v>
      </c>
      <c r="N449" s="148">
        <v>7.7</v>
      </c>
      <c r="O449" s="148">
        <v>269.5</v>
      </c>
      <c r="P449" s="494"/>
      <c r="Q449" s="148">
        <f t="shared" si="147"/>
        <v>0</v>
      </c>
      <c r="R449" s="148"/>
      <c r="S449" s="148">
        <f>ROUND(R449*P449,2)</f>
        <v>0</v>
      </c>
      <c r="T449" s="148">
        <f t="shared" si="137"/>
        <v>35</v>
      </c>
      <c r="U449" s="148">
        <f t="shared" si="138"/>
        <v>269.5</v>
      </c>
      <c r="V449" s="379"/>
      <c r="W449" s="379"/>
      <c r="X449" s="31" t="e">
        <f>IF(B449&lt;&gt;0,VLOOKUP(B449,#REF!,4,FALSE),"")</f>
        <v>#REF!</v>
      </c>
      <c r="Y449" s="346" t="s">
        <v>1910</v>
      </c>
      <c r="Z449" s="334">
        <f t="shared" si="136"/>
        <v>190.69749999999999</v>
      </c>
      <c r="AA449" s="31"/>
      <c r="AB449" s="32" t="e">
        <f>IF(B449&lt;&gt;0,VLOOKUP(B449,#REF!,2,FALSE),"")</f>
        <v>#REF!</v>
      </c>
    </row>
    <row r="450" spans="1:28" ht="26.25" customHeight="1">
      <c r="A450" s="19"/>
      <c r="B450" s="20"/>
      <c r="C450" s="19"/>
      <c r="D450" s="21"/>
      <c r="E450" s="21"/>
      <c r="F450" s="22"/>
      <c r="G450" s="22"/>
      <c r="H450" s="22"/>
      <c r="I450" s="147"/>
      <c r="J450" s="148"/>
      <c r="K450" s="148"/>
      <c r="L450" s="148"/>
      <c r="M450" s="148"/>
      <c r="N450" s="148"/>
      <c r="O450" s="148"/>
      <c r="P450" s="494"/>
      <c r="Q450" s="148"/>
      <c r="R450" s="148"/>
      <c r="S450" s="148"/>
      <c r="T450" s="148"/>
      <c r="U450" s="148"/>
      <c r="V450" s="379"/>
      <c r="W450" s="379"/>
      <c r="X450" s="30"/>
      <c r="Y450" s="337"/>
      <c r="Z450" s="334">
        <f t="shared" si="136"/>
        <v>0</v>
      </c>
      <c r="AA450" s="30"/>
      <c r="AB450" s="30"/>
    </row>
    <row r="451" spans="1:28" s="38" customFormat="1" ht="33.75" customHeight="1">
      <c r="A451" s="229" t="s">
        <v>961</v>
      </c>
      <c r="B451" s="229"/>
      <c r="C451" s="229" t="s">
        <v>165</v>
      </c>
      <c r="D451" s="230"/>
      <c r="E451" s="230"/>
      <c r="F451" s="230"/>
      <c r="G451" s="22"/>
      <c r="H451" s="230"/>
      <c r="I451" s="445">
        <f>ROUND(SUM(I452:I486),2)</f>
        <v>135149.96</v>
      </c>
      <c r="J451" s="440"/>
      <c r="K451" s="440"/>
      <c r="L451" s="440"/>
      <c r="M451" s="440"/>
      <c r="N451" s="440"/>
      <c r="O451" s="440">
        <v>122626.43</v>
      </c>
      <c r="P451" s="492"/>
      <c r="Q451" s="440">
        <f>ROUND(SUM(Q452:Q486),2)</f>
        <v>0</v>
      </c>
      <c r="R451" s="440"/>
      <c r="S451" s="440">
        <f>ROUND(SUM(S452:S486),2)</f>
        <v>0</v>
      </c>
      <c r="T451" s="148"/>
      <c r="U451" s="440">
        <f t="shared" si="138"/>
        <v>122626.43</v>
      </c>
      <c r="V451" s="330"/>
      <c r="W451" s="330"/>
      <c r="X451" s="39"/>
      <c r="Y451" s="336"/>
      <c r="Z451" s="334">
        <f t="shared" si="136"/>
        <v>0</v>
      </c>
      <c r="AA451" s="39"/>
      <c r="AB451" s="39"/>
    </row>
    <row r="452" spans="1:28" ht="15" customHeight="1">
      <c r="A452" s="229" t="s">
        <v>962</v>
      </c>
      <c r="B452" s="229"/>
      <c r="C452" s="229" t="s">
        <v>166</v>
      </c>
      <c r="D452" s="230"/>
      <c r="E452" s="230"/>
      <c r="F452" s="230"/>
      <c r="G452" s="22"/>
      <c r="H452" s="230"/>
      <c r="I452" s="445"/>
      <c r="J452" s="440"/>
      <c r="K452" s="440"/>
      <c r="L452" s="440"/>
      <c r="M452" s="440"/>
      <c r="N452" s="440"/>
      <c r="O452" s="440"/>
      <c r="P452" s="492"/>
      <c r="Q452" s="440"/>
      <c r="R452" s="440"/>
      <c r="S452" s="440"/>
      <c r="T452" s="148"/>
      <c r="U452" s="148"/>
      <c r="V452" s="330"/>
      <c r="W452" s="330"/>
      <c r="X452" s="30"/>
      <c r="Y452" s="337"/>
      <c r="Z452" s="334">
        <f t="shared" si="136"/>
        <v>0</v>
      </c>
      <c r="AA452" s="30"/>
      <c r="AB452" s="30"/>
    </row>
    <row r="453" spans="1:28" ht="15" customHeight="1">
      <c r="A453" s="229" t="s">
        <v>963</v>
      </c>
      <c r="B453" s="229"/>
      <c r="C453" s="229" t="s">
        <v>167</v>
      </c>
      <c r="D453" s="230"/>
      <c r="E453" s="230"/>
      <c r="F453" s="230"/>
      <c r="G453" s="22"/>
      <c r="H453" s="230"/>
      <c r="I453" s="445"/>
      <c r="J453" s="440"/>
      <c r="K453" s="440"/>
      <c r="L453" s="440"/>
      <c r="M453" s="440"/>
      <c r="N453" s="440"/>
      <c r="O453" s="440"/>
      <c r="P453" s="492"/>
      <c r="Q453" s="440"/>
      <c r="R453" s="440"/>
      <c r="S453" s="440"/>
      <c r="T453" s="148"/>
      <c r="U453" s="148"/>
      <c r="V453" s="330"/>
      <c r="W453" s="330"/>
      <c r="X453" s="30"/>
      <c r="Y453" s="337"/>
      <c r="Z453" s="334">
        <f t="shared" si="136"/>
        <v>0</v>
      </c>
      <c r="AA453" s="30"/>
      <c r="AB453" s="30"/>
    </row>
    <row r="454" spans="1:28" s="23" customFormat="1" ht="60">
      <c r="A454" s="19" t="s">
        <v>964</v>
      </c>
      <c r="B454" s="20">
        <v>92336</v>
      </c>
      <c r="C454" s="19" t="s">
        <v>1657</v>
      </c>
      <c r="D454" s="21" t="s">
        <v>12</v>
      </c>
      <c r="E454" s="21" t="s">
        <v>52</v>
      </c>
      <c r="F454" s="22">
        <v>105</v>
      </c>
      <c r="G454" s="22">
        <f t="shared" si="135"/>
        <v>105.9525</v>
      </c>
      <c r="H454" s="22">
        <f t="shared" ref="H454:H467" si="151">ROUND(G454*(1+$X$14),2)</f>
        <v>134.36000000000001</v>
      </c>
      <c r="I454" s="147">
        <f t="shared" ref="I454:I467" si="152">ROUND(H454*F454,2)</f>
        <v>14107.8</v>
      </c>
      <c r="J454" s="148"/>
      <c r="K454" s="148"/>
      <c r="L454" s="148"/>
      <c r="M454" s="148">
        <v>118.03</v>
      </c>
      <c r="N454" s="148">
        <v>149.66999999999999</v>
      </c>
      <c r="O454" s="148">
        <v>15715.35</v>
      </c>
      <c r="P454" s="494"/>
      <c r="Q454" s="148">
        <f t="shared" ref="Q454:Q486" si="153">ROUND(P454*N454,2)</f>
        <v>0</v>
      </c>
      <c r="R454" s="148"/>
      <c r="S454" s="148">
        <f t="shared" ref="S454:S467" si="154">ROUND(R454*P454,2)</f>
        <v>0</v>
      </c>
      <c r="T454" s="148">
        <f t="shared" ref="T454:T486" si="155">F454+P454-R454</f>
        <v>105</v>
      </c>
      <c r="U454" s="148">
        <f t="shared" si="138"/>
        <v>15715.35</v>
      </c>
      <c r="V454" s="379"/>
      <c r="W454" s="379"/>
      <c r="X454" s="31" t="e">
        <f>IF(B454&lt;&gt;0,VLOOKUP(B454,#REF!,4,FALSE),"")</f>
        <v>#REF!</v>
      </c>
      <c r="Y454" s="346" t="s">
        <v>3276</v>
      </c>
      <c r="Z454" s="334">
        <f t="shared" si="136"/>
        <v>11125.012500000001</v>
      </c>
      <c r="AA454" s="31"/>
      <c r="AB454" s="32" t="e">
        <f>IF(B454&lt;&gt;0,VLOOKUP(B454,#REF!,2,FALSE),"")</f>
        <v>#REF!</v>
      </c>
    </row>
    <row r="455" spans="1:28" s="55" customFormat="1" ht="60">
      <c r="A455" s="19" t="s">
        <v>965</v>
      </c>
      <c r="B455" s="21" t="s">
        <v>2152</v>
      </c>
      <c r="C455" s="19" t="s">
        <v>168</v>
      </c>
      <c r="D455" s="21" t="s">
        <v>1914</v>
      </c>
      <c r="E455" s="21" t="s">
        <v>52</v>
      </c>
      <c r="F455" s="22">
        <v>95</v>
      </c>
      <c r="G455" s="22">
        <f t="shared" si="135"/>
        <v>139.81650000000002</v>
      </c>
      <c r="H455" s="22">
        <f t="shared" si="151"/>
        <v>177.3</v>
      </c>
      <c r="I455" s="147">
        <f t="shared" si="152"/>
        <v>16843.5</v>
      </c>
      <c r="J455" s="148"/>
      <c r="K455" s="148"/>
      <c r="L455" s="148"/>
      <c r="M455" s="148">
        <v>155.76</v>
      </c>
      <c r="N455" s="148">
        <v>197.52</v>
      </c>
      <c r="O455" s="148">
        <v>18764.400000000001</v>
      </c>
      <c r="P455" s="494"/>
      <c r="Q455" s="148">
        <f t="shared" si="153"/>
        <v>0</v>
      </c>
      <c r="R455" s="148"/>
      <c r="S455" s="148">
        <f t="shared" si="154"/>
        <v>0</v>
      </c>
      <c r="T455" s="148">
        <f t="shared" si="155"/>
        <v>95</v>
      </c>
      <c r="U455" s="148">
        <f t="shared" si="138"/>
        <v>18764.400000000001</v>
      </c>
      <c r="V455" s="379"/>
      <c r="W455" s="379"/>
      <c r="X455" s="57">
        <f>'COMPOSIÇÃO DE CUSTOS'!G901</f>
        <v>139.81</v>
      </c>
      <c r="Y455" s="334">
        <v>164.49</v>
      </c>
      <c r="Z455" s="334">
        <f t="shared" si="136"/>
        <v>13282.567500000001</v>
      </c>
      <c r="AA455" s="57"/>
      <c r="AB455" s="58"/>
    </row>
    <row r="456" spans="1:28" s="55" customFormat="1" ht="60">
      <c r="A456" s="19" t="s">
        <v>966</v>
      </c>
      <c r="B456" s="20">
        <v>92335</v>
      </c>
      <c r="C456" s="19" t="s">
        <v>1658</v>
      </c>
      <c r="D456" s="21" t="s">
        <v>12</v>
      </c>
      <c r="E456" s="21" t="s">
        <v>52</v>
      </c>
      <c r="F456" s="22">
        <v>5</v>
      </c>
      <c r="G456" s="22">
        <f t="shared" si="135"/>
        <v>85.875500000000002</v>
      </c>
      <c r="H456" s="22">
        <f t="shared" si="151"/>
        <v>108.9</v>
      </c>
      <c r="I456" s="147">
        <f t="shared" si="152"/>
        <v>544.5</v>
      </c>
      <c r="J456" s="148"/>
      <c r="K456" s="148"/>
      <c r="L456" s="148"/>
      <c r="M456" s="148">
        <v>95.67</v>
      </c>
      <c r="N456" s="148">
        <v>121.32</v>
      </c>
      <c r="O456" s="148">
        <v>606.6</v>
      </c>
      <c r="P456" s="494"/>
      <c r="Q456" s="148">
        <f t="shared" si="153"/>
        <v>0</v>
      </c>
      <c r="R456" s="148"/>
      <c r="S456" s="148">
        <f t="shared" si="154"/>
        <v>0</v>
      </c>
      <c r="T456" s="148">
        <f t="shared" si="155"/>
        <v>5</v>
      </c>
      <c r="U456" s="148">
        <f t="shared" si="138"/>
        <v>606.6</v>
      </c>
      <c r="V456" s="379"/>
      <c r="W456" s="379"/>
      <c r="X456" s="57" t="e">
        <f>IF(B456&lt;&gt;0,VLOOKUP(B456,#REF!,4,FALSE),"")</f>
        <v>#REF!</v>
      </c>
      <c r="Y456" s="334" t="s">
        <v>3275</v>
      </c>
      <c r="Z456" s="334">
        <f t="shared" si="136"/>
        <v>429.3775</v>
      </c>
      <c r="AA456" s="57"/>
      <c r="AB456" s="58" t="e">
        <f>IF(B456&lt;&gt;0,VLOOKUP(B456,#REF!,2,FALSE),"")</f>
        <v>#REF!</v>
      </c>
    </row>
    <row r="457" spans="1:28" ht="60">
      <c r="A457" s="19" t="s">
        <v>967</v>
      </c>
      <c r="B457" s="21" t="s">
        <v>2166</v>
      </c>
      <c r="C457" s="19" t="s">
        <v>169</v>
      </c>
      <c r="D457" s="21" t="s">
        <v>1914</v>
      </c>
      <c r="E457" s="21" t="s">
        <v>52</v>
      </c>
      <c r="F457" s="22">
        <v>34</v>
      </c>
      <c r="G457" s="22">
        <f t="shared" si="135"/>
        <v>61.676000000000002</v>
      </c>
      <c r="H457" s="22">
        <f t="shared" si="151"/>
        <v>78.209999999999994</v>
      </c>
      <c r="I457" s="147">
        <f t="shared" si="152"/>
        <v>2659.14</v>
      </c>
      <c r="J457" s="148"/>
      <c r="K457" s="148"/>
      <c r="L457" s="148"/>
      <c r="M457" s="148">
        <v>68.709999999999994</v>
      </c>
      <c r="N457" s="148">
        <v>87.13</v>
      </c>
      <c r="O457" s="148">
        <v>2962.42</v>
      </c>
      <c r="P457" s="494"/>
      <c r="Q457" s="148">
        <f t="shared" si="153"/>
        <v>0</v>
      </c>
      <c r="R457" s="148"/>
      <c r="S457" s="148">
        <f t="shared" si="154"/>
        <v>0</v>
      </c>
      <c r="T457" s="148">
        <f t="shared" si="155"/>
        <v>34</v>
      </c>
      <c r="U457" s="148">
        <f t="shared" si="138"/>
        <v>2962.42</v>
      </c>
      <c r="V457" s="379"/>
      <c r="W457" s="379"/>
      <c r="X457" s="33">
        <f>'COMPOSIÇÃO DE CUSTOS'!G909</f>
        <v>61.67</v>
      </c>
      <c r="Y457" s="337">
        <v>72.56</v>
      </c>
      <c r="Z457" s="334">
        <f t="shared" si="136"/>
        <v>2096.9839999999999</v>
      </c>
      <c r="AA457" s="33"/>
      <c r="AB457" s="30"/>
    </row>
    <row r="458" spans="1:28" ht="60">
      <c r="A458" s="19" t="s">
        <v>968</v>
      </c>
      <c r="B458" s="21" t="s">
        <v>2167</v>
      </c>
      <c r="C458" s="19" t="s">
        <v>170</v>
      </c>
      <c r="D458" s="21" t="s">
        <v>1914</v>
      </c>
      <c r="E458" s="21" t="s">
        <v>52</v>
      </c>
      <c r="F458" s="22">
        <v>17</v>
      </c>
      <c r="G458" s="22">
        <f t="shared" si="135"/>
        <v>54.06</v>
      </c>
      <c r="H458" s="22">
        <f t="shared" si="151"/>
        <v>68.55</v>
      </c>
      <c r="I458" s="147">
        <f t="shared" si="152"/>
        <v>1165.3499999999999</v>
      </c>
      <c r="J458" s="148"/>
      <c r="K458" s="148"/>
      <c r="L458" s="148"/>
      <c r="M458" s="148">
        <v>60.22</v>
      </c>
      <c r="N458" s="148">
        <v>76.36</v>
      </c>
      <c r="O458" s="148">
        <v>1298.1199999999999</v>
      </c>
      <c r="P458" s="494"/>
      <c r="Q458" s="148">
        <f t="shared" si="153"/>
        <v>0</v>
      </c>
      <c r="R458" s="148"/>
      <c r="S458" s="148">
        <f t="shared" si="154"/>
        <v>0</v>
      </c>
      <c r="T458" s="148">
        <f t="shared" si="155"/>
        <v>17</v>
      </c>
      <c r="U458" s="148">
        <f t="shared" si="138"/>
        <v>1298.1199999999999</v>
      </c>
      <c r="V458" s="379"/>
      <c r="W458" s="379"/>
      <c r="X458" s="33">
        <f>'COMPOSIÇÃO DE CUSTOS'!G916</f>
        <v>54.06</v>
      </c>
      <c r="Y458" s="337">
        <v>63.6</v>
      </c>
      <c r="Z458" s="334">
        <f t="shared" si="136"/>
        <v>919.02</v>
      </c>
      <c r="AA458" s="33"/>
      <c r="AB458" s="30"/>
    </row>
    <row r="459" spans="1:28" ht="60">
      <c r="A459" s="19" t="s">
        <v>969</v>
      </c>
      <c r="B459" s="21" t="s">
        <v>2164</v>
      </c>
      <c r="C459" s="19" t="s">
        <v>171</v>
      </c>
      <c r="D459" s="21" t="s">
        <v>1914</v>
      </c>
      <c r="E459" s="21" t="s">
        <v>52</v>
      </c>
      <c r="F459" s="22">
        <v>56</v>
      </c>
      <c r="G459" s="22">
        <f t="shared" si="135"/>
        <v>44.302</v>
      </c>
      <c r="H459" s="22">
        <f t="shared" si="151"/>
        <v>56.18</v>
      </c>
      <c r="I459" s="147">
        <f t="shared" si="152"/>
        <v>3146.08</v>
      </c>
      <c r="J459" s="148"/>
      <c r="K459" s="148"/>
      <c r="L459" s="148"/>
      <c r="M459" s="148">
        <v>49.35</v>
      </c>
      <c r="N459" s="148">
        <v>62.58</v>
      </c>
      <c r="O459" s="148">
        <v>3504.48</v>
      </c>
      <c r="P459" s="494"/>
      <c r="Q459" s="148">
        <f t="shared" si="153"/>
        <v>0</v>
      </c>
      <c r="R459" s="148"/>
      <c r="S459" s="148">
        <f t="shared" si="154"/>
        <v>0</v>
      </c>
      <c r="T459" s="148">
        <f t="shared" si="155"/>
        <v>56</v>
      </c>
      <c r="U459" s="148">
        <f t="shared" si="138"/>
        <v>3504.48</v>
      </c>
      <c r="V459" s="379"/>
      <c r="W459" s="379"/>
      <c r="X459" s="33">
        <f>'COMPOSIÇÃO DE CUSTOS'!G923</f>
        <v>44.3</v>
      </c>
      <c r="Y459" s="337">
        <v>52.12</v>
      </c>
      <c r="Z459" s="334">
        <f t="shared" si="136"/>
        <v>2480.9119999999998</v>
      </c>
      <c r="AA459" s="33"/>
      <c r="AB459" s="30"/>
    </row>
    <row r="460" spans="1:28" ht="60">
      <c r="A460" s="19" t="s">
        <v>970</v>
      </c>
      <c r="B460" s="21" t="s">
        <v>2165</v>
      </c>
      <c r="C460" s="19" t="s">
        <v>172</v>
      </c>
      <c r="D460" s="21" t="s">
        <v>1914</v>
      </c>
      <c r="E460" s="21" t="s">
        <v>52</v>
      </c>
      <c r="F460" s="22">
        <v>34</v>
      </c>
      <c r="G460" s="22">
        <f t="shared" si="135"/>
        <v>190.58699999999999</v>
      </c>
      <c r="H460" s="22">
        <f t="shared" si="151"/>
        <v>241.68</v>
      </c>
      <c r="I460" s="147">
        <f t="shared" si="152"/>
        <v>8217.1200000000008</v>
      </c>
      <c r="J460" s="148"/>
      <c r="K460" s="148"/>
      <c r="L460" s="148"/>
      <c r="M460" s="148">
        <v>212.32</v>
      </c>
      <c r="N460" s="148">
        <v>269.24</v>
      </c>
      <c r="O460" s="148">
        <v>9154.16</v>
      </c>
      <c r="P460" s="494"/>
      <c r="Q460" s="148">
        <f t="shared" si="153"/>
        <v>0</v>
      </c>
      <c r="R460" s="148"/>
      <c r="S460" s="148">
        <f t="shared" si="154"/>
        <v>0</v>
      </c>
      <c r="T460" s="148">
        <f t="shared" si="155"/>
        <v>34</v>
      </c>
      <c r="U460" s="148">
        <f t="shared" si="138"/>
        <v>9154.16</v>
      </c>
      <c r="V460" s="379"/>
      <c r="W460" s="379"/>
      <c r="X460" s="33">
        <f>'COMPOSIÇÃO DE CUSTOS'!G930</f>
        <v>190.58</v>
      </c>
      <c r="Y460" s="337">
        <v>224.22</v>
      </c>
      <c r="Z460" s="334">
        <f t="shared" si="136"/>
        <v>6479.9579999999996</v>
      </c>
      <c r="AA460" s="33"/>
      <c r="AB460" s="30"/>
    </row>
    <row r="461" spans="1:28" s="55" customFormat="1" ht="75">
      <c r="A461" s="19" t="s">
        <v>971</v>
      </c>
      <c r="B461" s="21" t="s">
        <v>2163</v>
      </c>
      <c r="C461" s="19" t="s">
        <v>173</v>
      </c>
      <c r="D461" s="21" t="s">
        <v>1914</v>
      </c>
      <c r="E461" s="21" t="s">
        <v>17</v>
      </c>
      <c r="F461" s="22">
        <v>17</v>
      </c>
      <c r="G461" s="22">
        <f t="shared" si="135"/>
        <v>25.219500000000004</v>
      </c>
      <c r="H461" s="22">
        <f t="shared" si="151"/>
        <v>31.98</v>
      </c>
      <c r="I461" s="147">
        <f t="shared" si="152"/>
        <v>543.66</v>
      </c>
      <c r="J461" s="148"/>
      <c r="K461" s="148"/>
      <c r="L461" s="148"/>
      <c r="M461" s="148">
        <v>28.09</v>
      </c>
      <c r="N461" s="148">
        <v>35.619999999999997</v>
      </c>
      <c r="O461" s="148">
        <v>605.54</v>
      </c>
      <c r="P461" s="494"/>
      <c r="Q461" s="148">
        <f t="shared" si="153"/>
        <v>0</v>
      </c>
      <c r="R461" s="148"/>
      <c r="S461" s="148">
        <f t="shared" si="154"/>
        <v>0</v>
      </c>
      <c r="T461" s="148">
        <f t="shared" si="155"/>
        <v>17</v>
      </c>
      <c r="U461" s="148">
        <f t="shared" si="138"/>
        <v>605.54</v>
      </c>
      <c r="V461" s="379"/>
      <c r="W461" s="379"/>
      <c r="X461" s="57">
        <f>'COMPOSIÇÃO DE CUSTOS'!G939</f>
        <v>25.21</v>
      </c>
      <c r="Y461" s="334">
        <v>29.67</v>
      </c>
      <c r="Z461" s="334">
        <f t="shared" si="136"/>
        <v>428.73150000000004</v>
      </c>
      <c r="AA461" s="57"/>
      <c r="AB461" s="58"/>
    </row>
    <row r="462" spans="1:28" s="55" customFormat="1">
      <c r="A462" s="19" t="s">
        <v>972</v>
      </c>
      <c r="B462" s="20">
        <v>672043</v>
      </c>
      <c r="C462" s="19" t="s">
        <v>174</v>
      </c>
      <c r="D462" s="21" t="s">
        <v>1914</v>
      </c>
      <c r="E462" s="21" t="s">
        <v>17</v>
      </c>
      <c r="F462" s="22">
        <v>8</v>
      </c>
      <c r="G462" s="22">
        <f t="shared" si="135"/>
        <v>198.66200000000001</v>
      </c>
      <c r="H462" s="22">
        <f t="shared" si="151"/>
        <v>251.92</v>
      </c>
      <c r="I462" s="147">
        <f t="shared" si="152"/>
        <v>2015.36</v>
      </c>
      <c r="J462" s="148"/>
      <c r="K462" s="148"/>
      <c r="L462" s="148"/>
      <c r="M462" s="148">
        <v>221.31</v>
      </c>
      <c r="N462" s="148">
        <v>280.64</v>
      </c>
      <c r="O462" s="148">
        <v>2245.12</v>
      </c>
      <c r="P462" s="494"/>
      <c r="Q462" s="148">
        <f t="shared" si="153"/>
        <v>0</v>
      </c>
      <c r="R462" s="148"/>
      <c r="S462" s="148">
        <f t="shared" si="154"/>
        <v>0</v>
      </c>
      <c r="T462" s="148">
        <f t="shared" si="155"/>
        <v>8</v>
      </c>
      <c r="U462" s="148">
        <f t="shared" si="138"/>
        <v>2245.12</v>
      </c>
      <c r="V462" s="379"/>
      <c r="W462" s="379"/>
      <c r="X462" s="57">
        <f>'COMPOSIÇÃO DE CUSTOS'!G946</f>
        <v>198.66</v>
      </c>
      <c r="Y462" s="334">
        <v>233.72</v>
      </c>
      <c r="Z462" s="334">
        <f t="shared" si="136"/>
        <v>1589.296</v>
      </c>
      <c r="AA462" s="57"/>
      <c r="AB462" s="58"/>
    </row>
    <row r="463" spans="1:28" s="55" customFormat="1" ht="45">
      <c r="A463" s="19" t="s">
        <v>973</v>
      </c>
      <c r="B463" s="20">
        <v>92346</v>
      </c>
      <c r="C463" s="19" t="s">
        <v>1659</v>
      </c>
      <c r="D463" s="21" t="s">
        <v>12</v>
      </c>
      <c r="E463" s="21" t="s">
        <v>17</v>
      </c>
      <c r="F463" s="22">
        <v>3</v>
      </c>
      <c r="G463" s="22">
        <f t="shared" si="135"/>
        <v>57.451500000000003</v>
      </c>
      <c r="H463" s="22">
        <f t="shared" si="151"/>
        <v>72.849999999999994</v>
      </c>
      <c r="I463" s="147">
        <f t="shared" si="152"/>
        <v>218.55</v>
      </c>
      <c r="J463" s="148"/>
      <c r="K463" s="148"/>
      <c r="L463" s="148"/>
      <c r="M463" s="148">
        <v>64</v>
      </c>
      <c r="N463" s="148">
        <v>81.16</v>
      </c>
      <c r="O463" s="148">
        <v>243.48</v>
      </c>
      <c r="P463" s="494"/>
      <c r="Q463" s="148">
        <f t="shared" si="153"/>
        <v>0</v>
      </c>
      <c r="R463" s="148"/>
      <c r="S463" s="148">
        <f t="shared" si="154"/>
        <v>0</v>
      </c>
      <c r="T463" s="148">
        <f t="shared" si="155"/>
        <v>3</v>
      </c>
      <c r="U463" s="148">
        <f t="shared" si="138"/>
        <v>243.48</v>
      </c>
      <c r="V463" s="379"/>
      <c r="W463" s="379"/>
      <c r="X463" s="57" t="e">
        <f>IF(B463&lt;&gt;0,VLOOKUP(B463,#REF!,4,FALSE),"")</f>
        <v>#REF!</v>
      </c>
      <c r="Y463" s="334" t="s">
        <v>3287</v>
      </c>
      <c r="Z463" s="334">
        <f t="shared" si="136"/>
        <v>172.3545</v>
      </c>
      <c r="AA463" s="57"/>
      <c r="AB463" s="58" t="e">
        <f>IF(B463&lt;&gt;0,VLOOKUP(B463,#REF!,2,FALSE),"")</f>
        <v>#REF!</v>
      </c>
    </row>
    <row r="464" spans="1:28" ht="30">
      <c r="A464" s="19" t="s">
        <v>974</v>
      </c>
      <c r="B464" s="20">
        <v>231112</v>
      </c>
      <c r="C464" s="19" t="s">
        <v>175</v>
      </c>
      <c r="D464" s="21" t="s">
        <v>1914</v>
      </c>
      <c r="E464" s="21" t="s">
        <v>17</v>
      </c>
      <c r="F464" s="22">
        <v>1</v>
      </c>
      <c r="G464" s="22">
        <f t="shared" si="135"/>
        <v>170.63749999999999</v>
      </c>
      <c r="H464" s="22">
        <f t="shared" si="151"/>
        <v>216.39</v>
      </c>
      <c r="I464" s="147">
        <f t="shared" si="152"/>
        <v>216.39</v>
      </c>
      <c r="J464" s="148"/>
      <c r="K464" s="148"/>
      <c r="L464" s="148"/>
      <c r="M464" s="148">
        <v>190.09</v>
      </c>
      <c r="N464" s="148">
        <v>241.05</v>
      </c>
      <c r="O464" s="148">
        <v>241.05</v>
      </c>
      <c r="P464" s="494"/>
      <c r="Q464" s="148">
        <f t="shared" si="153"/>
        <v>0</v>
      </c>
      <c r="R464" s="148"/>
      <c r="S464" s="148">
        <f t="shared" si="154"/>
        <v>0</v>
      </c>
      <c r="T464" s="148">
        <f t="shared" si="155"/>
        <v>1</v>
      </c>
      <c r="U464" s="148">
        <f t="shared" si="138"/>
        <v>241.05</v>
      </c>
      <c r="V464" s="379"/>
      <c r="W464" s="379"/>
      <c r="X464" s="33">
        <f>'COMPOSIÇÃO DE CUSTOS'!G953</f>
        <v>170.64</v>
      </c>
      <c r="Y464" s="337">
        <v>200.75</v>
      </c>
      <c r="Z464" s="334">
        <f t="shared" si="136"/>
        <v>170.63749999999999</v>
      </c>
      <c r="AA464" s="33"/>
      <c r="AB464" s="30"/>
    </row>
    <row r="465" spans="1:28" ht="30">
      <c r="A465" s="19" t="s">
        <v>975</v>
      </c>
      <c r="B465" s="20">
        <v>854519</v>
      </c>
      <c r="C465" s="19" t="s">
        <v>176</v>
      </c>
      <c r="D465" s="21" t="s">
        <v>1914</v>
      </c>
      <c r="E465" s="21" t="s">
        <v>17</v>
      </c>
      <c r="F465" s="22">
        <v>53</v>
      </c>
      <c r="G465" s="22">
        <f t="shared" si="135"/>
        <v>45.526000000000003</v>
      </c>
      <c r="H465" s="22">
        <f t="shared" si="151"/>
        <v>57.73</v>
      </c>
      <c r="I465" s="147">
        <f t="shared" si="152"/>
        <v>3059.69</v>
      </c>
      <c r="J465" s="148"/>
      <c r="K465" s="148"/>
      <c r="L465" s="148"/>
      <c r="M465" s="148">
        <v>50.72</v>
      </c>
      <c r="N465" s="148">
        <v>64.319999999999993</v>
      </c>
      <c r="O465" s="148">
        <v>3408.96</v>
      </c>
      <c r="P465" s="494"/>
      <c r="Q465" s="148">
        <f t="shared" si="153"/>
        <v>0</v>
      </c>
      <c r="R465" s="148"/>
      <c r="S465" s="148">
        <f t="shared" si="154"/>
        <v>0</v>
      </c>
      <c r="T465" s="148">
        <f t="shared" si="155"/>
        <v>53</v>
      </c>
      <c r="U465" s="148">
        <f t="shared" si="138"/>
        <v>3408.96</v>
      </c>
      <c r="V465" s="379"/>
      <c r="W465" s="379"/>
      <c r="X465" s="33">
        <f>'COMPOSIÇÃO DE CUSTOS'!G960</f>
        <v>45.52</v>
      </c>
      <c r="Y465" s="337">
        <v>53.56</v>
      </c>
      <c r="Z465" s="334">
        <f t="shared" si="136"/>
        <v>2412.8780000000002</v>
      </c>
      <c r="AA465" s="33"/>
      <c r="AB465" s="30"/>
    </row>
    <row r="466" spans="1:28" s="55" customFormat="1" ht="45">
      <c r="A466" s="19" t="s">
        <v>976</v>
      </c>
      <c r="B466" s="20">
        <v>95811</v>
      </c>
      <c r="C466" s="19" t="s">
        <v>1660</v>
      </c>
      <c r="D466" s="21" t="s">
        <v>12</v>
      </c>
      <c r="E466" s="21" t="s">
        <v>17</v>
      </c>
      <c r="F466" s="22">
        <v>32</v>
      </c>
      <c r="G466" s="22">
        <f t="shared" si="135"/>
        <v>10.693</v>
      </c>
      <c r="H466" s="22">
        <f t="shared" si="151"/>
        <v>13.56</v>
      </c>
      <c r="I466" s="147">
        <f t="shared" si="152"/>
        <v>433.92</v>
      </c>
      <c r="J466" s="148"/>
      <c r="K466" s="148"/>
      <c r="L466" s="148"/>
      <c r="M466" s="148">
        <v>11.91</v>
      </c>
      <c r="N466" s="148">
        <v>15.1</v>
      </c>
      <c r="O466" s="148">
        <v>483.2</v>
      </c>
      <c r="P466" s="494"/>
      <c r="Q466" s="148">
        <f t="shared" si="153"/>
        <v>0</v>
      </c>
      <c r="R466" s="148"/>
      <c r="S466" s="148">
        <f t="shared" si="154"/>
        <v>0</v>
      </c>
      <c r="T466" s="148">
        <f t="shared" si="155"/>
        <v>32</v>
      </c>
      <c r="U466" s="148">
        <f t="shared" si="138"/>
        <v>483.2</v>
      </c>
      <c r="V466" s="379"/>
      <c r="W466" s="379"/>
      <c r="X466" s="57" t="e">
        <f>IF(B466&lt;&gt;0,VLOOKUP(B466,#REF!,4,FALSE),"")</f>
        <v>#REF!</v>
      </c>
      <c r="Y466" s="334" t="s">
        <v>3150</v>
      </c>
      <c r="Z466" s="334">
        <f t="shared" si="136"/>
        <v>342.17599999999999</v>
      </c>
      <c r="AA466" s="57"/>
      <c r="AB466" s="58" t="e">
        <f>IF(B466&lt;&gt;0,VLOOKUP(B466,#REF!,2,FALSE),"")</f>
        <v>#REF!</v>
      </c>
    </row>
    <row r="467" spans="1:28" s="55" customFormat="1" ht="30">
      <c r="A467" s="19" t="s">
        <v>977</v>
      </c>
      <c r="B467" s="21" t="s">
        <v>2151</v>
      </c>
      <c r="C467" s="19" t="s">
        <v>177</v>
      </c>
      <c r="D467" s="21" t="s">
        <v>1914</v>
      </c>
      <c r="E467" s="21" t="s">
        <v>26</v>
      </c>
      <c r="F467" s="22">
        <v>9</v>
      </c>
      <c r="G467" s="22">
        <f t="shared" si="135"/>
        <v>19.9495</v>
      </c>
      <c r="H467" s="22">
        <f t="shared" si="151"/>
        <v>25.3</v>
      </c>
      <c r="I467" s="147">
        <f t="shared" si="152"/>
        <v>227.7</v>
      </c>
      <c r="J467" s="148"/>
      <c r="K467" s="148"/>
      <c r="L467" s="148"/>
      <c r="M467" s="148">
        <v>22.22</v>
      </c>
      <c r="N467" s="148">
        <v>28.18</v>
      </c>
      <c r="O467" s="148">
        <v>253.62</v>
      </c>
      <c r="P467" s="494"/>
      <c r="Q467" s="148">
        <f t="shared" si="153"/>
        <v>0</v>
      </c>
      <c r="R467" s="148"/>
      <c r="S467" s="148">
        <f t="shared" si="154"/>
        <v>0</v>
      </c>
      <c r="T467" s="148">
        <f t="shared" si="155"/>
        <v>9</v>
      </c>
      <c r="U467" s="148">
        <f t="shared" si="138"/>
        <v>253.62</v>
      </c>
      <c r="V467" s="379"/>
      <c r="W467" s="379"/>
      <c r="X467" s="57">
        <f>'COMPOSIÇÃO DE CUSTOS'!G970</f>
        <v>19.95</v>
      </c>
      <c r="Y467" s="334">
        <v>23.47</v>
      </c>
      <c r="Z467" s="334">
        <f t="shared" si="136"/>
        <v>179.5455</v>
      </c>
      <c r="AA467" s="57"/>
      <c r="AB467" s="58"/>
    </row>
    <row r="468" spans="1:28" s="23" customFormat="1" ht="15" customHeight="1">
      <c r="A468" s="229" t="s">
        <v>978</v>
      </c>
      <c r="B468" s="229"/>
      <c r="C468" s="229" t="s">
        <v>178</v>
      </c>
      <c r="D468" s="230"/>
      <c r="E468" s="230"/>
      <c r="F468" s="230"/>
      <c r="G468" s="22"/>
      <c r="H468" s="230"/>
      <c r="I468" s="445"/>
      <c r="J468" s="440"/>
      <c r="K468" s="440"/>
      <c r="L468" s="440"/>
      <c r="M468" s="440"/>
      <c r="N468" s="440"/>
      <c r="O468" s="440"/>
      <c r="P468" s="492"/>
      <c r="Q468" s="148">
        <f t="shared" si="153"/>
        <v>0</v>
      </c>
      <c r="R468" s="440"/>
      <c r="S468" s="440"/>
      <c r="T468" s="148"/>
      <c r="U468" s="148"/>
      <c r="V468" s="330"/>
      <c r="W468" s="330"/>
      <c r="X468" s="32"/>
      <c r="Y468" s="346"/>
      <c r="Z468" s="334">
        <f t="shared" si="136"/>
        <v>0</v>
      </c>
      <c r="AA468" s="32"/>
      <c r="AB468" s="32"/>
    </row>
    <row r="469" spans="1:28" s="23" customFormat="1" ht="90">
      <c r="A469" s="36" t="s">
        <v>3551</v>
      </c>
      <c r="B469" s="20">
        <v>96765</v>
      </c>
      <c r="C469" s="439" t="s">
        <v>3738</v>
      </c>
      <c r="D469" s="21" t="s">
        <v>12</v>
      </c>
      <c r="E469" s="21" t="s">
        <v>17</v>
      </c>
      <c r="F469" s="22">
        <v>12</v>
      </c>
      <c r="G469" s="22">
        <f t="shared" ref="G469:G532" si="156">Y469-(Y469*$Y$15)</f>
        <v>1107.992</v>
      </c>
      <c r="H469" s="22">
        <f t="shared" ref="H469:H486" si="157">ROUND(G469*(1+$X$14),2)</f>
        <v>1405.04</v>
      </c>
      <c r="I469" s="147">
        <f t="shared" ref="I469:I486" si="158">ROUND(H469*F469,2)</f>
        <v>16860.48</v>
      </c>
      <c r="J469" s="148"/>
      <c r="K469" s="148"/>
      <c r="L469" s="148"/>
      <c r="M469" s="148">
        <v>1234.31</v>
      </c>
      <c r="N469" s="148">
        <v>1565.23</v>
      </c>
      <c r="O469" s="148">
        <v>18782.759999999998</v>
      </c>
      <c r="P469" s="494"/>
      <c r="Q469" s="148">
        <f t="shared" si="153"/>
        <v>0</v>
      </c>
      <c r="R469" s="148"/>
      <c r="S469" s="148">
        <f t="shared" ref="S469:S486" si="159">ROUND(R469*P469,2)</f>
        <v>0</v>
      </c>
      <c r="T469" s="148">
        <f t="shared" si="155"/>
        <v>12</v>
      </c>
      <c r="U469" s="148">
        <f t="shared" si="138"/>
        <v>18782.759999999998</v>
      </c>
      <c r="V469" s="379"/>
      <c r="W469" s="379"/>
      <c r="X469" s="31" t="e">
        <f>IF(B469&lt;&gt;0,VLOOKUP(B469,#REF!,4,FALSE),"")</f>
        <v>#REF!</v>
      </c>
      <c r="Y469" s="346" t="s">
        <v>3262</v>
      </c>
      <c r="Z469" s="334">
        <f t="shared" ref="Z469:Z532" si="160">F469*G469</f>
        <v>13295.903999999999</v>
      </c>
      <c r="AA469" s="31"/>
      <c r="AB469" s="32" t="e">
        <f>IF(B469&lt;&gt;0,VLOOKUP(B469,#REF!,2,FALSE),"")</f>
        <v>#REF!</v>
      </c>
    </row>
    <row r="470" spans="1:28" s="23" customFormat="1" ht="30">
      <c r="A470" s="19" t="s">
        <v>979</v>
      </c>
      <c r="B470" s="20">
        <v>102493</v>
      </c>
      <c r="C470" s="19" t="s">
        <v>3318</v>
      </c>
      <c r="D470" s="21" t="s">
        <v>12</v>
      </c>
      <c r="E470" s="21" t="s">
        <v>26</v>
      </c>
      <c r="F470" s="22">
        <v>25</v>
      </c>
      <c r="G470" s="22">
        <f t="shared" si="156"/>
        <v>8.7464999999999993</v>
      </c>
      <c r="H470" s="22">
        <f t="shared" si="157"/>
        <v>11.09</v>
      </c>
      <c r="I470" s="147">
        <f t="shared" si="158"/>
        <v>277.25</v>
      </c>
      <c r="J470" s="148"/>
      <c r="K470" s="148"/>
      <c r="L470" s="148"/>
      <c r="M470" s="148">
        <v>9.74</v>
      </c>
      <c r="N470" s="148">
        <v>12.35</v>
      </c>
      <c r="O470" s="148">
        <v>308.75</v>
      </c>
      <c r="P470" s="494"/>
      <c r="Q470" s="148">
        <f t="shared" si="153"/>
        <v>0</v>
      </c>
      <c r="R470" s="148"/>
      <c r="S470" s="148">
        <f t="shared" si="159"/>
        <v>0</v>
      </c>
      <c r="T470" s="148">
        <f t="shared" si="155"/>
        <v>25</v>
      </c>
      <c r="U470" s="148">
        <f t="shared" si="138"/>
        <v>308.75</v>
      </c>
      <c r="V470" s="379"/>
      <c r="W470" s="379"/>
      <c r="X470" s="31" t="e">
        <f>IF(B470&lt;&gt;0,VLOOKUP(B470,#REF!,4,FALSE),"")</f>
        <v>#REF!</v>
      </c>
      <c r="Y470" s="346" t="s">
        <v>1857</v>
      </c>
      <c r="Z470" s="334">
        <f t="shared" si="160"/>
        <v>218.66249999999999</v>
      </c>
      <c r="AA470" s="31"/>
      <c r="AB470" s="32" t="e">
        <f>IF(B470&lt;&gt;0,VLOOKUP(B470,#REF!,2,FALSE),"")</f>
        <v>#REF!</v>
      </c>
    </row>
    <row r="471" spans="1:28" s="38" customFormat="1" ht="30">
      <c r="A471" s="19" t="s">
        <v>980</v>
      </c>
      <c r="B471" s="20">
        <v>11173</v>
      </c>
      <c r="C471" s="19" t="s">
        <v>2021</v>
      </c>
      <c r="D471" s="21" t="s">
        <v>44</v>
      </c>
      <c r="E471" s="21" t="s">
        <v>17</v>
      </c>
      <c r="F471" s="22">
        <v>2</v>
      </c>
      <c r="G471" s="22">
        <f t="shared" si="156"/>
        <v>2172.4810000000002</v>
      </c>
      <c r="H471" s="22">
        <f t="shared" si="157"/>
        <v>2754.92</v>
      </c>
      <c r="I471" s="147">
        <f t="shared" si="158"/>
        <v>5509.84</v>
      </c>
      <c r="J471" s="148"/>
      <c r="K471" s="148"/>
      <c r="L471" s="148"/>
      <c r="M471" s="148">
        <v>2420.16</v>
      </c>
      <c r="N471" s="148">
        <v>3069</v>
      </c>
      <c r="O471" s="148">
        <v>6138</v>
      </c>
      <c r="P471" s="494"/>
      <c r="Q471" s="148">
        <f t="shared" si="153"/>
        <v>0</v>
      </c>
      <c r="R471" s="148"/>
      <c r="S471" s="148">
        <f t="shared" si="159"/>
        <v>0</v>
      </c>
      <c r="T471" s="148">
        <f t="shared" si="155"/>
        <v>2</v>
      </c>
      <c r="U471" s="148">
        <f t="shared" si="138"/>
        <v>6138</v>
      </c>
      <c r="V471" s="379"/>
      <c r="W471" s="379"/>
      <c r="X471" s="42">
        <f>'COMPOSIÇÃO DE CUSTOS'!G2246</f>
        <v>2172.48</v>
      </c>
      <c r="Y471" s="336">
        <v>2555.86</v>
      </c>
      <c r="Z471" s="334">
        <f t="shared" si="160"/>
        <v>4344.9620000000004</v>
      </c>
      <c r="AA471" s="42"/>
      <c r="AB471" s="39"/>
    </row>
    <row r="472" spans="1:28" ht="30">
      <c r="A472" s="36" t="s">
        <v>2461</v>
      </c>
      <c r="B472" s="20">
        <v>101908</v>
      </c>
      <c r="C472" s="19" t="s">
        <v>180</v>
      </c>
      <c r="D472" s="21" t="s">
        <v>12</v>
      </c>
      <c r="E472" s="21" t="s">
        <v>17</v>
      </c>
      <c r="F472" s="22">
        <v>14</v>
      </c>
      <c r="G472" s="22">
        <f t="shared" si="156"/>
        <v>154.55550000000002</v>
      </c>
      <c r="H472" s="22">
        <f t="shared" si="157"/>
        <v>195.99</v>
      </c>
      <c r="I472" s="147">
        <f t="shared" si="158"/>
        <v>2743.86</v>
      </c>
      <c r="J472" s="148"/>
      <c r="K472" s="148"/>
      <c r="L472" s="148"/>
      <c r="M472" s="148">
        <v>172.18</v>
      </c>
      <c r="N472" s="148">
        <v>218.34</v>
      </c>
      <c r="O472" s="148">
        <v>3056.76</v>
      </c>
      <c r="P472" s="494"/>
      <c r="Q472" s="148">
        <f t="shared" si="153"/>
        <v>0</v>
      </c>
      <c r="R472" s="148"/>
      <c r="S472" s="148">
        <f t="shared" si="159"/>
        <v>0</v>
      </c>
      <c r="T472" s="148">
        <f t="shared" si="155"/>
        <v>14</v>
      </c>
      <c r="U472" s="148">
        <f t="shared" si="138"/>
        <v>3056.76</v>
      </c>
      <c r="V472" s="379"/>
      <c r="W472" s="379"/>
      <c r="X472" s="31" t="e">
        <f>IF(B472&lt;&gt;0,VLOOKUP(B472,#REF!,4,FALSE),"")</f>
        <v>#REF!</v>
      </c>
      <c r="Y472" s="346" t="s">
        <v>3264</v>
      </c>
      <c r="Z472" s="334">
        <f t="shared" si="160"/>
        <v>2163.7770000000005</v>
      </c>
      <c r="AA472" s="31"/>
      <c r="AB472" s="32" t="e">
        <f>IF(B472&lt;&gt;0,VLOOKUP(B472,#REF!,2,FALSE),"")</f>
        <v>#REF!</v>
      </c>
    </row>
    <row r="473" spans="1:28" ht="30">
      <c r="A473" s="36" t="s">
        <v>2462</v>
      </c>
      <c r="B473" s="20">
        <v>101907</v>
      </c>
      <c r="C473" s="19" t="s">
        <v>181</v>
      </c>
      <c r="D473" s="21" t="s">
        <v>12</v>
      </c>
      <c r="E473" s="21" t="s">
        <v>17</v>
      </c>
      <c r="F473" s="22">
        <v>2</v>
      </c>
      <c r="G473" s="22">
        <f t="shared" si="156"/>
        <v>516.0095</v>
      </c>
      <c r="H473" s="22">
        <f t="shared" si="157"/>
        <v>654.35</v>
      </c>
      <c r="I473" s="147">
        <f t="shared" si="158"/>
        <v>1308.7</v>
      </c>
      <c r="J473" s="148"/>
      <c r="K473" s="148"/>
      <c r="L473" s="148"/>
      <c r="M473" s="148">
        <v>574.84</v>
      </c>
      <c r="N473" s="148">
        <v>728.95</v>
      </c>
      <c r="O473" s="148">
        <v>1457.9</v>
      </c>
      <c r="P473" s="494"/>
      <c r="Q473" s="148">
        <f t="shared" si="153"/>
        <v>0</v>
      </c>
      <c r="R473" s="148"/>
      <c r="S473" s="148">
        <f t="shared" si="159"/>
        <v>0</v>
      </c>
      <c r="T473" s="148">
        <f t="shared" si="155"/>
        <v>2</v>
      </c>
      <c r="U473" s="148">
        <f t="shared" si="138"/>
        <v>1457.9</v>
      </c>
      <c r="V473" s="379"/>
      <c r="W473" s="379"/>
      <c r="X473" s="31" t="e">
        <f>IF(B473&lt;&gt;0,VLOOKUP(B473,#REF!,4,FALSE),"")</f>
        <v>#REF!</v>
      </c>
      <c r="Y473" s="346" t="s">
        <v>3263</v>
      </c>
      <c r="Z473" s="334">
        <f t="shared" si="160"/>
        <v>1032.019</v>
      </c>
      <c r="AA473" s="31"/>
      <c r="AB473" s="32" t="e">
        <f>IF(B473&lt;&gt;0,VLOOKUP(B473,#REF!,2,FALSE),"")</f>
        <v>#REF!</v>
      </c>
    </row>
    <row r="474" spans="1:28" s="23" customFormat="1" ht="30">
      <c r="A474" s="36" t="s">
        <v>2463</v>
      </c>
      <c r="B474" s="21" t="s">
        <v>2215</v>
      </c>
      <c r="C474" s="19" t="s">
        <v>182</v>
      </c>
      <c r="D474" s="21" t="s">
        <v>70</v>
      </c>
      <c r="E474" s="21" t="s">
        <v>17</v>
      </c>
      <c r="F474" s="22">
        <v>1</v>
      </c>
      <c r="G474" s="22">
        <f t="shared" si="156"/>
        <v>600.79700000000003</v>
      </c>
      <c r="H474" s="22">
        <f t="shared" si="157"/>
        <v>761.87</v>
      </c>
      <c r="I474" s="147">
        <f t="shared" si="158"/>
        <v>761.87</v>
      </c>
      <c r="J474" s="148"/>
      <c r="K474" s="148"/>
      <c r="L474" s="148"/>
      <c r="M474" s="148">
        <v>669.29</v>
      </c>
      <c r="N474" s="148">
        <v>848.73</v>
      </c>
      <c r="O474" s="148">
        <v>848.73</v>
      </c>
      <c r="P474" s="494"/>
      <c r="Q474" s="148">
        <f t="shared" si="153"/>
        <v>0</v>
      </c>
      <c r="R474" s="148"/>
      <c r="S474" s="148">
        <f t="shared" si="159"/>
        <v>0</v>
      </c>
      <c r="T474" s="148">
        <f t="shared" si="155"/>
        <v>1</v>
      </c>
      <c r="U474" s="148">
        <f t="shared" si="138"/>
        <v>848.73</v>
      </c>
      <c r="V474" s="379"/>
      <c r="W474" s="379"/>
      <c r="X474" s="31">
        <f>'COMPOSIÇÃO DE CUSTOS'!G978</f>
        <v>600.79</v>
      </c>
      <c r="Y474" s="346">
        <v>706.82</v>
      </c>
      <c r="Z474" s="334">
        <f t="shared" si="160"/>
        <v>600.79700000000003</v>
      </c>
      <c r="AA474" s="31"/>
      <c r="AB474" s="32"/>
    </row>
    <row r="475" spans="1:28" s="23" customFormat="1">
      <c r="A475" s="36" t="s">
        <v>2464</v>
      </c>
      <c r="B475" s="21" t="s">
        <v>2214</v>
      </c>
      <c r="C475" s="19" t="s">
        <v>2213</v>
      </c>
      <c r="D475" s="21" t="s">
        <v>70</v>
      </c>
      <c r="E475" s="21" t="s">
        <v>17</v>
      </c>
      <c r="F475" s="22">
        <v>1</v>
      </c>
      <c r="G475" s="22">
        <f t="shared" si="156"/>
        <v>692.94550000000004</v>
      </c>
      <c r="H475" s="22">
        <f t="shared" si="157"/>
        <v>878.72</v>
      </c>
      <c r="I475" s="147">
        <f t="shared" si="158"/>
        <v>878.72</v>
      </c>
      <c r="J475" s="148"/>
      <c r="K475" s="148"/>
      <c r="L475" s="148"/>
      <c r="M475" s="148">
        <v>771.95</v>
      </c>
      <c r="N475" s="148">
        <v>978.91</v>
      </c>
      <c r="O475" s="148">
        <v>978.91</v>
      </c>
      <c r="P475" s="494"/>
      <c r="Q475" s="148">
        <f t="shared" si="153"/>
        <v>0</v>
      </c>
      <c r="R475" s="148"/>
      <c r="S475" s="148">
        <f t="shared" si="159"/>
        <v>0</v>
      </c>
      <c r="T475" s="148">
        <f t="shared" si="155"/>
        <v>1</v>
      </c>
      <c r="U475" s="148">
        <f t="shared" si="138"/>
        <v>978.91</v>
      </c>
      <c r="V475" s="379"/>
      <c r="W475" s="379"/>
      <c r="X475" s="31">
        <f>'COMPOSIÇÃO DE CUSTOS'!G984</f>
        <v>692.95</v>
      </c>
      <c r="Y475" s="346">
        <v>815.23</v>
      </c>
      <c r="Z475" s="334">
        <f t="shared" si="160"/>
        <v>692.94550000000004</v>
      </c>
      <c r="AA475" s="31"/>
      <c r="AB475" s="32"/>
    </row>
    <row r="476" spans="1:28" s="23" customFormat="1" ht="45">
      <c r="A476" s="36" t="s">
        <v>2465</v>
      </c>
      <c r="B476" s="20">
        <v>427003</v>
      </c>
      <c r="C476" s="19" t="s">
        <v>184</v>
      </c>
      <c r="D476" s="21" t="s">
        <v>1914</v>
      </c>
      <c r="E476" s="21" t="s">
        <v>17</v>
      </c>
      <c r="F476" s="22">
        <v>1</v>
      </c>
      <c r="G476" s="22">
        <f t="shared" si="156"/>
        <v>76.491500000000002</v>
      </c>
      <c r="H476" s="22">
        <f t="shared" si="157"/>
        <v>97</v>
      </c>
      <c r="I476" s="147">
        <f t="shared" si="158"/>
        <v>97</v>
      </c>
      <c r="J476" s="148"/>
      <c r="K476" s="148"/>
      <c r="L476" s="148"/>
      <c r="M476" s="148">
        <v>85.21</v>
      </c>
      <c r="N476" s="148">
        <v>108.05</v>
      </c>
      <c r="O476" s="148">
        <v>108.05</v>
      </c>
      <c r="P476" s="494"/>
      <c r="Q476" s="148">
        <f t="shared" si="153"/>
        <v>0</v>
      </c>
      <c r="R476" s="148"/>
      <c r="S476" s="148">
        <f t="shared" si="159"/>
        <v>0</v>
      </c>
      <c r="T476" s="148">
        <f t="shared" si="155"/>
        <v>1</v>
      </c>
      <c r="U476" s="148">
        <f t="shared" si="138"/>
        <v>108.05</v>
      </c>
      <c r="V476" s="379"/>
      <c r="W476" s="379"/>
      <c r="X476" s="31">
        <f>'COMPOSIÇÃO DE CUSTOS'!G991</f>
        <v>76.48</v>
      </c>
      <c r="Y476" s="346">
        <v>89.99</v>
      </c>
      <c r="Z476" s="334">
        <f t="shared" si="160"/>
        <v>76.491500000000002</v>
      </c>
      <c r="AA476" s="31"/>
      <c r="AB476" s="32"/>
    </row>
    <row r="477" spans="1:28" s="23" customFormat="1" ht="75">
      <c r="A477" s="36" t="s">
        <v>2466</v>
      </c>
      <c r="B477" s="20">
        <v>94499</v>
      </c>
      <c r="C477" s="19" t="s">
        <v>1661</v>
      </c>
      <c r="D477" s="21" t="s">
        <v>12</v>
      </c>
      <c r="E477" s="21" t="s">
        <v>17</v>
      </c>
      <c r="F477" s="22">
        <v>10</v>
      </c>
      <c r="G477" s="22">
        <f t="shared" si="156"/>
        <v>207.03449999999998</v>
      </c>
      <c r="H477" s="22">
        <f t="shared" si="157"/>
        <v>262.54000000000002</v>
      </c>
      <c r="I477" s="147">
        <f t="shared" si="158"/>
        <v>2625.4</v>
      </c>
      <c r="J477" s="148"/>
      <c r="K477" s="148"/>
      <c r="L477" s="148"/>
      <c r="M477" s="148">
        <v>230.64</v>
      </c>
      <c r="N477" s="148">
        <v>292.47000000000003</v>
      </c>
      <c r="O477" s="148">
        <v>2924.7</v>
      </c>
      <c r="P477" s="494"/>
      <c r="Q477" s="148">
        <f t="shared" si="153"/>
        <v>0</v>
      </c>
      <c r="R477" s="148"/>
      <c r="S477" s="148">
        <f t="shared" si="159"/>
        <v>0</v>
      </c>
      <c r="T477" s="148">
        <f t="shared" si="155"/>
        <v>10</v>
      </c>
      <c r="U477" s="148">
        <f t="shared" si="138"/>
        <v>2924.7</v>
      </c>
      <c r="V477" s="379"/>
      <c r="W477" s="379"/>
      <c r="X477" s="31" t="e">
        <f>IF(B477&lt;&gt;0,VLOOKUP(B477,#REF!,4,FALSE),"")</f>
        <v>#REF!</v>
      </c>
      <c r="Y477" s="346" t="s">
        <v>3299</v>
      </c>
      <c r="Z477" s="334">
        <f t="shared" si="160"/>
        <v>2070.3449999999998</v>
      </c>
      <c r="AA477" s="31"/>
      <c r="AB477" s="32" t="e">
        <f>IF(B477&lt;&gt;0,VLOOKUP(B477,#REF!,2,FALSE),"")</f>
        <v>#REF!</v>
      </c>
    </row>
    <row r="478" spans="1:28" s="23" customFormat="1" ht="30">
      <c r="A478" s="36" t="s">
        <v>2467</v>
      </c>
      <c r="B478" s="20">
        <v>99624</v>
      </c>
      <c r="C478" s="19" t="s">
        <v>185</v>
      </c>
      <c r="D478" s="21" t="s">
        <v>12</v>
      </c>
      <c r="E478" s="21" t="s">
        <v>17</v>
      </c>
      <c r="F478" s="22">
        <v>1</v>
      </c>
      <c r="G478" s="22">
        <f t="shared" si="156"/>
        <v>337.80700000000002</v>
      </c>
      <c r="H478" s="22">
        <f t="shared" si="157"/>
        <v>428.37</v>
      </c>
      <c r="I478" s="147">
        <f t="shared" si="158"/>
        <v>428.37</v>
      </c>
      <c r="J478" s="148"/>
      <c r="K478" s="148"/>
      <c r="L478" s="148"/>
      <c r="M478" s="148">
        <v>376.32</v>
      </c>
      <c r="N478" s="148">
        <v>477.21</v>
      </c>
      <c r="O478" s="148">
        <v>477.21</v>
      </c>
      <c r="P478" s="494"/>
      <c r="Q478" s="148">
        <f t="shared" si="153"/>
        <v>0</v>
      </c>
      <c r="R478" s="148"/>
      <c r="S478" s="148">
        <f t="shared" si="159"/>
        <v>0</v>
      </c>
      <c r="T478" s="148">
        <f t="shared" si="155"/>
        <v>1</v>
      </c>
      <c r="U478" s="148">
        <f t="shared" si="138"/>
        <v>477.21</v>
      </c>
      <c r="V478" s="379"/>
      <c r="W478" s="379"/>
      <c r="X478" s="31" t="e">
        <f>IF(B478&lt;&gt;0,VLOOKUP(B478,#REF!,4,FALSE),"")</f>
        <v>#REF!</v>
      </c>
      <c r="Y478" s="346" t="s">
        <v>3302</v>
      </c>
      <c r="Z478" s="334">
        <f t="shared" si="160"/>
        <v>337.80700000000002</v>
      </c>
      <c r="AA478" s="31"/>
      <c r="AB478" s="32" t="e">
        <f>IF(B478&lt;&gt;0,VLOOKUP(B478,#REF!,2,FALSE),"")</f>
        <v>#REF!</v>
      </c>
    </row>
    <row r="479" spans="1:28" s="23" customFormat="1" ht="30">
      <c r="A479" s="36" t="s">
        <v>2468</v>
      </c>
      <c r="B479" s="20">
        <v>12899</v>
      </c>
      <c r="C479" s="19" t="s">
        <v>186</v>
      </c>
      <c r="D479" s="21" t="s">
        <v>12</v>
      </c>
      <c r="E479" s="21" t="s">
        <v>17</v>
      </c>
      <c r="F479" s="22">
        <v>1</v>
      </c>
      <c r="G479" s="22">
        <f t="shared" si="156"/>
        <v>75.845500000000001</v>
      </c>
      <c r="H479" s="22">
        <f t="shared" si="157"/>
        <v>96.18</v>
      </c>
      <c r="I479" s="147">
        <f t="shared" si="158"/>
        <v>96.18</v>
      </c>
      <c r="J479" s="148"/>
      <c r="K479" s="148"/>
      <c r="L479" s="148"/>
      <c r="M479" s="148">
        <v>84.49</v>
      </c>
      <c r="N479" s="148">
        <v>107.14</v>
      </c>
      <c r="O479" s="148">
        <v>107.14</v>
      </c>
      <c r="P479" s="494"/>
      <c r="Q479" s="148">
        <f t="shared" si="153"/>
        <v>0</v>
      </c>
      <c r="R479" s="148"/>
      <c r="S479" s="148">
        <f t="shared" si="159"/>
        <v>0</v>
      </c>
      <c r="T479" s="148">
        <f t="shared" si="155"/>
        <v>1</v>
      </c>
      <c r="U479" s="148">
        <f t="shared" si="138"/>
        <v>107.14</v>
      </c>
      <c r="V479" s="379"/>
      <c r="W479" s="379"/>
      <c r="X479" s="31" t="e">
        <f>IF(B479&lt;&gt;0,VLOOKUP(B479,#REF!,4,FALSE),"")</f>
        <v>#REF!</v>
      </c>
      <c r="Y479" s="346" t="s">
        <v>3118</v>
      </c>
      <c r="Z479" s="334">
        <f t="shared" si="160"/>
        <v>75.845500000000001</v>
      </c>
      <c r="AA479" s="31"/>
      <c r="AB479" s="32" t="e">
        <f>IF(B479&lt;&gt;0,VLOOKUP(B479,#REF!,2,FALSE),"")</f>
        <v>#REF!</v>
      </c>
    </row>
    <row r="480" spans="1:28" s="55" customFormat="1" ht="30">
      <c r="A480" s="36" t="s">
        <v>2469</v>
      </c>
      <c r="B480" s="20">
        <v>11824</v>
      </c>
      <c r="C480" s="19" t="s">
        <v>1979</v>
      </c>
      <c r="D480" s="21" t="s">
        <v>44</v>
      </c>
      <c r="E480" s="21" t="s">
        <v>17</v>
      </c>
      <c r="F480" s="22">
        <v>13</v>
      </c>
      <c r="G480" s="22">
        <f t="shared" si="156"/>
        <v>142.3835</v>
      </c>
      <c r="H480" s="22">
        <f t="shared" si="157"/>
        <v>180.56</v>
      </c>
      <c r="I480" s="147">
        <f t="shared" si="158"/>
        <v>2347.2800000000002</v>
      </c>
      <c r="J480" s="148"/>
      <c r="K480" s="148"/>
      <c r="L480" s="148"/>
      <c r="M480" s="148">
        <v>158.62</v>
      </c>
      <c r="N480" s="148">
        <v>201.15</v>
      </c>
      <c r="O480" s="148">
        <v>2614.9499999999998</v>
      </c>
      <c r="P480" s="494"/>
      <c r="Q480" s="148">
        <f t="shared" si="153"/>
        <v>0</v>
      </c>
      <c r="R480" s="148"/>
      <c r="S480" s="148">
        <f t="shared" si="159"/>
        <v>0</v>
      </c>
      <c r="T480" s="148">
        <f t="shared" si="155"/>
        <v>13</v>
      </c>
      <c r="U480" s="148">
        <f t="shared" si="138"/>
        <v>2614.9499999999998</v>
      </c>
      <c r="V480" s="379"/>
      <c r="W480" s="379"/>
      <c r="X480" s="57">
        <f>'COMPOSIÇÃO DE CUSTOS'!G2045</f>
        <v>142.38</v>
      </c>
      <c r="Y480" s="334">
        <v>167.51</v>
      </c>
      <c r="Z480" s="334">
        <f t="shared" si="160"/>
        <v>1850.9855</v>
      </c>
      <c r="AA480" s="57"/>
      <c r="AB480" s="58"/>
    </row>
    <row r="481" spans="1:28" s="55" customFormat="1" ht="30">
      <c r="A481" s="36" t="s">
        <v>2470</v>
      </c>
      <c r="B481" s="20">
        <v>9973</v>
      </c>
      <c r="C481" s="19" t="s">
        <v>187</v>
      </c>
      <c r="D481" s="21" t="s">
        <v>44</v>
      </c>
      <c r="E481" s="21" t="s">
        <v>17</v>
      </c>
      <c r="F481" s="22">
        <v>288.27</v>
      </c>
      <c r="G481" s="22">
        <f t="shared" si="156"/>
        <v>118.02249999999999</v>
      </c>
      <c r="H481" s="22">
        <f t="shared" si="157"/>
        <v>149.66</v>
      </c>
      <c r="I481" s="147">
        <f t="shared" si="158"/>
        <v>43142.49</v>
      </c>
      <c r="J481" s="148"/>
      <c r="K481" s="148"/>
      <c r="L481" s="148"/>
      <c r="M481" s="148">
        <v>55.07</v>
      </c>
      <c r="N481" s="148">
        <v>69.83</v>
      </c>
      <c r="O481" s="148">
        <v>20129.89</v>
      </c>
      <c r="P481" s="494"/>
      <c r="Q481" s="148">
        <f t="shared" si="153"/>
        <v>0</v>
      </c>
      <c r="R481" s="148"/>
      <c r="S481" s="148">
        <f t="shared" si="159"/>
        <v>0</v>
      </c>
      <c r="T481" s="148">
        <f t="shared" si="155"/>
        <v>288.27</v>
      </c>
      <c r="U481" s="148">
        <f t="shared" si="138"/>
        <v>20129.89</v>
      </c>
      <c r="V481" s="379"/>
      <c r="W481" s="379"/>
      <c r="X481" s="57">
        <f>'COMPOSIÇÃO DE CUSTOS'!G998</f>
        <v>118.02</v>
      </c>
      <c r="Y481" s="334">
        <v>138.85</v>
      </c>
      <c r="Z481" s="334">
        <f t="shared" si="160"/>
        <v>34022.346074999994</v>
      </c>
      <c r="AA481" s="57"/>
      <c r="AB481" s="58"/>
    </row>
    <row r="482" spans="1:28" s="55" customFormat="1" ht="30">
      <c r="A482" s="36" t="s">
        <v>2471</v>
      </c>
      <c r="B482" s="20">
        <v>12895</v>
      </c>
      <c r="C482" s="19" t="s">
        <v>1977</v>
      </c>
      <c r="D482" s="21" t="s">
        <v>44</v>
      </c>
      <c r="E482" s="21" t="s">
        <v>17</v>
      </c>
      <c r="F482" s="22">
        <v>32</v>
      </c>
      <c r="G482" s="22">
        <f t="shared" si="156"/>
        <v>10.863</v>
      </c>
      <c r="H482" s="22">
        <f t="shared" si="157"/>
        <v>13.78</v>
      </c>
      <c r="I482" s="147">
        <f t="shared" si="158"/>
        <v>440.96</v>
      </c>
      <c r="J482" s="148"/>
      <c r="K482" s="148"/>
      <c r="L482" s="148"/>
      <c r="M482" s="148">
        <v>12.1</v>
      </c>
      <c r="N482" s="148">
        <v>15.34</v>
      </c>
      <c r="O482" s="148">
        <v>490.88</v>
      </c>
      <c r="P482" s="494"/>
      <c r="Q482" s="148">
        <f t="shared" si="153"/>
        <v>0</v>
      </c>
      <c r="R482" s="148"/>
      <c r="S482" s="148">
        <f t="shared" si="159"/>
        <v>0</v>
      </c>
      <c r="T482" s="148">
        <f t="shared" si="155"/>
        <v>32</v>
      </c>
      <c r="U482" s="148">
        <f t="shared" si="138"/>
        <v>490.88</v>
      </c>
      <c r="V482" s="379"/>
      <c r="W482" s="379"/>
      <c r="X482" s="57">
        <f>'COMPOSIÇÃO DE CUSTOS'!G2038</f>
        <v>10.86</v>
      </c>
      <c r="Y482" s="334">
        <v>12.78</v>
      </c>
      <c r="Z482" s="334">
        <f t="shared" si="160"/>
        <v>347.61599999999999</v>
      </c>
      <c r="AA482" s="57"/>
      <c r="AB482" s="58"/>
    </row>
    <row r="483" spans="1:28" s="55" customFormat="1" ht="20.25" customHeight="1">
      <c r="A483" s="36" t="s">
        <v>2472</v>
      </c>
      <c r="B483" s="20">
        <v>115031</v>
      </c>
      <c r="C483" s="19" t="s">
        <v>188</v>
      </c>
      <c r="D483" s="21" t="s">
        <v>1914</v>
      </c>
      <c r="E483" s="21" t="s">
        <v>17</v>
      </c>
      <c r="F483" s="22">
        <v>18</v>
      </c>
      <c r="G483" s="22">
        <f t="shared" si="156"/>
        <v>11.849</v>
      </c>
      <c r="H483" s="22">
        <f t="shared" si="157"/>
        <v>15.03</v>
      </c>
      <c r="I483" s="147">
        <f t="shared" si="158"/>
        <v>270.54000000000002</v>
      </c>
      <c r="J483" s="148"/>
      <c r="K483" s="148"/>
      <c r="L483" s="148"/>
      <c r="M483" s="148">
        <v>13.2</v>
      </c>
      <c r="N483" s="148">
        <v>16.739999999999998</v>
      </c>
      <c r="O483" s="148">
        <v>301.32</v>
      </c>
      <c r="P483" s="494"/>
      <c r="Q483" s="148">
        <f t="shared" si="153"/>
        <v>0</v>
      </c>
      <c r="R483" s="148"/>
      <c r="S483" s="148">
        <f t="shared" si="159"/>
        <v>0</v>
      </c>
      <c r="T483" s="148">
        <f t="shared" si="155"/>
        <v>18</v>
      </c>
      <c r="U483" s="148">
        <f t="shared" si="138"/>
        <v>301.32</v>
      </c>
      <c r="V483" s="379"/>
      <c r="W483" s="379"/>
      <c r="X483" s="57">
        <f>'COMPOSIÇÃO DE CUSTOS'!G1005</f>
        <v>11.85</v>
      </c>
      <c r="Y483" s="334">
        <v>13.94</v>
      </c>
      <c r="Z483" s="334">
        <f t="shared" si="160"/>
        <v>213.28200000000001</v>
      </c>
      <c r="AA483" s="57"/>
      <c r="AB483" s="58"/>
    </row>
    <row r="484" spans="1:28" s="55" customFormat="1" ht="24" customHeight="1">
      <c r="A484" s="36" t="s">
        <v>2473</v>
      </c>
      <c r="B484" s="20">
        <v>388251</v>
      </c>
      <c r="C484" s="19" t="s">
        <v>189</v>
      </c>
      <c r="D484" s="21" t="s">
        <v>1914</v>
      </c>
      <c r="E484" s="21" t="s">
        <v>17</v>
      </c>
      <c r="F484" s="22">
        <v>1</v>
      </c>
      <c r="G484" s="22">
        <f t="shared" si="156"/>
        <v>2444.8634999999999</v>
      </c>
      <c r="H484" s="22">
        <f t="shared" si="157"/>
        <v>3100.33</v>
      </c>
      <c r="I484" s="147">
        <f t="shared" si="158"/>
        <v>3100.33</v>
      </c>
      <c r="J484" s="148"/>
      <c r="K484" s="148"/>
      <c r="L484" s="148"/>
      <c r="M484" s="148">
        <v>2723.6</v>
      </c>
      <c r="N484" s="148">
        <v>3453.8</v>
      </c>
      <c r="O484" s="148">
        <v>3453.8</v>
      </c>
      <c r="P484" s="494"/>
      <c r="Q484" s="148">
        <f t="shared" si="153"/>
        <v>0</v>
      </c>
      <c r="R484" s="148"/>
      <c r="S484" s="148">
        <f t="shared" si="159"/>
        <v>0</v>
      </c>
      <c r="T484" s="148">
        <f t="shared" si="155"/>
        <v>1</v>
      </c>
      <c r="U484" s="148">
        <f t="shared" si="138"/>
        <v>3453.8</v>
      </c>
      <c r="V484" s="379"/>
      <c r="W484" s="379"/>
      <c r="X484" s="57">
        <f>'COMPOSIÇÃO DE CUSTOS'!G1012</f>
        <v>2444.87</v>
      </c>
      <c r="Y484" s="334">
        <v>2876.31</v>
      </c>
      <c r="Z484" s="334">
        <f t="shared" si="160"/>
        <v>2444.8634999999999</v>
      </c>
      <c r="AA484" s="57"/>
      <c r="AB484" s="58"/>
    </row>
    <row r="485" spans="1:28" s="55" customFormat="1" ht="64.5" customHeight="1">
      <c r="A485" s="36" t="s">
        <v>2474</v>
      </c>
      <c r="B485" s="20">
        <v>95777</v>
      </c>
      <c r="C485" s="19" t="s">
        <v>1662</v>
      </c>
      <c r="D485" s="21" t="s">
        <v>12</v>
      </c>
      <c r="E485" s="21" t="s">
        <v>17</v>
      </c>
      <c r="F485" s="22">
        <v>18</v>
      </c>
      <c r="G485" s="22">
        <f t="shared" si="156"/>
        <v>18.750999999999998</v>
      </c>
      <c r="H485" s="22">
        <f t="shared" si="157"/>
        <v>23.78</v>
      </c>
      <c r="I485" s="147">
        <f t="shared" si="158"/>
        <v>428.04</v>
      </c>
      <c r="J485" s="148"/>
      <c r="K485" s="148"/>
      <c r="L485" s="148"/>
      <c r="M485" s="148">
        <v>20.89</v>
      </c>
      <c r="N485" s="148">
        <v>26.49</v>
      </c>
      <c r="O485" s="148">
        <v>476.82</v>
      </c>
      <c r="P485" s="494"/>
      <c r="Q485" s="148">
        <f t="shared" si="153"/>
        <v>0</v>
      </c>
      <c r="R485" s="148"/>
      <c r="S485" s="148">
        <f t="shared" si="159"/>
        <v>0</v>
      </c>
      <c r="T485" s="148">
        <f t="shared" si="155"/>
        <v>18</v>
      </c>
      <c r="U485" s="148">
        <f t="shared" si="138"/>
        <v>476.82</v>
      </c>
      <c r="V485" s="379"/>
      <c r="W485" s="379"/>
      <c r="X485" s="57" t="e">
        <f>IF(B485&lt;&gt;0,VLOOKUP(B485,#REF!,4,FALSE),"")</f>
        <v>#REF!</v>
      </c>
      <c r="Y485" s="334" t="s">
        <v>3234</v>
      </c>
      <c r="Z485" s="334">
        <f t="shared" si="160"/>
        <v>337.51799999999997</v>
      </c>
      <c r="AA485" s="57"/>
      <c r="AB485" s="58" t="e">
        <f>IF(B485&lt;&gt;0,VLOOKUP(B485,#REF!,2,FALSE),"")</f>
        <v>#REF!</v>
      </c>
    </row>
    <row r="486" spans="1:28" s="55" customFormat="1" ht="30">
      <c r="A486" s="36" t="s">
        <v>2475</v>
      </c>
      <c r="B486" s="21" t="s">
        <v>2173</v>
      </c>
      <c r="C486" s="19" t="s">
        <v>190</v>
      </c>
      <c r="D486" s="21" t="s">
        <v>70</v>
      </c>
      <c r="E486" s="21" t="s">
        <v>17</v>
      </c>
      <c r="F486" s="22">
        <v>1</v>
      </c>
      <c r="G486" s="22">
        <f t="shared" si="156"/>
        <v>342.15899999999999</v>
      </c>
      <c r="H486" s="22">
        <f t="shared" si="157"/>
        <v>433.89</v>
      </c>
      <c r="I486" s="147">
        <f t="shared" si="158"/>
        <v>433.89</v>
      </c>
      <c r="J486" s="148"/>
      <c r="K486" s="148"/>
      <c r="L486" s="148"/>
      <c r="M486" s="148">
        <v>381.17</v>
      </c>
      <c r="N486" s="148">
        <v>483.36</v>
      </c>
      <c r="O486" s="148">
        <v>483.36</v>
      </c>
      <c r="P486" s="494"/>
      <c r="Q486" s="148">
        <f t="shared" si="153"/>
        <v>0</v>
      </c>
      <c r="R486" s="148"/>
      <c r="S486" s="148">
        <f t="shared" si="159"/>
        <v>0</v>
      </c>
      <c r="T486" s="148">
        <f t="shared" si="155"/>
        <v>1</v>
      </c>
      <c r="U486" s="148">
        <f t="shared" si="138"/>
        <v>483.36</v>
      </c>
      <c r="V486" s="379"/>
      <c r="W486" s="379"/>
      <c r="X486" s="57">
        <f>'COMPOSIÇÃO DE CUSTOS'!G1019</f>
        <v>342.15</v>
      </c>
      <c r="Y486" s="334">
        <v>402.54</v>
      </c>
      <c r="Z486" s="334">
        <f t="shared" si="160"/>
        <v>342.15899999999999</v>
      </c>
      <c r="AA486" s="57"/>
      <c r="AB486" s="58"/>
    </row>
    <row r="487" spans="1:28" ht="37.5" customHeight="1">
      <c r="A487" s="19"/>
      <c r="B487" s="21"/>
      <c r="C487" s="19"/>
      <c r="D487" s="21"/>
      <c r="E487" s="21"/>
      <c r="F487" s="22"/>
      <c r="G487" s="22"/>
      <c r="H487" s="22"/>
      <c r="I487" s="147"/>
      <c r="J487" s="148"/>
      <c r="K487" s="148"/>
      <c r="L487" s="148"/>
      <c r="M487" s="148"/>
      <c r="N487" s="148"/>
      <c r="O487" s="148"/>
      <c r="P487" s="494"/>
      <c r="Q487" s="148"/>
      <c r="R487" s="148"/>
      <c r="S487" s="148"/>
      <c r="T487" s="148"/>
      <c r="U487" s="148"/>
      <c r="V487" s="379"/>
      <c r="W487" s="379"/>
      <c r="X487" s="30"/>
      <c r="Y487" s="337"/>
      <c r="Z487" s="334">
        <f t="shared" si="160"/>
        <v>0</v>
      </c>
      <c r="AA487" s="30"/>
      <c r="AB487" s="30"/>
    </row>
    <row r="488" spans="1:28" s="23" customFormat="1" ht="15" customHeight="1">
      <c r="A488" s="229" t="s">
        <v>981</v>
      </c>
      <c r="B488" s="229"/>
      <c r="C488" s="229" t="s">
        <v>191</v>
      </c>
      <c r="D488" s="230"/>
      <c r="E488" s="230"/>
      <c r="F488" s="230"/>
      <c r="G488" s="22"/>
      <c r="H488" s="230"/>
      <c r="I488" s="445">
        <f>ROUND(I489+I566+I646+I677+I681+I721+I745+I806+I1017+I1048+I1067,2)</f>
        <v>3822627.68</v>
      </c>
      <c r="J488" s="440"/>
      <c r="K488" s="440"/>
      <c r="L488" s="440"/>
      <c r="M488" s="440"/>
      <c r="N488" s="440"/>
      <c r="O488" s="440">
        <v>5374154.3099999996</v>
      </c>
      <c r="P488" s="492"/>
      <c r="Q488" s="440">
        <f>ROUND(Q489+Q566+Q646+Q677+Q681+Q721+Q745+Q806+Q1017+Q1048+Q1067,2)</f>
        <v>328799.05</v>
      </c>
      <c r="R488" s="440"/>
      <c r="S488" s="440">
        <f>ROUND(S489+S566+S646+S677+S681+S721+S745+S806+S1017+S1048+S1067,2)</f>
        <v>15294.42</v>
      </c>
      <c r="T488" s="148"/>
      <c r="U488" s="440">
        <f t="shared" si="138"/>
        <v>5687658.9399999995</v>
      </c>
      <c r="V488" s="330"/>
      <c r="W488" s="330"/>
      <c r="X488" s="63"/>
      <c r="Y488" s="343"/>
      <c r="Z488" s="334">
        <f t="shared" si="160"/>
        <v>0</v>
      </c>
      <c r="AA488" s="343"/>
      <c r="AB488" s="62"/>
    </row>
    <row r="489" spans="1:28" s="38" customFormat="1" ht="15" customHeight="1">
      <c r="A489" s="229" t="s">
        <v>982</v>
      </c>
      <c r="B489" s="229"/>
      <c r="C489" s="229" t="s">
        <v>192</v>
      </c>
      <c r="D489" s="230"/>
      <c r="E489" s="230"/>
      <c r="F489" s="230"/>
      <c r="G489" s="22"/>
      <c r="H489" s="230"/>
      <c r="I489" s="445">
        <f>ROUND(SUM(I491:I564),2)</f>
        <v>815957.21</v>
      </c>
      <c r="J489" s="440"/>
      <c r="K489" s="440"/>
      <c r="L489" s="440"/>
      <c r="M489" s="440"/>
      <c r="N489" s="440"/>
      <c r="O489" s="440">
        <v>1112247.02</v>
      </c>
      <c r="P489" s="492"/>
      <c r="Q489" s="440">
        <f>ROUND(SUM(Q491:Q564),2)</f>
        <v>79997.119999999995</v>
      </c>
      <c r="R489" s="440"/>
      <c r="S489" s="440">
        <f>ROUND(SUM(S491:S564),2)</f>
        <v>0</v>
      </c>
      <c r="T489" s="148"/>
      <c r="U489" s="440">
        <f t="shared" si="138"/>
        <v>1192244.1400000001</v>
      </c>
      <c r="V489" s="330"/>
      <c r="W489" s="330"/>
      <c r="X489" s="64"/>
      <c r="Y489" s="354"/>
      <c r="Z489" s="334">
        <f t="shared" si="160"/>
        <v>0</v>
      </c>
      <c r="AA489" s="45"/>
      <c r="AB489" s="39"/>
    </row>
    <row r="490" spans="1:28" s="55" customFormat="1" ht="15" customHeight="1">
      <c r="A490" s="229" t="s">
        <v>983</v>
      </c>
      <c r="B490" s="229"/>
      <c r="C490" s="229" t="s">
        <v>193</v>
      </c>
      <c r="D490" s="230"/>
      <c r="E490" s="230"/>
      <c r="F490" s="230"/>
      <c r="G490" s="22"/>
      <c r="H490" s="230"/>
      <c r="I490" s="445"/>
      <c r="J490" s="440"/>
      <c r="K490" s="440"/>
      <c r="L490" s="440"/>
      <c r="M490" s="440"/>
      <c r="N490" s="440"/>
      <c r="O490" s="440"/>
      <c r="P490" s="492"/>
      <c r="Q490" s="440"/>
      <c r="R490" s="440"/>
      <c r="S490" s="440"/>
      <c r="T490" s="148"/>
      <c r="U490" s="148"/>
      <c r="V490" s="330"/>
      <c r="W490" s="330"/>
      <c r="X490" s="58"/>
      <c r="Y490" s="334"/>
      <c r="Z490" s="334">
        <f t="shared" si="160"/>
        <v>0</v>
      </c>
      <c r="AA490" s="58"/>
      <c r="AB490" s="58"/>
    </row>
    <row r="491" spans="1:28" s="55" customFormat="1" ht="45">
      <c r="A491" s="36" t="s">
        <v>2174</v>
      </c>
      <c r="B491" s="20">
        <v>91864</v>
      </c>
      <c r="C491" s="19" t="s">
        <v>1663</v>
      </c>
      <c r="D491" s="21" t="s">
        <v>12</v>
      </c>
      <c r="E491" s="21" t="s">
        <v>52</v>
      </c>
      <c r="F491" s="22">
        <f>17+46</f>
        <v>63</v>
      </c>
      <c r="G491" s="22">
        <f t="shared" si="156"/>
        <v>9.1204999999999998</v>
      </c>
      <c r="H491" s="22">
        <f t="shared" ref="H491:H538" si="161">ROUND(G491*(1+$X$14),2)</f>
        <v>11.57</v>
      </c>
      <c r="I491" s="147">
        <f t="shared" ref="I491:I538" si="162">ROUND(H491*F491,2)</f>
        <v>728.91</v>
      </c>
      <c r="J491" s="148"/>
      <c r="K491" s="148"/>
      <c r="L491" s="148"/>
      <c r="M491" s="148">
        <v>10.16</v>
      </c>
      <c r="N491" s="148">
        <v>12.88</v>
      </c>
      <c r="O491" s="148">
        <v>811.44</v>
      </c>
      <c r="P491" s="494"/>
      <c r="Q491" s="148">
        <f t="shared" ref="Q491:Q546" si="163">ROUND(P491*N491,2)</f>
        <v>0</v>
      </c>
      <c r="R491" s="148"/>
      <c r="S491" s="148">
        <f t="shared" ref="S491:S538" si="164">ROUND(R491*P491,2)</f>
        <v>0</v>
      </c>
      <c r="T491" s="148">
        <f t="shared" ref="T491:T521" si="165">F491+P491-R491</f>
        <v>63</v>
      </c>
      <c r="U491" s="148">
        <f t="shared" si="138"/>
        <v>811.44</v>
      </c>
      <c r="V491" s="379"/>
      <c r="W491" s="379"/>
      <c r="X491" s="57" t="e">
        <f>IF(B491&lt;&gt;0,VLOOKUP(B491,#REF!,4,FALSE),"")</f>
        <v>#REF!</v>
      </c>
      <c r="Y491" s="334" t="s">
        <v>1836</v>
      </c>
      <c r="Z491" s="334">
        <f t="shared" si="160"/>
        <v>574.5915</v>
      </c>
      <c r="AA491" s="57"/>
      <c r="AB491" s="58" t="e">
        <f>IF(B491&lt;&gt;0,VLOOKUP(B491,#REF!,2,FALSE),"")</f>
        <v>#REF!</v>
      </c>
    </row>
    <row r="492" spans="1:28" s="55" customFormat="1" ht="45">
      <c r="A492" s="36" t="s">
        <v>2175</v>
      </c>
      <c r="B492" s="20">
        <v>91876</v>
      </c>
      <c r="C492" s="19" t="s">
        <v>1664</v>
      </c>
      <c r="D492" s="21" t="s">
        <v>12</v>
      </c>
      <c r="E492" s="21" t="s">
        <v>17</v>
      </c>
      <c r="F492" s="22">
        <f>16+2</f>
        <v>18</v>
      </c>
      <c r="G492" s="22">
        <f t="shared" si="156"/>
        <v>4.9980000000000002</v>
      </c>
      <c r="H492" s="22">
        <f t="shared" si="161"/>
        <v>6.34</v>
      </c>
      <c r="I492" s="147">
        <f t="shared" si="162"/>
        <v>114.12</v>
      </c>
      <c r="J492" s="148"/>
      <c r="K492" s="148"/>
      <c r="L492" s="148"/>
      <c r="M492" s="148">
        <v>5.57</v>
      </c>
      <c r="N492" s="148">
        <v>7.06</v>
      </c>
      <c r="O492" s="148">
        <v>127.08</v>
      </c>
      <c r="P492" s="494"/>
      <c r="Q492" s="148">
        <f t="shared" si="163"/>
        <v>0</v>
      </c>
      <c r="R492" s="148"/>
      <c r="S492" s="148">
        <f t="shared" si="164"/>
        <v>0</v>
      </c>
      <c r="T492" s="148">
        <f t="shared" si="165"/>
        <v>18</v>
      </c>
      <c r="U492" s="148">
        <f t="shared" si="138"/>
        <v>127.08</v>
      </c>
      <c r="V492" s="379"/>
      <c r="W492" s="379"/>
      <c r="X492" s="57" t="e">
        <f>IF(B492&lt;&gt;0,VLOOKUP(B492,#REF!,4,FALSE),"")</f>
        <v>#REF!</v>
      </c>
      <c r="Y492" s="334" t="s">
        <v>3191</v>
      </c>
      <c r="Z492" s="334">
        <f t="shared" si="160"/>
        <v>89.963999999999999</v>
      </c>
      <c r="AA492" s="57"/>
      <c r="AB492" s="58" t="e">
        <f>IF(B492&lt;&gt;0,VLOOKUP(B492,#REF!,2,FALSE),"")</f>
        <v>#REF!</v>
      </c>
    </row>
    <row r="493" spans="1:28" s="55" customFormat="1" ht="45">
      <c r="A493" s="36" t="s">
        <v>2176</v>
      </c>
      <c r="B493" s="20">
        <v>91873</v>
      </c>
      <c r="C493" s="19" t="s">
        <v>1665</v>
      </c>
      <c r="D493" s="21" t="s">
        <v>12</v>
      </c>
      <c r="E493" s="21" t="s">
        <v>52</v>
      </c>
      <c r="F493" s="22">
        <f>106+8</f>
        <v>114</v>
      </c>
      <c r="G493" s="22">
        <f t="shared" si="156"/>
        <v>11.8065</v>
      </c>
      <c r="H493" s="22">
        <f t="shared" si="161"/>
        <v>14.97</v>
      </c>
      <c r="I493" s="147">
        <f t="shared" si="162"/>
        <v>1706.58</v>
      </c>
      <c r="J493" s="148"/>
      <c r="K493" s="148"/>
      <c r="L493" s="148"/>
      <c r="M493" s="148">
        <v>13.15</v>
      </c>
      <c r="N493" s="148">
        <v>16.68</v>
      </c>
      <c r="O493" s="148">
        <v>1901.52</v>
      </c>
      <c r="P493" s="494"/>
      <c r="Q493" s="148">
        <f t="shared" si="163"/>
        <v>0</v>
      </c>
      <c r="R493" s="148"/>
      <c r="S493" s="148">
        <f t="shared" si="164"/>
        <v>0</v>
      </c>
      <c r="T493" s="148">
        <f t="shared" si="165"/>
        <v>114</v>
      </c>
      <c r="U493" s="148">
        <f t="shared" si="138"/>
        <v>1901.52</v>
      </c>
      <c r="V493" s="379"/>
      <c r="W493" s="379"/>
      <c r="X493" s="57" t="e">
        <f>IF(B493&lt;&gt;0,VLOOKUP(B493,#REF!,4,FALSE),"")</f>
        <v>#REF!</v>
      </c>
      <c r="Y493" s="334" t="s">
        <v>3154</v>
      </c>
      <c r="Z493" s="334">
        <f t="shared" si="160"/>
        <v>1345.941</v>
      </c>
      <c r="AA493" s="57"/>
      <c r="AB493" s="58" t="e">
        <f>IF(B493&lt;&gt;0,VLOOKUP(B493,#REF!,2,FALSE),"")</f>
        <v>#REF!</v>
      </c>
    </row>
    <row r="494" spans="1:28" s="55" customFormat="1" ht="60">
      <c r="A494" s="36" t="s">
        <v>2177</v>
      </c>
      <c r="B494" s="20">
        <v>91920</v>
      </c>
      <c r="C494" s="19" t="s">
        <v>1666</v>
      </c>
      <c r="D494" s="21" t="s">
        <v>12</v>
      </c>
      <c r="E494" s="21" t="s">
        <v>17</v>
      </c>
      <c r="F494" s="22">
        <v>9</v>
      </c>
      <c r="G494" s="22">
        <f t="shared" si="156"/>
        <v>11.942500000000001</v>
      </c>
      <c r="H494" s="22">
        <f t="shared" si="161"/>
        <v>15.14</v>
      </c>
      <c r="I494" s="147">
        <f t="shared" si="162"/>
        <v>136.26</v>
      </c>
      <c r="J494" s="148"/>
      <c r="K494" s="148"/>
      <c r="L494" s="148"/>
      <c r="M494" s="148">
        <v>13.3</v>
      </c>
      <c r="N494" s="148">
        <v>16.87</v>
      </c>
      <c r="O494" s="148">
        <v>151.83000000000001</v>
      </c>
      <c r="P494" s="494"/>
      <c r="Q494" s="148">
        <f t="shared" si="163"/>
        <v>0</v>
      </c>
      <c r="R494" s="148"/>
      <c r="S494" s="148">
        <f t="shared" si="164"/>
        <v>0</v>
      </c>
      <c r="T494" s="148">
        <f t="shared" si="165"/>
        <v>9</v>
      </c>
      <c r="U494" s="148">
        <f t="shared" si="138"/>
        <v>151.83000000000001</v>
      </c>
      <c r="V494" s="379"/>
      <c r="W494" s="379"/>
      <c r="X494" s="57" t="e">
        <f>IF(B494&lt;&gt;0,VLOOKUP(B494,#REF!,4,FALSE),"")</f>
        <v>#REF!</v>
      </c>
      <c r="Y494" s="334" t="s">
        <v>3207</v>
      </c>
      <c r="Z494" s="334">
        <f t="shared" si="160"/>
        <v>107.4825</v>
      </c>
      <c r="AA494" s="57"/>
      <c r="AB494" s="58" t="e">
        <f>IF(B494&lt;&gt;0,VLOOKUP(B494,#REF!,2,FALSE),"")</f>
        <v>#REF!</v>
      </c>
    </row>
    <row r="495" spans="1:28" s="55" customFormat="1" ht="60">
      <c r="A495" s="36" t="s">
        <v>2178</v>
      </c>
      <c r="B495" s="20">
        <v>91886</v>
      </c>
      <c r="C495" s="19" t="s">
        <v>1667</v>
      </c>
      <c r="D495" s="21" t="s">
        <v>12</v>
      </c>
      <c r="E495" s="21" t="s">
        <v>17</v>
      </c>
      <c r="F495" s="22">
        <f>36+9</f>
        <v>45</v>
      </c>
      <c r="G495" s="22">
        <f t="shared" si="156"/>
        <v>7.5565000000000007</v>
      </c>
      <c r="H495" s="22">
        <f t="shared" si="161"/>
        <v>9.58</v>
      </c>
      <c r="I495" s="147">
        <f t="shared" si="162"/>
        <v>431.1</v>
      </c>
      <c r="J495" s="148"/>
      <c r="K495" s="148"/>
      <c r="L495" s="148"/>
      <c r="M495" s="148">
        <v>8.42</v>
      </c>
      <c r="N495" s="148">
        <v>10.68</v>
      </c>
      <c r="O495" s="148">
        <v>480.6</v>
      </c>
      <c r="P495" s="494"/>
      <c r="Q495" s="148">
        <f t="shared" si="163"/>
        <v>0</v>
      </c>
      <c r="R495" s="148"/>
      <c r="S495" s="148">
        <f t="shared" si="164"/>
        <v>0</v>
      </c>
      <c r="T495" s="148">
        <f t="shared" si="165"/>
        <v>45</v>
      </c>
      <c r="U495" s="148">
        <f t="shared" si="138"/>
        <v>480.6</v>
      </c>
      <c r="V495" s="379"/>
      <c r="W495" s="379"/>
      <c r="X495" s="57" t="e">
        <f>IF(B495&lt;&gt;0,VLOOKUP(B495,#REF!,4,FALSE),"")</f>
        <v>#REF!</v>
      </c>
      <c r="Y495" s="334" t="s">
        <v>1906</v>
      </c>
      <c r="Z495" s="334">
        <f t="shared" si="160"/>
        <v>340.04250000000002</v>
      </c>
      <c r="AA495" s="57"/>
      <c r="AB495" s="58" t="e">
        <f>IF(B495&lt;&gt;0,VLOOKUP(B495,#REF!,2,FALSE),"")</f>
        <v>#REF!</v>
      </c>
    </row>
    <row r="496" spans="1:28" s="55" customFormat="1" ht="30">
      <c r="A496" s="36" t="s">
        <v>2428</v>
      </c>
      <c r="B496" s="20">
        <v>97667</v>
      </c>
      <c r="C496" s="439" t="s">
        <v>3739</v>
      </c>
      <c r="D496" s="21" t="s">
        <v>12</v>
      </c>
      <c r="E496" s="21" t="s">
        <v>52</v>
      </c>
      <c r="F496" s="22">
        <f>1597+402</f>
        <v>1999</v>
      </c>
      <c r="G496" s="22">
        <f t="shared" si="156"/>
        <v>5.8650000000000002</v>
      </c>
      <c r="H496" s="22">
        <f t="shared" si="161"/>
        <v>7.44</v>
      </c>
      <c r="I496" s="147">
        <f t="shared" si="162"/>
        <v>14872.56</v>
      </c>
      <c r="J496" s="148"/>
      <c r="K496" s="148"/>
      <c r="L496" s="148"/>
      <c r="M496" s="148">
        <v>6.53</v>
      </c>
      <c r="N496" s="148">
        <v>8.2799999999999994</v>
      </c>
      <c r="O496" s="148">
        <v>16551.72</v>
      </c>
      <c r="P496" s="494"/>
      <c r="Q496" s="148">
        <f t="shared" si="163"/>
        <v>0</v>
      </c>
      <c r="R496" s="148"/>
      <c r="S496" s="148">
        <f t="shared" si="164"/>
        <v>0</v>
      </c>
      <c r="T496" s="148">
        <f t="shared" si="165"/>
        <v>1999</v>
      </c>
      <c r="U496" s="148">
        <f t="shared" si="138"/>
        <v>16551.72</v>
      </c>
      <c r="V496" s="379"/>
      <c r="W496" s="379"/>
      <c r="X496" s="57" t="e">
        <f>IF(B496&lt;&gt;0,VLOOKUP(B496,#REF!,4,FALSE),"")</f>
        <v>#REF!</v>
      </c>
      <c r="Y496" s="334" t="s">
        <v>1848</v>
      </c>
      <c r="Z496" s="334">
        <f t="shared" si="160"/>
        <v>11724.135</v>
      </c>
      <c r="AA496" s="57"/>
      <c r="AB496" s="58" t="e">
        <f>IF(B496&lt;&gt;0,VLOOKUP(B496,#REF!,2,FALSE),"")</f>
        <v>#REF!</v>
      </c>
    </row>
    <row r="497" spans="1:28" s="55" customFormat="1" ht="30">
      <c r="A497" s="36" t="s">
        <v>2429</v>
      </c>
      <c r="B497" s="20">
        <v>93008</v>
      </c>
      <c r="C497" s="19" t="s">
        <v>196</v>
      </c>
      <c r="D497" s="21" t="s">
        <v>12</v>
      </c>
      <c r="E497" s="21" t="s">
        <v>52</v>
      </c>
      <c r="F497" s="22">
        <f>38+167+8</f>
        <v>213</v>
      </c>
      <c r="G497" s="22">
        <f t="shared" si="156"/>
        <v>9.9450000000000003</v>
      </c>
      <c r="H497" s="22">
        <f t="shared" si="161"/>
        <v>12.61</v>
      </c>
      <c r="I497" s="147">
        <f t="shared" si="162"/>
        <v>2685.93</v>
      </c>
      <c r="J497" s="148"/>
      <c r="K497" s="148"/>
      <c r="L497" s="148"/>
      <c r="M497" s="148">
        <v>11.08</v>
      </c>
      <c r="N497" s="148">
        <v>14.05</v>
      </c>
      <c r="O497" s="148">
        <v>2992.65</v>
      </c>
      <c r="P497" s="494"/>
      <c r="Q497" s="148">
        <f t="shared" si="163"/>
        <v>0</v>
      </c>
      <c r="R497" s="148"/>
      <c r="S497" s="148">
        <f t="shared" si="164"/>
        <v>0</v>
      </c>
      <c r="T497" s="148">
        <f t="shared" si="165"/>
        <v>213</v>
      </c>
      <c r="U497" s="148">
        <f t="shared" ref="U497:U560" si="166">O497+Q497-S497+L497</f>
        <v>2992.65</v>
      </c>
      <c r="V497" s="379"/>
      <c r="W497" s="379"/>
      <c r="X497" s="57" t="e">
        <f>IF(B497&lt;&gt;0,VLOOKUP(B497,#REF!,4,FALSE),"")</f>
        <v>#REF!</v>
      </c>
      <c r="Y497" s="334" t="s">
        <v>1896</v>
      </c>
      <c r="Z497" s="334">
        <f t="shared" si="160"/>
        <v>2118.2849999999999</v>
      </c>
      <c r="AA497" s="57"/>
      <c r="AB497" s="58" t="e">
        <f>IF(B497&lt;&gt;0,VLOOKUP(B497,#REF!,2,FALSE),"")</f>
        <v>#REF!</v>
      </c>
    </row>
    <row r="498" spans="1:28" s="55" customFormat="1" ht="30">
      <c r="A498" s="36" t="s">
        <v>2430</v>
      </c>
      <c r="B498" s="20">
        <v>93013</v>
      </c>
      <c r="C498" s="19" t="s">
        <v>197</v>
      </c>
      <c r="D498" s="21" t="s">
        <v>12</v>
      </c>
      <c r="E498" s="21" t="s">
        <v>17</v>
      </c>
      <c r="F498" s="22">
        <f>21+56+7</f>
        <v>84</v>
      </c>
      <c r="G498" s="22">
        <f t="shared" si="156"/>
        <v>8.6955000000000009</v>
      </c>
      <c r="H498" s="22">
        <f t="shared" si="161"/>
        <v>11.03</v>
      </c>
      <c r="I498" s="147">
        <f t="shared" si="162"/>
        <v>926.52</v>
      </c>
      <c r="J498" s="148"/>
      <c r="K498" s="148"/>
      <c r="L498" s="148"/>
      <c r="M498" s="148">
        <v>9.69</v>
      </c>
      <c r="N498" s="148">
        <v>12.29</v>
      </c>
      <c r="O498" s="148">
        <v>1032.3599999999999</v>
      </c>
      <c r="P498" s="494"/>
      <c r="Q498" s="148">
        <f t="shared" si="163"/>
        <v>0</v>
      </c>
      <c r="R498" s="148"/>
      <c r="S498" s="148">
        <f t="shared" si="164"/>
        <v>0</v>
      </c>
      <c r="T498" s="148">
        <f t="shared" si="165"/>
        <v>84</v>
      </c>
      <c r="U498" s="148">
        <f t="shared" si="166"/>
        <v>1032.3599999999999</v>
      </c>
      <c r="V498" s="379"/>
      <c r="W498" s="379"/>
      <c r="X498" s="57" t="e">
        <f>IF(B498&lt;&gt;0,VLOOKUP(B498,#REF!,4,FALSE),"")</f>
        <v>#REF!</v>
      </c>
      <c r="Y498" s="334" t="s">
        <v>1900</v>
      </c>
      <c r="Z498" s="334">
        <f t="shared" si="160"/>
        <v>730.42200000000003</v>
      </c>
      <c r="AA498" s="57"/>
      <c r="AB498" s="58" t="e">
        <f>IF(B498&lt;&gt;0,VLOOKUP(B498,#REF!,2,FALSE),"")</f>
        <v>#REF!</v>
      </c>
    </row>
    <row r="499" spans="1:28" s="55" customFormat="1" ht="60">
      <c r="A499" s="36" t="s">
        <v>2179</v>
      </c>
      <c r="B499" s="20">
        <v>93018</v>
      </c>
      <c r="C499" s="19" t="s">
        <v>1668</v>
      </c>
      <c r="D499" s="21" t="s">
        <v>12</v>
      </c>
      <c r="E499" s="21" t="s">
        <v>17</v>
      </c>
      <c r="F499" s="22">
        <v>7</v>
      </c>
      <c r="G499" s="22">
        <f t="shared" si="156"/>
        <v>13.3195</v>
      </c>
      <c r="H499" s="22">
        <f t="shared" si="161"/>
        <v>16.89</v>
      </c>
      <c r="I499" s="147">
        <f t="shared" si="162"/>
        <v>118.23</v>
      </c>
      <c r="J499" s="148"/>
      <c r="K499" s="148"/>
      <c r="L499" s="148"/>
      <c r="M499" s="148">
        <v>14.84</v>
      </c>
      <c r="N499" s="148">
        <v>18.82</v>
      </c>
      <c r="O499" s="148">
        <v>131.74</v>
      </c>
      <c r="P499" s="494"/>
      <c r="Q499" s="148">
        <f t="shared" si="163"/>
        <v>0</v>
      </c>
      <c r="R499" s="148"/>
      <c r="S499" s="148">
        <f t="shared" si="164"/>
        <v>0</v>
      </c>
      <c r="T499" s="148">
        <f t="shared" si="165"/>
        <v>7</v>
      </c>
      <c r="U499" s="148">
        <f t="shared" si="166"/>
        <v>131.74</v>
      </c>
      <c r="V499" s="379"/>
      <c r="W499" s="379"/>
      <c r="X499" s="57" t="e">
        <f>IF(B499&lt;&gt;0,VLOOKUP(B499,#REF!,4,FALSE),"")</f>
        <v>#REF!</v>
      </c>
      <c r="Y499" s="334" t="s">
        <v>3098</v>
      </c>
      <c r="Z499" s="334">
        <f t="shared" si="160"/>
        <v>93.236499999999992</v>
      </c>
      <c r="AA499" s="57"/>
      <c r="AB499" s="58" t="e">
        <f>IF(B499&lt;&gt;0,VLOOKUP(B499,#REF!,2,FALSE),"")</f>
        <v>#REF!</v>
      </c>
    </row>
    <row r="500" spans="1:28" s="55" customFormat="1" ht="30">
      <c r="A500" s="36" t="s">
        <v>2180</v>
      </c>
      <c r="B500" s="20">
        <v>97668</v>
      </c>
      <c r="C500" s="439" t="s">
        <v>3740</v>
      </c>
      <c r="D500" s="21" t="s">
        <v>12</v>
      </c>
      <c r="E500" s="21" t="s">
        <v>52</v>
      </c>
      <c r="F500" s="22">
        <v>699</v>
      </c>
      <c r="G500" s="22">
        <f t="shared" si="156"/>
        <v>8.8739999999999988</v>
      </c>
      <c r="H500" s="22">
        <f t="shared" si="161"/>
        <v>11.25</v>
      </c>
      <c r="I500" s="147">
        <f t="shared" si="162"/>
        <v>7863.75</v>
      </c>
      <c r="J500" s="148"/>
      <c r="K500" s="148"/>
      <c r="L500" s="148"/>
      <c r="M500" s="148">
        <v>9.89</v>
      </c>
      <c r="N500" s="148">
        <v>12.54</v>
      </c>
      <c r="O500" s="148">
        <v>8765.4599999999991</v>
      </c>
      <c r="P500" s="494"/>
      <c r="Q500" s="148">
        <f t="shared" si="163"/>
        <v>0</v>
      </c>
      <c r="R500" s="148"/>
      <c r="S500" s="148">
        <f t="shared" si="164"/>
        <v>0</v>
      </c>
      <c r="T500" s="148">
        <f t="shared" si="165"/>
        <v>699</v>
      </c>
      <c r="U500" s="148">
        <f t="shared" si="166"/>
        <v>8765.4599999999991</v>
      </c>
      <c r="V500" s="379"/>
      <c r="W500" s="379"/>
      <c r="X500" s="57" t="e">
        <f>IF(B500&lt;&gt;0,VLOOKUP(B500,#REF!,4,FALSE),"")</f>
        <v>#REF!</v>
      </c>
      <c r="Y500" s="334" t="s">
        <v>1897</v>
      </c>
      <c r="Z500" s="334">
        <f t="shared" si="160"/>
        <v>6202.9259999999995</v>
      </c>
      <c r="AA500" s="57"/>
      <c r="AB500" s="58" t="e">
        <f>IF(B500&lt;&gt;0,VLOOKUP(B500,#REF!,2,FALSE),"")</f>
        <v>#REF!</v>
      </c>
    </row>
    <row r="501" spans="1:28" s="55" customFormat="1" ht="30">
      <c r="A501" s="36" t="s">
        <v>2181</v>
      </c>
      <c r="B501" s="20">
        <v>93009</v>
      </c>
      <c r="C501" s="19" t="s">
        <v>1669</v>
      </c>
      <c r="D501" s="21" t="s">
        <v>12</v>
      </c>
      <c r="E501" s="21" t="s">
        <v>52</v>
      </c>
      <c r="F501" s="22">
        <f>116+14+4</f>
        <v>134</v>
      </c>
      <c r="G501" s="22">
        <f t="shared" si="156"/>
        <v>14.807000000000002</v>
      </c>
      <c r="H501" s="22">
        <f t="shared" si="161"/>
        <v>18.78</v>
      </c>
      <c r="I501" s="147">
        <f t="shared" si="162"/>
        <v>2516.52</v>
      </c>
      <c r="J501" s="148"/>
      <c r="K501" s="148"/>
      <c r="L501" s="148"/>
      <c r="M501" s="148">
        <v>16.5</v>
      </c>
      <c r="N501" s="148">
        <v>20.92</v>
      </c>
      <c r="O501" s="148">
        <v>2803.28</v>
      </c>
      <c r="P501" s="494"/>
      <c r="Q501" s="148">
        <f t="shared" si="163"/>
        <v>0</v>
      </c>
      <c r="R501" s="148"/>
      <c r="S501" s="148">
        <f t="shared" si="164"/>
        <v>0</v>
      </c>
      <c r="T501" s="148">
        <f t="shared" si="165"/>
        <v>134</v>
      </c>
      <c r="U501" s="148">
        <f t="shared" si="166"/>
        <v>2803.28</v>
      </c>
      <c r="V501" s="379"/>
      <c r="W501" s="379"/>
      <c r="X501" s="57" t="e">
        <f>IF(B501&lt;&gt;0,VLOOKUP(B501,#REF!,4,FALSE),"")</f>
        <v>#REF!</v>
      </c>
      <c r="Y501" s="334" t="s">
        <v>3221</v>
      </c>
      <c r="Z501" s="334">
        <f t="shared" si="160"/>
        <v>1984.1380000000004</v>
      </c>
      <c r="AA501" s="57"/>
      <c r="AB501" s="58" t="e">
        <f>IF(B501&lt;&gt;0,VLOOKUP(B501,#REF!,2,FALSE),"")</f>
        <v>#REF!</v>
      </c>
    </row>
    <row r="502" spans="1:28" s="55" customFormat="1" ht="45">
      <c r="A502" s="36" t="s">
        <v>2431</v>
      </c>
      <c r="B502" s="20">
        <v>93020</v>
      </c>
      <c r="C502" s="19" t="s">
        <v>1670</v>
      </c>
      <c r="D502" s="21" t="s">
        <v>12</v>
      </c>
      <c r="E502" s="21" t="s">
        <v>17</v>
      </c>
      <c r="F502" s="22">
        <f>2+39+1</f>
        <v>42</v>
      </c>
      <c r="G502" s="22">
        <f t="shared" si="156"/>
        <v>17.34</v>
      </c>
      <c r="H502" s="22">
        <f t="shared" si="161"/>
        <v>21.99</v>
      </c>
      <c r="I502" s="147">
        <f t="shared" si="162"/>
        <v>923.58</v>
      </c>
      <c r="J502" s="148"/>
      <c r="K502" s="148"/>
      <c r="L502" s="148"/>
      <c r="M502" s="148">
        <v>19.32</v>
      </c>
      <c r="N502" s="148">
        <v>24.5</v>
      </c>
      <c r="O502" s="148">
        <v>1029</v>
      </c>
      <c r="P502" s="494"/>
      <c r="Q502" s="148">
        <f t="shared" si="163"/>
        <v>0</v>
      </c>
      <c r="R502" s="148"/>
      <c r="S502" s="148">
        <f t="shared" si="164"/>
        <v>0</v>
      </c>
      <c r="T502" s="148">
        <f t="shared" si="165"/>
        <v>42</v>
      </c>
      <c r="U502" s="148">
        <f t="shared" si="166"/>
        <v>1029</v>
      </c>
      <c r="V502" s="379"/>
      <c r="W502" s="379"/>
      <c r="X502" s="57" t="e">
        <f>IF(B502&lt;&gt;0,VLOOKUP(B502,#REF!,4,FALSE),"")</f>
        <v>#REF!</v>
      </c>
      <c r="Y502" s="334" t="s">
        <v>3224</v>
      </c>
      <c r="Z502" s="334">
        <f t="shared" si="160"/>
        <v>728.28</v>
      </c>
      <c r="AA502" s="57"/>
      <c r="AB502" s="58" t="e">
        <f>IF(B502&lt;&gt;0,VLOOKUP(B502,#REF!,2,FALSE),"")</f>
        <v>#REF!</v>
      </c>
    </row>
    <row r="503" spans="1:28" s="55" customFormat="1" ht="45">
      <c r="A503" s="36" t="s">
        <v>2182</v>
      </c>
      <c r="B503" s="20">
        <v>93014</v>
      </c>
      <c r="C503" s="19" t="s">
        <v>1671</v>
      </c>
      <c r="D503" s="21" t="s">
        <v>12</v>
      </c>
      <c r="E503" s="21" t="s">
        <v>17</v>
      </c>
      <c r="F503" s="22">
        <f>9+4</f>
        <v>13</v>
      </c>
      <c r="G503" s="22">
        <f t="shared" si="156"/>
        <v>10.795</v>
      </c>
      <c r="H503" s="22">
        <f t="shared" si="161"/>
        <v>13.69</v>
      </c>
      <c r="I503" s="147">
        <f t="shared" si="162"/>
        <v>177.97</v>
      </c>
      <c r="J503" s="148"/>
      <c r="K503" s="148"/>
      <c r="L503" s="148"/>
      <c r="M503" s="148">
        <v>12.03</v>
      </c>
      <c r="N503" s="148">
        <v>15.26</v>
      </c>
      <c r="O503" s="148">
        <v>198.38</v>
      </c>
      <c r="P503" s="494"/>
      <c r="Q503" s="148">
        <f t="shared" si="163"/>
        <v>0</v>
      </c>
      <c r="R503" s="148"/>
      <c r="S503" s="148">
        <f t="shared" si="164"/>
        <v>0</v>
      </c>
      <c r="T503" s="148">
        <f t="shared" si="165"/>
        <v>13</v>
      </c>
      <c r="U503" s="148">
        <f t="shared" si="166"/>
        <v>198.38</v>
      </c>
      <c r="V503" s="379"/>
      <c r="W503" s="379"/>
      <c r="X503" s="57" t="e">
        <f>IF(B503&lt;&gt;0,VLOOKUP(B503,#REF!,4,FALSE),"")</f>
        <v>#REF!</v>
      </c>
      <c r="Y503" s="334" t="s">
        <v>3215</v>
      </c>
      <c r="Z503" s="334">
        <f t="shared" si="160"/>
        <v>140.33500000000001</v>
      </c>
      <c r="AA503" s="57"/>
      <c r="AB503" s="58" t="e">
        <f>IF(B503&lt;&gt;0,VLOOKUP(B503,#REF!,2,FALSE),"")</f>
        <v>#REF!</v>
      </c>
    </row>
    <row r="504" spans="1:28" s="55" customFormat="1" ht="45">
      <c r="A504" s="36" t="s">
        <v>2432</v>
      </c>
      <c r="B504" s="21" t="s">
        <v>2220</v>
      </c>
      <c r="C504" s="19" t="s">
        <v>1768</v>
      </c>
      <c r="D504" s="21" t="s">
        <v>1914</v>
      </c>
      <c r="E504" s="21" t="s">
        <v>52</v>
      </c>
      <c r="F504" s="22">
        <v>483</v>
      </c>
      <c r="G504" s="22">
        <f t="shared" si="156"/>
        <v>10.1745</v>
      </c>
      <c r="H504" s="22">
        <f t="shared" si="161"/>
        <v>12.9</v>
      </c>
      <c r="I504" s="147">
        <f t="shared" si="162"/>
        <v>6230.7</v>
      </c>
      <c r="J504" s="148"/>
      <c r="K504" s="148"/>
      <c r="L504" s="148"/>
      <c r="M504" s="148">
        <v>11.33</v>
      </c>
      <c r="N504" s="148">
        <v>14.37</v>
      </c>
      <c r="O504" s="148">
        <v>6940.71</v>
      </c>
      <c r="P504" s="494"/>
      <c r="Q504" s="148">
        <f t="shared" si="163"/>
        <v>0</v>
      </c>
      <c r="R504" s="148"/>
      <c r="S504" s="148">
        <f t="shared" si="164"/>
        <v>0</v>
      </c>
      <c r="T504" s="148">
        <f t="shared" si="165"/>
        <v>483</v>
      </c>
      <c r="U504" s="148">
        <f t="shared" si="166"/>
        <v>6940.71</v>
      </c>
      <c r="V504" s="379"/>
      <c r="W504" s="379"/>
      <c r="X504" s="57">
        <f>'COMPOSIÇÃO DE CUSTOS'!G1025</f>
        <v>10.18</v>
      </c>
      <c r="Y504" s="334">
        <v>11.97</v>
      </c>
      <c r="Z504" s="334">
        <f t="shared" si="160"/>
        <v>4914.2835000000005</v>
      </c>
      <c r="AA504" s="57"/>
      <c r="AB504" s="58"/>
    </row>
    <row r="505" spans="1:28" s="55" customFormat="1" ht="30">
      <c r="A505" s="36" t="s">
        <v>2433</v>
      </c>
      <c r="B505" s="20">
        <v>93010</v>
      </c>
      <c r="C505" s="19" t="s">
        <v>1672</v>
      </c>
      <c r="D505" s="21" t="s">
        <v>12</v>
      </c>
      <c r="E505" s="21" t="s">
        <v>52</v>
      </c>
      <c r="F505" s="22">
        <v>120</v>
      </c>
      <c r="G505" s="22">
        <f t="shared" si="156"/>
        <v>20.672000000000001</v>
      </c>
      <c r="H505" s="22">
        <f t="shared" si="161"/>
        <v>26.21</v>
      </c>
      <c r="I505" s="147">
        <f t="shared" si="162"/>
        <v>3145.2</v>
      </c>
      <c r="J505" s="148"/>
      <c r="K505" s="148"/>
      <c r="L505" s="148"/>
      <c r="M505" s="148">
        <v>23.03</v>
      </c>
      <c r="N505" s="148">
        <v>29.2</v>
      </c>
      <c r="O505" s="148">
        <v>3504</v>
      </c>
      <c r="P505" s="494"/>
      <c r="Q505" s="148">
        <f t="shared" si="163"/>
        <v>0</v>
      </c>
      <c r="R505" s="148"/>
      <c r="S505" s="148">
        <f t="shared" si="164"/>
        <v>0</v>
      </c>
      <c r="T505" s="148">
        <f t="shared" si="165"/>
        <v>120</v>
      </c>
      <c r="U505" s="148">
        <f t="shared" si="166"/>
        <v>3504</v>
      </c>
      <c r="V505" s="379"/>
      <c r="W505" s="379"/>
      <c r="X505" s="57" t="e">
        <f>IF(B505&lt;&gt;0,VLOOKUP(B505,#REF!,4,FALSE),"")</f>
        <v>#REF!</v>
      </c>
      <c r="Y505" s="334" t="s">
        <v>3205</v>
      </c>
      <c r="Z505" s="334">
        <f t="shared" si="160"/>
        <v>2480.64</v>
      </c>
      <c r="AA505" s="57"/>
      <c r="AB505" s="58" t="e">
        <f>IF(B505&lt;&gt;0,VLOOKUP(B505,#REF!,2,FALSE),"")</f>
        <v>#REF!</v>
      </c>
    </row>
    <row r="506" spans="1:28" s="55" customFormat="1" ht="30">
      <c r="A506" s="36" t="s">
        <v>2434</v>
      </c>
      <c r="B506" s="20">
        <v>93015</v>
      </c>
      <c r="C506" s="19" t="s">
        <v>1673</v>
      </c>
      <c r="D506" s="21" t="s">
        <v>12</v>
      </c>
      <c r="E506" s="21" t="s">
        <v>17</v>
      </c>
      <c r="F506" s="22">
        <v>40</v>
      </c>
      <c r="G506" s="22">
        <f t="shared" si="156"/>
        <v>16.804500000000001</v>
      </c>
      <c r="H506" s="22">
        <f t="shared" si="161"/>
        <v>21.31</v>
      </c>
      <c r="I506" s="147">
        <f t="shared" si="162"/>
        <v>852.4</v>
      </c>
      <c r="J506" s="148"/>
      <c r="K506" s="148"/>
      <c r="L506" s="148"/>
      <c r="M506" s="148">
        <v>18.72</v>
      </c>
      <c r="N506" s="148">
        <v>23.74</v>
      </c>
      <c r="O506" s="148">
        <v>949.6</v>
      </c>
      <c r="P506" s="494"/>
      <c r="Q506" s="148">
        <f t="shared" si="163"/>
        <v>0</v>
      </c>
      <c r="R506" s="148"/>
      <c r="S506" s="148">
        <f t="shared" si="164"/>
        <v>0</v>
      </c>
      <c r="T506" s="148">
        <f t="shared" si="165"/>
        <v>40</v>
      </c>
      <c r="U506" s="148">
        <f t="shared" si="166"/>
        <v>949.6</v>
      </c>
      <c r="V506" s="379"/>
      <c r="W506" s="379"/>
      <c r="X506" s="57" t="e">
        <f>IF(B506&lt;&gt;0,VLOOKUP(B506,#REF!,4,FALSE),"")</f>
        <v>#REF!</v>
      </c>
      <c r="Y506" s="334" t="s">
        <v>3182</v>
      </c>
      <c r="Z506" s="334">
        <f t="shared" si="160"/>
        <v>672.18000000000006</v>
      </c>
      <c r="AA506" s="57"/>
      <c r="AB506" s="58" t="e">
        <f>IF(B506&lt;&gt;0,VLOOKUP(B506,#REF!,2,FALSE),"")</f>
        <v>#REF!</v>
      </c>
    </row>
    <row r="507" spans="1:28" s="55" customFormat="1" ht="30">
      <c r="A507" s="36" t="s">
        <v>2435</v>
      </c>
      <c r="B507" s="20">
        <v>97669</v>
      </c>
      <c r="C507" s="19" t="s">
        <v>3741</v>
      </c>
      <c r="D507" s="21" t="s">
        <v>12</v>
      </c>
      <c r="E507" s="21" t="s">
        <v>52</v>
      </c>
      <c r="F507" s="22">
        <v>344</v>
      </c>
      <c r="G507" s="22">
        <f t="shared" si="156"/>
        <v>13.753</v>
      </c>
      <c r="H507" s="22">
        <f t="shared" si="161"/>
        <v>17.440000000000001</v>
      </c>
      <c r="I507" s="147">
        <f t="shared" si="162"/>
        <v>5999.36</v>
      </c>
      <c r="J507" s="148"/>
      <c r="K507" s="148"/>
      <c r="L507" s="148"/>
      <c r="M507" s="148">
        <v>15.32</v>
      </c>
      <c r="N507" s="148">
        <v>19.43</v>
      </c>
      <c r="O507" s="148">
        <v>6683.92</v>
      </c>
      <c r="P507" s="494"/>
      <c r="Q507" s="148">
        <f t="shared" si="163"/>
        <v>0</v>
      </c>
      <c r="R507" s="148"/>
      <c r="S507" s="148">
        <f t="shared" si="164"/>
        <v>0</v>
      </c>
      <c r="T507" s="148">
        <f t="shared" si="165"/>
        <v>344</v>
      </c>
      <c r="U507" s="148">
        <f t="shared" si="166"/>
        <v>6683.92</v>
      </c>
      <c r="V507" s="379"/>
      <c r="W507" s="379"/>
      <c r="X507" s="57" t="e">
        <f>IF(B507&lt;&gt;0,VLOOKUP(B507,#REF!,4,FALSE),"")</f>
        <v>#REF!</v>
      </c>
      <c r="Y507" s="334" t="s">
        <v>3120</v>
      </c>
      <c r="Z507" s="334">
        <f t="shared" si="160"/>
        <v>4731.0320000000002</v>
      </c>
      <c r="AA507" s="57"/>
      <c r="AB507" s="58" t="e">
        <f>IF(B507&lt;&gt;0,VLOOKUP(B507,#REF!,2,FALSE),"")</f>
        <v>#REF!</v>
      </c>
    </row>
    <row r="508" spans="1:28" s="55" customFormat="1" ht="45">
      <c r="A508" s="36" t="s">
        <v>2183</v>
      </c>
      <c r="B508" s="20">
        <v>93011</v>
      </c>
      <c r="C508" s="19" t="s">
        <v>1674</v>
      </c>
      <c r="D508" s="21" t="s">
        <v>12</v>
      </c>
      <c r="E508" s="21" t="s">
        <v>52</v>
      </c>
      <c r="F508" s="22">
        <f>11+42</f>
        <v>53</v>
      </c>
      <c r="G508" s="22">
        <f t="shared" si="156"/>
        <v>25.3215</v>
      </c>
      <c r="H508" s="22">
        <f t="shared" si="161"/>
        <v>32.11</v>
      </c>
      <c r="I508" s="147">
        <f t="shared" si="162"/>
        <v>1701.83</v>
      </c>
      <c r="J508" s="148"/>
      <c r="K508" s="148"/>
      <c r="L508" s="148"/>
      <c r="M508" s="148">
        <v>28.21</v>
      </c>
      <c r="N508" s="148">
        <v>35.770000000000003</v>
      </c>
      <c r="O508" s="148">
        <v>1895.81</v>
      </c>
      <c r="P508" s="494"/>
      <c r="Q508" s="148">
        <f t="shared" si="163"/>
        <v>0</v>
      </c>
      <c r="R508" s="148"/>
      <c r="S508" s="148">
        <f t="shared" si="164"/>
        <v>0</v>
      </c>
      <c r="T508" s="148">
        <f t="shared" si="165"/>
        <v>53</v>
      </c>
      <c r="U508" s="148">
        <f t="shared" si="166"/>
        <v>1895.81</v>
      </c>
      <c r="V508" s="379"/>
      <c r="W508" s="379"/>
      <c r="X508" s="57" t="e">
        <f>IF(B508&lt;&gt;0,VLOOKUP(B508,#REF!,4,FALSE),"")</f>
        <v>#REF!</v>
      </c>
      <c r="Y508" s="334" t="s">
        <v>3172</v>
      </c>
      <c r="Z508" s="334">
        <f t="shared" si="160"/>
        <v>1342.0395000000001</v>
      </c>
      <c r="AA508" s="57"/>
      <c r="AB508" s="58" t="e">
        <f>IF(B508&lt;&gt;0,VLOOKUP(B508,#REF!,2,FALSE),"")</f>
        <v>#REF!</v>
      </c>
    </row>
    <row r="509" spans="1:28" s="23" customFormat="1" ht="60">
      <c r="A509" s="36" t="s">
        <v>2184</v>
      </c>
      <c r="B509" s="20">
        <v>93024</v>
      </c>
      <c r="C509" s="19" t="s">
        <v>1675</v>
      </c>
      <c r="D509" s="21" t="s">
        <v>12</v>
      </c>
      <c r="E509" s="21" t="s">
        <v>17</v>
      </c>
      <c r="F509" s="22">
        <f>4+11</f>
        <v>15</v>
      </c>
      <c r="G509" s="22">
        <f t="shared" si="156"/>
        <v>31.382000000000001</v>
      </c>
      <c r="H509" s="22">
        <f t="shared" si="161"/>
        <v>39.799999999999997</v>
      </c>
      <c r="I509" s="147">
        <f t="shared" si="162"/>
        <v>597</v>
      </c>
      <c r="J509" s="148"/>
      <c r="K509" s="148"/>
      <c r="L509" s="148"/>
      <c r="M509" s="148">
        <v>34.96</v>
      </c>
      <c r="N509" s="148">
        <v>44.33</v>
      </c>
      <c r="O509" s="148">
        <v>664.95</v>
      </c>
      <c r="P509" s="494"/>
      <c r="Q509" s="148">
        <f t="shared" si="163"/>
        <v>0</v>
      </c>
      <c r="R509" s="148"/>
      <c r="S509" s="148">
        <f t="shared" si="164"/>
        <v>0</v>
      </c>
      <c r="T509" s="148">
        <f t="shared" si="165"/>
        <v>15</v>
      </c>
      <c r="U509" s="148">
        <f t="shared" si="166"/>
        <v>664.95</v>
      </c>
      <c r="V509" s="379"/>
      <c r="W509" s="379"/>
      <c r="X509" s="31" t="e">
        <f>IF(B509&lt;&gt;0,VLOOKUP(B509,#REF!,4,FALSE),"")</f>
        <v>#REF!</v>
      </c>
      <c r="Y509" s="346" t="s">
        <v>3225</v>
      </c>
      <c r="Z509" s="334">
        <f t="shared" si="160"/>
        <v>470.73</v>
      </c>
      <c r="AA509" s="31"/>
      <c r="AB509" s="32" t="e">
        <f>IF(B509&lt;&gt;0,VLOOKUP(B509,#REF!,2,FALSE),"")</f>
        <v>#REF!</v>
      </c>
    </row>
    <row r="510" spans="1:28" s="23" customFormat="1" ht="45">
      <c r="A510" s="36" t="s">
        <v>2185</v>
      </c>
      <c r="B510" s="20">
        <v>93016</v>
      </c>
      <c r="C510" s="19" t="s">
        <v>1676</v>
      </c>
      <c r="D510" s="21" t="s">
        <v>12</v>
      </c>
      <c r="E510" s="21" t="s">
        <v>17</v>
      </c>
      <c r="F510" s="22">
        <f>12+21</f>
        <v>33</v>
      </c>
      <c r="G510" s="22">
        <f t="shared" si="156"/>
        <v>20.6295</v>
      </c>
      <c r="H510" s="22">
        <f t="shared" si="161"/>
        <v>26.16</v>
      </c>
      <c r="I510" s="147">
        <f t="shared" si="162"/>
        <v>863.28</v>
      </c>
      <c r="J510" s="148"/>
      <c r="K510" s="148"/>
      <c r="L510" s="148"/>
      <c r="M510" s="148">
        <v>22.98</v>
      </c>
      <c r="N510" s="148">
        <v>29.14</v>
      </c>
      <c r="O510" s="148">
        <v>961.62</v>
      </c>
      <c r="P510" s="494"/>
      <c r="Q510" s="148">
        <f t="shared" si="163"/>
        <v>0</v>
      </c>
      <c r="R510" s="148"/>
      <c r="S510" s="148">
        <f t="shared" si="164"/>
        <v>0</v>
      </c>
      <c r="T510" s="148">
        <f t="shared" si="165"/>
        <v>33</v>
      </c>
      <c r="U510" s="148">
        <f t="shared" si="166"/>
        <v>961.62</v>
      </c>
      <c r="V510" s="379"/>
      <c r="W510" s="379"/>
      <c r="X510" s="31" t="e">
        <f>IF(B510&lt;&gt;0,VLOOKUP(B510,#REF!,4,FALSE),"")</f>
        <v>#REF!</v>
      </c>
      <c r="Y510" s="346" t="s">
        <v>2645</v>
      </c>
      <c r="Z510" s="334">
        <f t="shared" si="160"/>
        <v>680.77350000000001</v>
      </c>
      <c r="AA510" s="31"/>
      <c r="AB510" s="32" t="e">
        <f>IF(B510&lt;&gt;0,VLOOKUP(B510,#REF!,2,FALSE),"")</f>
        <v>#REF!</v>
      </c>
    </row>
    <row r="511" spans="1:28" s="23" customFormat="1" ht="30">
      <c r="A511" s="36" t="s">
        <v>2436</v>
      </c>
      <c r="B511" s="20">
        <v>97670</v>
      </c>
      <c r="C511" s="439" t="s">
        <v>3742</v>
      </c>
      <c r="D511" s="21" t="s">
        <v>12</v>
      </c>
      <c r="E511" s="21" t="s">
        <v>52</v>
      </c>
      <c r="F511" s="22">
        <v>325</v>
      </c>
      <c r="G511" s="22">
        <f t="shared" si="156"/>
        <v>18.003</v>
      </c>
      <c r="H511" s="22">
        <f t="shared" si="161"/>
        <v>22.83</v>
      </c>
      <c r="I511" s="147">
        <f t="shared" si="162"/>
        <v>7419.75</v>
      </c>
      <c r="J511" s="148"/>
      <c r="K511" s="148"/>
      <c r="L511" s="148"/>
      <c r="M511" s="148">
        <v>20.059999999999999</v>
      </c>
      <c r="N511" s="148">
        <v>25.44</v>
      </c>
      <c r="O511" s="148">
        <v>8268</v>
      </c>
      <c r="P511" s="494"/>
      <c r="Q511" s="148">
        <f t="shared" si="163"/>
        <v>0</v>
      </c>
      <c r="R511" s="148"/>
      <c r="S511" s="148">
        <f t="shared" si="164"/>
        <v>0</v>
      </c>
      <c r="T511" s="148">
        <f t="shared" si="165"/>
        <v>325</v>
      </c>
      <c r="U511" s="148">
        <f t="shared" si="166"/>
        <v>8268</v>
      </c>
      <c r="V511" s="379"/>
      <c r="W511" s="379"/>
      <c r="X511" s="31" t="e">
        <f>IF(B511&lt;&gt;0,VLOOKUP(B511,#REF!,4,FALSE),"")</f>
        <v>#REF!</v>
      </c>
      <c r="Y511" s="346" t="s">
        <v>1873</v>
      </c>
      <c r="Z511" s="334">
        <f t="shared" si="160"/>
        <v>5850.9750000000004</v>
      </c>
      <c r="AA511" s="31"/>
      <c r="AB511" s="32" t="e">
        <f>IF(B511&lt;&gt;0,VLOOKUP(B511,#REF!,2,FALSE),"")</f>
        <v>#REF!</v>
      </c>
    </row>
    <row r="512" spans="1:28" ht="30">
      <c r="A512" s="36" t="s">
        <v>2437</v>
      </c>
      <c r="B512" s="20">
        <v>93012</v>
      </c>
      <c r="C512" s="19" t="s">
        <v>1677</v>
      </c>
      <c r="D512" s="21" t="s">
        <v>12</v>
      </c>
      <c r="E512" s="21" t="s">
        <v>52</v>
      </c>
      <c r="F512" s="22">
        <v>89</v>
      </c>
      <c r="G512" s="22">
        <f t="shared" si="156"/>
        <v>38.385999999999996</v>
      </c>
      <c r="H512" s="22">
        <f t="shared" si="161"/>
        <v>48.68</v>
      </c>
      <c r="I512" s="147">
        <f t="shared" si="162"/>
        <v>4332.5200000000004</v>
      </c>
      <c r="J512" s="148"/>
      <c r="K512" s="148"/>
      <c r="L512" s="148"/>
      <c r="M512" s="148">
        <v>42.76</v>
      </c>
      <c r="N512" s="148">
        <v>54.22</v>
      </c>
      <c r="O512" s="148">
        <v>4825.58</v>
      </c>
      <c r="P512" s="494"/>
      <c r="Q512" s="148">
        <f t="shared" si="163"/>
        <v>0</v>
      </c>
      <c r="R512" s="148"/>
      <c r="S512" s="148">
        <f t="shared" si="164"/>
        <v>0</v>
      </c>
      <c r="T512" s="148">
        <f t="shared" si="165"/>
        <v>89</v>
      </c>
      <c r="U512" s="148">
        <f t="shared" si="166"/>
        <v>4825.58</v>
      </c>
      <c r="V512" s="379"/>
      <c r="W512" s="379"/>
      <c r="X512" s="31" t="e">
        <f>IF(B512&lt;&gt;0,VLOOKUP(B512,#REF!,4,FALSE),"")</f>
        <v>#REF!</v>
      </c>
      <c r="Y512" s="346" t="s">
        <v>3206</v>
      </c>
      <c r="Z512" s="334">
        <f t="shared" si="160"/>
        <v>3416.3539999999998</v>
      </c>
      <c r="AA512" s="31"/>
      <c r="AB512" s="32" t="e">
        <f>IF(B512&lt;&gt;0,VLOOKUP(B512,#REF!,2,FALSE),"")</f>
        <v>#REF!</v>
      </c>
    </row>
    <row r="513" spans="1:28" ht="30">
      <c r="A513" s="36" t="s">
        <v>2186</v>
      </c>
      <c r="B513" s="20">
        <v>93017</v>
      </c>
      <c r="C513" s="19" t="s">
        <v>1678</v>
      </c>
      <c r="D513" s="21" t="s">
        <v>12</v>
      </c>
      <c r="E513" s="21" t="s">
        <v>17</v>
      </c>
      <c r="F513" s="22">
        <v>109</v>
      </c>
      <c r="G513" s="22">
        <f t="shared" si="156"/>
        <v>31.501000000000001</v>
      </c>
      <c r="H513" s="22">
        <f t="shared" si="161"/>
        <v>39.950000000000003</v>
      </c>
      <c r="I513" s="147">
        <f t="shared" si="162"/>
        <v>4354.55</v>
      </c>
      <c r="J513" s="148"/>
      <c r="K513" s="148"/>
      <c r="L513" s="148"/>
      <c r="M513" s="148">
        <v>35.090000000000003</v>
      </c>
      <c r="N513" s="148">
        <v>44.5</v>
      </c>
      <c r="O513" s="148">
        <v>4850.5</v>
      </c>
      <c r="P513" s="494"/>
      <c r="Q513" s="148">
        <f t="shared" si="163"/>
        <v>0</v>
      </c>
      <c r="R513" s="148"/>
      <c r="S513" s="148">
        <f t="shared" si="164"/>
        <v>0</v>
      </c>
      <c r="T513" s="148">
        <f t="shared" si="165"/>
        <v>109</v>
      </c>
      <c r="U513" s="148">
        <f t="shared" si="166"/>
        <v>4850.5</v>
      </c>
      <c r="V513" s="379"/>
      <c r="W513" s="379"/>
      <c r="X513" s="31" t="e">
        <f>IF(B513&lt;&gt;0,VLOOKUP(B513,#REF!,4,FALSE),"")</f>
        <v>#REF!</v>
      </c>
      <c r="Y513" s="346" t="s">
        <v>3223</v>
      </c>
      <c r="Z513" s="334">
        <f t="shared" si="160"/>
        <v>3433.6089999999999</v>
      </c>
      <c r="AA513" s="31"/>
      <c r="AB513" s="32" t="e">
        <f>IF(B513&lt;&gt;0,VLOOKUP(B513,#REF!,2,FALSE),"")</f>
        <v>#REF!</v>
      </c>
    </row>
    <row r="514" spans="1:28" s="55" customFormat="1" ht="30">
      <c r="A514" s="36" t="s">
        <v>2438</v>
      </c>
      <c r="B514" s="20">
        <v>749</v>
      </c>
      <c r="C514" s="19" t="s">
        <v>198</v>
      </c>
      <c r="D514" s="21" t="s">
        <v>44</v>
      </c>
      <c r="E514" s="21" t="s">
        <v>17</v>
      </c>
      <c r="F514" s="22">
        <v>1</v>
      </c>
      <c r="G514" s="22">
        <f t="shared" si="156"/>
        <v>55.385999999999996</v>
      </c>
      <c r="H514" s="22">
        <f t="shared" si="161"/>
        <v>70.23</v>
      </c>
      <c r="I514" s="147">
        <f t="shared" si="162"/>
        <v>70.23</v>
      </c>
      <c r="J514" s="148"/>
      <c r="K514" s="148"/>
      <c r="L514" s="148"/>
      <c r="M514" s="148">
        <v>61.7</v>
      </c>
      <c r="N514" s="148">
        <v>78.239999999999995</v>
      </c>
      <c r="O514" s="148">
        <v>78.239999999999995</v>
      </c>
      <c r="P514" s="494"/>
      <c r="Q514" s="148">
        <f t="shared" si="163"/>
        <v>0</v>
      </c>
      <c r="R514" s="148"/>
      <c r="S514" s="148">
        <f t="shared" si="164"/>
        <v>0</v>
      </c>
      <c r="T514" s="148">
        <f t="shared" si="165"/>
        <v>1</v>
      </c>
      <c r="U514" s="148">
        <f t="shared" si="166"/>
        <v>78.239999999999995</v>
      </c>
      <c r="V514" s="379"/>
      <c r="W514" s="379"/>
      <c r="X514" s="57">
        <f>'COMPOSIÇÃO DE CUSTOS'!G1032</f>
        <v>55.39</v>
      </c>
      <c r="Y514" s="334">
        <v>65.16</v>
      </c>
      <c r="Z514" s="334">
        <f t="shared" si="160"/>
        <v>55.385999999999996</v>
      </c>
      <c r="AA514" s="57"/>
      <c r="AB514" s="58"/>
    </row>
    <row r="515" spans="1:28" s="55" customFormat="1" ht="30">
      <c r="A515" s="36" t="s">
        <v>2439</v>
      </c>
      <c r="B515" s="20">
        <v>11286</v>
      </c>
      <c r="C515" s="19" t="s">
        <v>199</v>
      </c>
      <c r="D515" s="21" t="s">
        <v>44</v>
      </c>
      <c r="E515" s="21" t="s">
        <v>17</v>
      </c>
      <c r="F515" s="22">
        <v>1</v>
      </c>
      <c r="G515" s="22">
        <f t="shared" si="156"/>
        <v>63.231499999999997</v>
      </c>
      <c r="H515" s="22">
        <f t="shared" si="161"/>
        <v>80.180000000000007</v>
      </c>
      <c r="I515" s="147">
        <f t="shared" si="162"/>
        <v>80.180000000000007</v>
      </c>
      <c r="J515" s="148"/>
      <c r="K515" s="148"/>
      <c r="L515" s="148"/>
      <c r="M515" s="148">
        <v>70.44</v>
      </c>
      <c r="N515" s="148">
        <v>89.32</v>
      </c>
      <c r="O515" s="148">
        <v>89.32</v>
      </c>
      <c r="P515" s="494"/>
      <c r="Q515" s="148">
        <f t="shared" si="163"/>
        <v>0</v>
      </c>
      <c r="R515" s="148"/>
      <c r="S515" s="148">
        <f t="shared" si="164"/>
        <v>0</v>
      </c>
      <c r="T515" s="148">
        <f t="shared" si="165"/>
        <v>1</v>
      </c>
      <c r="U515" s="148">
        <f t="shared" si="166"/>
        <v>89.32</v>
      </c>
      <c r="V515" s="379"/>
      <c r="W515" s="379"/>
      <c r="X515" s="57">
        <f>'COMPOSIÇÃO DE CUSTOS'!G1039</f>
        <v>63.23</v>
      </c>
      <c r="Y515" s="334">
        <v>74.39</v>
      </c>
      <c r="Z515" s="334">
        <f t="shared" si="160"/>
        <v>63.231499999999997</v>
      </c>
      <c r="AA515" s="57"/>
      <c r="AB515" s="58"/>
    </row>
    <row r="516" spans="1:28" s="55" customFormat="1" ht="30">
      <c r="A516" s="36" t="s">
        <v>2440</v>
      </c>
      <c r="B516" s="20">
        <v>11522</v>
      </c>
      <c r="C516" s="19" t="s">
        <v>200</v>
      </c>
      <c r="D516" s="21" t="s">
        <v>44</v>
      </c>
      <c r="E516" s="21" t="s">
        <v>17</v>
      </c>
      <c r="F516" s="22">
        <v>4</v>
      </c>
      <c r="G516" s="22">
        <f t="shared" si="156"/>
        <v>28.814999999999998</v>
      </c>
      <c r="H516" s="22">
        <f t="shared" si="161"/>
        <v>36.54</v>
      </c>
      <c r="I516" s="147">
        <f t="shared" si="162"/>
        <v>146.16</v>
      </c>
      <c r="J516" s="148"/>
      <c r="K516" s="148"/>
      <c r="L516" s="148"/>
      <c r="M516" s="148">
        <v>32.1</v>
      </c>
      <c r="N516" s="148">
        <v>40.71</v>
      </c>
      <c r="O516" s="148">
        <v>162.84</v>
      </c>
      <c r="P516" s="494"/>
      <c r="Q516" s="148">
        <f t="shared" si="163"/>
        <v>0</v>
      </c>
      <c r="R516" s="148"/>
      <c r="S516" s="148">
        <f t="shared" si="164"/>
        <v>0</v>
      </c>
      <c r="T516" s="148">
        <f t="shared" si="165"/>
        <v>4</v>
      </c>
      <c r="U516" s="148">
        <f t="shared" si="166"/>
        <v>162.84</v>
      </c>
      <c r="V516" s="379"/>
      <c r="W516" s="379"/>
      <c r="X516" s="57">
        <f>'COMPOSIÇÃO DE CUSTOS'!G1046</f>
        <v>28.81</v>
      </c>
      <c r="Y516" s="334">
        <v>33.9</v>
      </c>
      <c r="Z516" s="334">
        <f t="shared" si="160"/>
        <v>115.25999999999999</v>
      </c>
      <c r="AA516" s="57"/>
      <c r="AB516" s="58"/>
    </row>
    <row r="517" spans="1:28" s="55" customFormat="1" ht="30">
      <c r="A517" s="36" t="s">
        <v>2187</v>
      </c>
      <c r="B517" s="20">
        <v>748</v>
      </c>
      <c r="C517" s="19" t="s">
        <v>201</v>
      </c>
      <c r="D517" s="21" t="s">
        <v>44</v>
      </c>
      <c r="E517" s="21" t="s">
        <v>17</v>
      </c>
      <c r="F517" s="22">
        <v>17</v>
      </c>
      <c r="G517" s="22">
        <f t="shared" si="156"/>
        <v>70.473500000000001</v>
      </c>
      <c r="H517" s="22">
        <f t="shared" si="161"/>
        <v>89.37</v>
      </c>
      <c r="I517" s="147">
        <f t="shared" si="162"/>
        <v>1519.29</v>
      </c>
      <c r="J517" s="148"/>
      <c r="K517" s="148"/>
      <c r="L517" s="148"/>
      <c r="M517" s="148">
        <v>78.510000000000005</v>
      </c>
      <c r="N517" s="148">
        <v>99.56</v>
      </c>
      <c r="O517" s="148">
        <v>1692.52</v>
      </c>
      <c r="P517" s="494"/>
      <c r="Q517" s="148">
        <f t="shared" si="163"/>
        <v>0</v>
      </c>
      <c r="R517" s="148"/>
      <c r="S517" s="148">
        <f t="shared" si="164"/>
        <v>0</v>
      </c>
      <c r="T517" s="148">
        <f t="shared" si="165"/>
        <v>17</v>
      </c>
      <c r="U517" s="148">
        <f t="shared" si="166"/>
        <v>1692.52</v>
      </c>
      <c r="V517" s="379"/>
      <c r="W517" s="379"/>
      <c r="X517" s="57">
        <f>'COMPOSIÇÃO DE CUSTOS'!G1053</f>
        <v>70.47</v>
      </c>
      <c r="Y517" s="334">
        <v>82.91</v>
      </c>
      <c r="Z517" s="334">
        <f t="shared" si="160"/>
        <v>1198.0495000000001</v>
      </c>
      <c r="AA517" s="57"/>
      <c r="AB517" s="58"/>
    </row>
    <row r="518" spans="1:28" s="55" customFormat="1" ht="30">
      <c r="A518" s="36" t="s">
        <v>2188</v>
      </c>
      <c r="B518" s="20">
        <v>11290</v>
      </c>
      <c r="C518" s="19" t="s">
        <v>202</v>
      </c>
      <c r="D518" s="21" t="s">
        <v>44</v>
      </c>
      <c r="E518" s="21" t="s">
        <v>17</v>
      </c>
      <c r="F518" s="22">
        <v>5</v>
      </c>
      <c r="G518" s="22">
        <f t="shared" si="156"/>
        <v>49.835500000000003</v>
      </c>
      <c r="H518" s="22">
        <f t="shared" si="161"/>
        <v>63.2</v>
      </c>
      <c r="I518" s="147">
        <f t="shared" si="162"/>
        <v>316</v>
      </c>
      <c r="J518" s="148"/>
      <c r="K518" s="148"/>
      <c r="L518" s="148"/>
      <c r="M518" s="148">
        <v>55.52</v>
      </c>
      <c r="N518" s="148">
        <v>70.400000000000006</v>
      </c>
      <c r="O518" s="148">
        <v>352</v>
      </c>
      <c r="P518" s="494"/>
      <c r="Q518" s="148">
        <f t="shared" si="163"/>
        <v>0</v>
      </c>
      <c r="R518" s="148"/>
      <c r="S518" s="148">
        <f t="shared" si="164"/>
        <v>0</v>
      </c>
      <c r="T518" s="148">
        <f t="shared" si="165"/>
        <v>5</v>
      </c>
      <c r="U518" s="148">
        <f t="shared" si="166"/>
        <v>352</v>
      </c>
      <c r="V518" s="379"/>
      <c r="W518" s="379"/>
      <c r="X518" s="57">
        <f>'COMPOSIÇÃO DE CUSTOS'!G1060</f>
        <v>49.83</v>
      </c>
      <c r="Y518" s="334">
        <v>58.63</v>
      </c>
      <c r="Z518" s="334">
        <f t="shared" si="160"/>
        <v>249.17750000000001</v>
      </c>
      <c r="AA518" s="57"/>
      <c r="AB518" s="58"/>
    </row>
    <row r="519" spans="1:28" s="55" customFormat="1" ht="30">
      <c r="A519" s="36" t="s">
        <v>2189</v>
      </c>
      <c r="B519" s="20">
        <v>11548</v>
      </c>
      <c r="C519" s="19" t="s">
        <v>1755</v>
      </c>
      <c r="D519" s="21" t="s">
        <v>44</v>
      </c>
      <c r="E519" s="21" t="s">
        <v>17</v>
      </c>
      <c r="F519" s="22">
        <v>1</v>
      </c>
      <c r="G519" s="22">
        <f t="shared" si="156"/>
        <v>39.967000000000006</v>
      </c>
      <c r="H519" s="22">
        <f t="shared" si="161"/>
        <v>50.68</v>
      </c>
      <c r="I519" s="147">
        <f t="shared" si="162"/>
        <v>50.68</v>
      </c>
      <c r="J519" s="148"/>
      <c r="K519" s="148"/>
      <c r="L519" s="148"/>
      <c r="M519" s="148">
        <v>44.52</v>
      </c>
      <c r="N519" s="148">
        <v>56.46</v>
      </c>
      <c r="O519" s="148">
        <v>56.46</v>
      </c>
      <c r="P519" s="494"/>
      <c r="Q519" s="148">
        <f t="shared" si="163"/>
        <v>0</v>
      </c>
      <c r="R519" s="148"/>
      <c r="S519" s="148">
        <f t="shared" si="164"/>
        <v>0</v>
      </c>
      <c r="T519" s="148">
        <f t="shared" si="165"/>
        <v>1</v>
      </c>
      <c r="U519" s="148">
        <f t="shared" si="166"/>
        <v>56.46</v>
      </c>
      <c r="V519" s="379"/>
      <c r="W519" s="379"/>
      <c r="X519" s="57">
        <f>'COMPOSIÇÃO DE CUSTOS'!G1067</f>
        <v>39.96</v>
      </c>
      <c r="Y519" s="334">
        <v>47.02</v>
      </c>
      <c r="Z519" s="334">
        <f t="shared" si="160"/>
        <v>39.967000000000006</v>
      </c>
      <c r="AA519" s="57"/>
      <c r="AB519" s="58"/>
    </row>
    <row r="520" spans="1:28" s="55" customFormat="1" ht="30">
      <c r="A520" s="36" t="s">
        <v>2190</v>
      </c>
      <c r="B520" s="20">
        <v>9280</v>
      </c>
      <c r="C520" s="19" t="s">
        <v>1743</v>
      </c>
      <c r="D520" s="21" t="s">
        <v>44</v>
      </c>
      <c r="E520" s="21" t="s">
        <v>17</v>
      </c>
      <c r="F520" s="22">
        <v>4</v>
      </c>
      <c r="G520" s="22">
        <f t="shared" si="156"/>
        <v>52.173000000000002</v>
      </c>
      <c r="H520" s="22">
        <f t="shared" si="161"/>
        <v>66.16</v>
      </c>
      <c r="I520" s="147">
        <f t="shared" si="162"/>
        <v>264.64</v>
      </c>
      <c r="J520" s="148"/>
      <c r="K520" s="148"/>
      <c r="L520" s="148"/>
      <c r="M520" s="148">
        <v>58.12</v>
      </c>
      <c r="N520" s="148">
        <v>73.7</v>
      </c>
      <c r="O520" s="148">
        <v>294.8</v>
      </c>
      <c r="P520" s="494"/>
      <c r="Q520" s="148">
        <f t="shared" si="163"/>
        <v>0</v>
      </c>
      <c r="R520" s="148"/>
      <c r="S520" s="148">
        <f t="shared" si="164"/>
        <v>0</v>
      </c>
      <c r="T520" s="148">
        <f t="shared" si="165"/>
        <v>4</v>
      </c>
      <c r="U520" s="148">
        <f t="shared" si="166"/>
        <v>294.8</v>
      </c>
      <c r="V520" s="379"/>
      <c r="W520" s="379"/>
      <c r="X520" s="57">
        <f>'COMPOSIÇÃO DE CUSTOS'!G1074</f>
        <v>52.17</v>
      </c>
      <c r="Y520" s="334">
        <v>61.38</v>
      </c>
      <c r="Z520" s="334">
        <f t="shared" si="160"/>
        <v>208.69200000000001</v>
      </c>
      <c r="AA520" s="57"/>
      <c r="AB520" s="58"/>
    </row>
    <row r="521" spans="1:28" s="55" customFormat="1" ht="30">
      <c r="A521" s="36" t="s">
        <v>2191</v>
      </c>
      <c r="B521" s="21" t="s">
        <v>2229</v>
      </c>
      <c r="C521" s="19" t="s">
        <v>1744</v>
      </c>
      <c r="D521" s="21" t="s">
        <v>1914</v>
      </c>
      <c r="E521" s="21" t="s">
        <v>17</v>
      </c>
      <c r="F521" s="22">
        <v>4</v>
      </c>
      <c r="G521" s="22">
        <f t="shared" si="156"/>
        <v>15.614500000000001</v>
      </c>
      <c r="H521" s="22">
        <f t="shared" si="161"/>
        <v>19.8</v>
      </c>
      <c r="I521" s="147">
        <f t="shared" si="162"/>
        <v>79.2</v>
      </c>
      <c r="J521" s="148"/>
      <c r="K521" s="148"/>
      <c r="L521" s="148"/>
      <c r="M521" s="148">
        <v>17.39</v>
      </c>
      <c r="N521" s="148">
        <v>22.05</v>
      </c>
      <c r="O521" s="148">
        <v>88.2</v>
      </c>
      <c r="P521" s="494"/>
      <c r="Q521" s="148">
        <f t="shared" si="163"/>
        <v>0</v>
      </c>
      <c r="R521" s="148"/>
      <c r="S521" s="148">
        <f t="shared" si="164"/>
        <v>0</v>
      </c>
      <c r="T521" s="148">
        <f t="shared" si="165"/>
        <v>4</v>
      </c>
      <c r="U521" s="148">
        <f t="shared" si="166"/>
        <v>88.2</v>
      </c>
      <c r="V521" s="379"/>
      <c r="W521" s="379"/>
      <c r="X521" s="57">
        <f>'COMPOSIÇÃO DE CUSTOS'!G1081</f>
        <v>15.61</v>
      </c>
      <c r="Y521" s="334">
        <v>18.37</v>
      </c>
      <c r="Z521" s="334">
        <f t="shared" si="160"/>
        <v>62.458000000000006</v>
      </c>
      <c r="AA521" s="57"/>
      <c r="AB521" s="58"/>
    </row>
    <row r="522" spans="1:28" s="55" customFormat="1" ht="30">
      <c r="A522" s="36" t="s">
        <v>2192</v>
      </c>
      <c r="B522" s="20">
        <v>4533</v>
      </c>
      <c r="C522" s="19" t="s">
        <v>203</v>
      </c>
      <c r="D522" s="21" t="s">
        <v>44</v>
      </c>
      <c r="E522" s="21" t="s">
        <v>17</v>
      </c>
      <c r="F522" s="22">
        <v>7</v>
      </c>
      <c r="G522" s="22">
        <f t="shared" si="156"/>
        <v>114.5205</v>
      </c>
      <c r="H522" s="22">
        <f t="shared" si="161"/>
        <v>145.22</v>
      </c>
      <c r="I522" s="147">
        <f t="shared" si="162"/>
        <v>1016.54</v>
      </c>
      <c r="J522" s="148"/>
      <c r="K522" s="148"/>
      <c r="L522" s="148"/>
      <c r="M522" s="148">
        <v>127.58</v>
      </c>
      <c r="N522" s="148">
        <v>161.78</v>
      </c>
      <c r="O522" s="148">
        <v>1132.46</v>
      </c>
      <c r="P522" s="494"/>
      <c r="Q522" s="148">
        <f t="shared" si="163"/>
        <v>0</v>
      </c>
      <c r="R522" s="148"/>
      <c r="S522" s="148">
        <f t="shared" si="164"/>
        <v>0</v>
      </c>
      <c r="T522" s="148">
        <f t="shared" ref="T522:T553" si="167">F522+P522-R522</f>
        <v>7</v>
      </c>
      <c r="U522" s="148">
        <f t="shared" si="166"/>
        <v>1132.46</v>
      </c>
      <c r="V522" s="379"/>
      <c r="W522" s="379"/>
      <c r="X522" s="57">
        <f>'COMPOSIÇÃO DE CUSTOS'!G1088</f>
        <v>114.52</v>
      </c>
      <c r="Y522" s="334">
        <v>134.72999999999999</v>
      </c>
      <c r="Z522" s="334">
        <f t="shared" si="160"/>
        <v>801.64350000000002</v>
      </c>
      <c r="AA522" s="57"/>
      <c r="AB522" s="58"/>
    </row>
    <row r="523" spans="1:28" s="55" customFormat="1" ht="30">
      <c r="A523" s="36" t="s">
        <v>2193</v>
      </c>
      <c r="B523" s="20">
        <v>10849</v>
      </c>
      <c r="C523" s="19" t="s">
        <v>1756</v>
      </c>
      <c r="D523" s="21" t="s">
        <v>44</v>
      </c>
      <c r="E523" s="21" t="s">
        <v>17</v>
      </c>
      <c r="F523" s="22">
        <v>5</v>
      </c>
      <c r="G523" s="22">
        <f t="shared" si="156"/>
        <v>42.814499999999995</v>
      </c>
      <c r="H523" s="22">
        <f t="shared" si="161"/>
        <v>54.29</v>
      </c>
      <c r="I523" s="147">
        <f t="shared" si="162"/>
        <v>271.45</v>
      </c>
      <c r="J523" s="148"/>
      <c r="K523" s="148"/>
      <c r="L523" s="148"/>
      <c r="M523" s="148">
        <v>47.7</v>
      </c>
      <c r="N523" s="148">
        <v>60.49</v>
      </c>
      <c r="O523" s="148">
        <v>302.45</v>
      </c>
      <c r="P523" s="494"/>
      <c r="Q523" s="148">
        <f t="shared" si="163"/>
        <v>0</v>
      </c>
      <c r="R523" s="148"/>
      <c r="S523" s="148">
        <f t="shared" si="164"/>
        <v>0</v>
      </c>
      <c r="T523" s="148">
        <f t="shared" si="167"/>
        <v>5</v>
      </c>
      <c r="U523" s="148">
        <f t="shared" si="166"/>
        <v>302.45</v>
      </c>
      <c r="V523" s="379"/>
      <c r="W523" s="379"/>
      <c r="X523" s="57">
        <f>'COMPOSIÇÃO DE CUSTOS'!G1095</f>
        <v>42.81</v>
      </c>
      <c r="Y523" s="334">
        <v>50.37</v>
      </c>
      <c r="Z523" s="334">
        <f t="shared" si="160"/>
        <v>214.07249999999999</v>
      </c>
      <c r="AA523" s="57"/>
      <c r="AB523" s="58"/>
    </row>
    <row r="524" spans="1:28" s="55" customFormat="1" ht="30">
      <c r="A524" s="36" t="s">
        <v>2194</v>
      </c>
      <c r="B524" s="20">
        <v>7144</v>
      </c>
      <c r="C524" s="19" t="s">
        <v>1757</v>
      </c>
      <c r="D524" s="21" t="s">
        <v>44</v>
      </c>
      <c r="E524" s="21" t="s">
        <v>17</v>
      </c>
      <c r="F524" s="22">
        <v>1</v>
      </c>
      <c r="G524" s="22">
        <f t="shared" si="156"/>
        <v>52.844500000000004</v>
      </c>
      <c r="H524" s="22">
        <f t="shared" si="161"/>
        <v>67.010000000000005</v>
      </c>
      <c r="I524" s="147">
        <f t="shared" si="162"/>
        <v>67.010000000000005</v>
      </c>
      <c r="J524" s="148"/>
      <c r="K524" s="148"/>
      <c r="L524" s="148"/>
      <c r="M524" s="148">
        <v>58.87</v>
      </c>
      <c r="N524" s="148">
        <v>74.650000000000006</v>
      </c>
      <c r="O524" s="148">
        <v>74.650000000000006</v>
      </c>
      <c r="P524" s="494"/>
      <c r="Q524" s="148">
        <f t="shared" si="163"/>
        <v>0</v>
      </c>
      <c r="R524" s="148"/>
      <c r="S524" s="148">
        <f t="shared" si="164"/>
        <v>0</v>
      </c>
      <c r="T524" s="148">
        <f t="shared" si="167"/>
        <v>1</v>
      </c>
      <c r="U524" s="148">
        <f t="shared" si="166"/>
        <v>74.650000000000006</v>
      </c>
      <c r="V524" s="379"/>
      <c r="W524" s="379"/>
      <c r="X524" s="57">
        <f>'COMPOSIÇÃO DE CUSTOS'!G1102</f>
        <v>52.84</v>
      </c>
      <c r="Y524" s="334">
        <v>62.17</v>
      </c>
      <c r="Z524" s="334">
        <f t="shared" si="160"/>
        <v>52.844500000000004</v>
      </c>
      <c r="AA524" s="57"/>
      <c r="AB524" s="58"/>
    </row>
    <row r="525" spans="1:28" s="55" customFormat="1" ht="30">
      <c r="A525" s="36" t="s">
        <v>2441</v>
      </c>
      <c r="B525" s="20">
        <v>7143</v>
      </c>
      <c r="C525" s="19" t="s">
        <v>1745</v>
      </c>
      <c r="D525" s="21" t="s">
        <v>44</v>
      </c>
      <c r="E525" s="21" t="s">
        <v>17</v>
      </c>
      <c r="F525" s="22">
        <v>4</v>
      </c>
      <c r="G525" s="22">
        <f t="shared" si="156"/>
        <v>65.764499999999998</v>
      </c>
      <c r="H525" s="22">
        <f t="shared" si="161"/>
        <v>83.4</v>
      </c>
      <c r="I525" s="147">
        <f t="shared" si="162"/>
        <v>333.6</v>
      </c>
      <c r="J525" s="148"/>
      <c r="K525" s="148"/>
      <c r="L525" s="148"/>
      <c r="M525" s="148">
        <v>73.260000000000005</v>
      </c>
      <c r="N525" s="148">
        <v>92.9</v>
      </c>
      <c r="O525" s="148">
        <v>371.6</v>
      </c>
      <c r="P525" s="494"/>
      <c r="Q525" s="148">
        <f t="shared" si="163"/>
        <v>0</v>
      </c>
      <c r="R525" s="148"/>
      <c r="S525" s="148">
        <f t="shared" si="164"/>
        <v>0</v>
      </c>
      <c r="T525" s="148">
        <f t="shared" si="167"/>
        <v>4</v>
      </c>
      <c r="U525" s="148">
        <f t="shared" si="166"/>
        <v>371.6</v>
      </c>
      <c r="V525" s="379"/>
      <c r="W525" s="379"/>
      <c r="X525" s="57">
        <f>'COMPOSIÇÃO DE CUSTOS'!G1109</f>
        <v>65.760000000000005</v>
      </c>
      <c r="Y525" s="334">
        <v>77.37</v>
      </c>
      <c r="Z525" s="334">
        <f t="shared" si="160"/>
        <v>263.05799999999999</v>
      </c>
      <c r="AA525" s="57"/>
      <c r="AB525" s="58"/>
    </row>
    <row r="526" spans="1:28" s="55" customFormat="1" ht="30">
      <c r="A526" s="36" t="s">
        <v>2442</v>
      </c>
      <c r="B526" s="20">
        <v>12924</v>
      </c>
      <c r="C526" s="19" t="s">
        <v>1746</v>
      </c>
      <c r="D526" s="21" t="s">
        <v>44</v>
      </c>
      <c r="E526" s="21" t="s">
        <v>17</v>
      </c>
      <c r="F526" s="22">
        <v>4</v>
      </c>
      <c r="G526" s="22">
        <f t="shared" si="156"/>
        <v>11.279499999999999</v>
      </c>
      <c r="H526" s="22">
        <f t="shared" si="161"/>
        <v>14.3</v>
      </c>
      <c r="I526" s="147">
        <f t="shared" si="162"/>
        <v>57.2</v>
      </c>
      <c r="J526" s="148"/>
      <c r="K526" s="148"/>
      <c r="L526" s="148"/>
      <c r="M526" s="148">
        <v>12.57</v>
      </c>
      <c r="N526" s="148">
        <v>15.94</v>
      </c>
      <c r="O526" s="148">
        <v>63.76</v>
      </c>
      <c r="P526" s="494"/>
      <c r="Q526" s="148">
        <f t="shared" si="163"/>
        <v>0</v>
      </c>
      <c r="R526" s="148"/>
      <c r="S526" s="148">
        <f t="shared" si="164"/>
        <v>0</v>
      </c>
      <c r="T526" s="148">
        <f t="shared" si="167"/>
        <v>4</v>
      </c>
      <c r="U526" s="148">
        <f t="shared" si="166"/>
        <v>63.76</v>
      </c>
      <c r="V526" s="379"/>
      <c r="W526" s="379"/>
      <c r="X526" s="57">
        <f>'COMPOSIÇÃO DE CUSTOS'!G1116</f>
        <v>11.28</v>
      </c>
      <c r="Y526" s="334">
        <v>13.27</v>
      </c>
      <c r="Z526" s="334">
        <f t="shared" si="160"/>
        <v>45.117999999999995</v>
      </c>
      <c r="AA526" s="57"/>
      <c r="AB526" s="58"/>
    </row>
    <row r="527" spans="1:28" s="55" customFormat="1" ht="30">
      <c r="A527" s="36" t="s">
        <v>2443</v>
      </c>
      <c r="B527" s="20">
        <v>63988</v>
      </c>
      <c r="C527" s="19" t="s">
        <v>2241</v>
      </c>
      <c r="D527" s="21" t="s">
        <v>1914</v>
      </c>
      <c r="E527" s="21" t="s">
        <v>17</v>
      </c>
      <c r="F527" s="22">
        <v>4</v>
      </c>
      <c r="G527" s="22">
        <f t="shared" si="156"/>
        <v>82.212000000000003</v>
      </c>
      <c r="H527" s="22">
        <f t="shared" si="161"/>
        <v>104.25</v>
      </c>
      <c r="I527" s="147">
        <f t="shared" si="162"/>
        <v>417</v>
      </c>
      <c r="J527" s="148"/>
      <c r="K527" s="148"/>
      <c r="L527" s="148"/>
      <c r="M527" s="148">
        <v>91.58</v>
      </c>
      <c r="N527" s="148">
        <v>116.13</v>
      </c>
      <c r="O527" s="148">
        <v>464.52</v>
      </c>
      <c r="P527" s="494"/>
      <c r="Q527" s="148">
        <f t="shared" si="163"/>
        <v>0</v>
      </c>
      <c r="R527" s="148"/>
      <c r="S527" s="148">
        <f t="shared" si="164"/>
        <v>0</v>
      </c>
      <c r="T527" s="148">
        <f t="shared" si="167"/>
        <v>4</v>
      </c>
      <c r="U527" s="148">
        <f t="shared" si="166"/>
        <v>464.52</v>
      </c>
      <c r="V527" s="379"/>
      <c r="W527" s="379"/>
      <c r="X527" s="57">
        <f>'COMPOSIÇÃO DE CUSTOS'!G1123</f>
        <v>82.21</v>
      </c>
      <c r="Y527" s="334">
        <v>96.72</v>
      </c>
      <c r="Z527" s="334">
        <f t="shared" si="160"/>
        <v>328.84800000000001</v>
      </c>
      <c r="AA527" s="57"/>
      <c r="AB527" s="58"/>
    </row>
    <row r="528" spans="1:28" s="55" customFormat="1" ht="30">
      <c r="A528" s="36" t="s">
        <v>2195</v>
      </c>
      <c r="B528" s="21" t="s">
        <v>2239</v>
      </c>
      <c r="C528" s="19" t="s">
        <v>204</v>
      </c>
      <c r="D528" s="21" t="s">
        <v>1914</v>
      </c>
      <c r="E528" s="21" t="s">
        <v>17</v>
      </c>
      <c r="F528" s="22">
        <v>2</v>
      </c>
      <c r="G528" s="22">
        <f t="shared" si="156"/>
        <v>73.5505</v>
      </c>
      <c r="H528" s="22">
        <f t="shared" si="161"/>
        <v>93.27</v>
      </c>
      <c r="I528" s="147">
        <f t="shared" si="162"/>
        <v>186.54</v>
      </c>
      <c r="J528" s="148"/>
      <c r="K528" s="148"/>
      <c r="L528" s="148"/>
      <c r="M528" s="148">
        <v>81.94</v>
      </c>
      <c r="N528" s="148">
        <v>103.91</v>
      </c>
      <c r="O528" s="148">
        <v>207.82</v>
      </c>
      <c r="P528" s="494"/>
      <c r="Q528" s="148">
        <f t="shared" si="163"/>
        <v>0</v>
      </c>
      <c r="R528" s="148"/>
      <c r="S528" s="148">
        <f t="shared" si="164"/>
        <v>0</v>
      </c>
      <c r="T528" s="148">
        <f t="shared" si="167"/>
        <v>2</v>
      </c>
      <c r="U528" s="148">
        <f t="shared" si="166"/>
        <v>207.82</v>
      </c>
      <c r="V528" s="379"/>
      <c r="W528" s="379"/>
      <c r="X528" s="57">
        <f>'COMPOSIÇÃO DE CUSTOS'!G1130</f>
        <v>73.55</v>
      </c>
      <c r="Y528" s="334">
        <v>86.53</v>
      </c>
      <c r="Z528" s="334">
        <f t="shared" si="160"/>
        <v>147.101</v>
      </c>
      <c r="AA528" s="57"/>
      <c r="AB528" s="58"/>
    </row>
    <row r="529" spans="1:28" s="55" customFormat="1" ht="30">
      <c r="A529" s="36" t="s">
        <v>2196</v>
      </c>
      <c r="B529" s="20">
        <v>763</v>
      </c>
      <c r="C529" s="19" t="s">
        <v>1747</v>
      </c>
      <c r="D529" s="21" t="s">
        <v>44</v>
      </c>
      <c r="E529" s="21" t="s">
        <v>17</v>
      </c>
      <c r="F529" s="22">
        <v>4</v>
      </c>
      <c r="G529" s="22">
        <f t="shared" si="156"/>
        <v>124.72049999999999</v>
      </c>
      <c r="H529" s="22">
        <f t="shared" si="161"/>
        <v>158.16</v>
      </c>
      <c r="I529" s="147">
        <f t="shared" si="162"/>
        <v>632.64</v>
      </c>
      <c r="J529" s="148"/>
      <c r="K529" s="148"/>
      <c r="L529" s="148"/>
      <c r="M529" s="148">
        <v>138.94</v>
      </c>
      <c r="N529" s="148">
        <v>176.19</v>
      </c>
      <c r="O529" s="148">
        <v>704.76</v>
      </c>
      <c r="P529" s="494"/>
      <c r="Q529" s="148">
        <f t="shared" si="163"/>
        <v>0</v>
      </c>
      <c r="R529" s="148"/>
      <c r="S529" s="148">
        <f t="shared" si="164"/>
        <v>0</v>
      </c>
      <c r="T529" s="148">
        <f t="shared" si="167"/>
        <v>4</v>
      </c>
      <c r="U529" s="148">
        <f t="shared" si="166"/>
        <v>704.76</v>
      </c>
      <c r="V529" s="379"/>
      <c r="W529" s="379"/>
      <c r="X529" s="57">
        <f>'COMPOSIÇÃO DE CUSTOS'!G1137</f>
        <v>124.72</v>
      </c>
      <c r="Y529" s="334">
        <v>146.72999999999999</v>
      </c>
      <c r="Z529" s="334">
        <f t="shared" si="160"/>
        <v>498.88199999999995</v>
      </c>
      <c r="AA529" s="57"/>
      <c r="AB529" s="58"/>
    </row>
    <row r="530" spans="1:28" s="55" customFormat="1" ht="30">
      <c r="A530" s="36" t="s">
        <v>2197</v>
      </c>
      <c r="B530" s="20">
        <v>11289</v>
      </c>
      <c r="C530" s="19" t="s">
        <v>1758</v>
      </c>
      <c r="D530" s="21" t="s">
        <v>44</v>
      </c>
      <c r="E530" s="21" t="s">
        <v>17</v>
      </c>
      <c r="F530" s="22">
        <v>2</v>
      </c>
      <c r="G530" s="22">
        <f t="shared" si="156"/>
        <v>48.764499999999998</v>
      </c>
      <c r="H530" s="22">
        <f t="shared" si="161"/>
        <v>61.84</v>
      </c>
      <c r="I530" s="147">
        <f t="shared" si="162"/>
        <v>123.68</v>
      </c>
      <c r="J530" s="148"/>
      <c r="K530" s="148"/>
      <c r="L530" s="148"/>
      <c r="M530" s="148">
        <v>54.32</v>
      </c>
      <c r="N530" s="148">
        <v>68.88</v>
      </c>
      <c r="O530" s="148">
        <v>137.76</v>
      </c>
      <c r="P530" s="494"/>
      <c r="Q530" s="148">
        <f t="shared" si="163"/>
        <v>0</v>
      </c>
      <c r="R530" s="148"/>
      <c r="S530" s="148">
        <f t="shared" si="164"/>
        <v>0</v>
      </c>
      <c r="T530" s="148">
        <f t="shared" si="167"/>
        <v>2</v>
      </c>
      <c r="U530" s="148">
        <f t="shared" si="166"/>
        <v>137.76</v>
      </c>
      <c r="V530" s="379"/>
      <c r="W530" s="379"/>
      <c r="X530" s="57">
        <f>'COMPOSIÇÃO DE CUSTOS'!G1144</f>
        <v>48.76</v>
      </c>
      <c r="Y530" s="334">
        <v>57.37</v>
      </c>
      <c r="Z530" s="334">
        <f t="shared" si="160"/>
        <v>97.528999999999996</v>
      </c>
      <c r="AA530" s="57"/>
      <c r="AB530" s="58"/>
    </row>
    <row r="531" spans="1:28" s="55" customFormat="1" ht="30">
      <c r="A531" s="36" t="s">
        <v>2198</v>
      </c>
      <c r="B531" s="21" t="s">
        <v>2243</v>
      </c>
      <c r="C531" s="19" t="s">
        <v>1748</v>
      </c>
      <c r="D531" s="21" t="s">
        <v>1914</v>
      </c>
      <c r="E531" s="21" t="s">
        <v>17</v>
      </c>
      <c r="F531" s="22">
        <v>4</v>
      </c>
      <c r="G531" s="22">
        <f t="shared" si="156"/>
        <v>316.48899999999998</v>
      </c>
      <c r="H531" s="22">
        <f t="shared" si="161"/>
        <v>401.34</v>
      </c>
      <c r="I531" s="147">
        <f t="shared" si="162"/>
        <v>1605.36</v>
      </c>
      <c r="J531" s="148"/>
      <c r="K531" s="148"/>
      <c r="L531" s="148"/>
      <c r="M531" s="148">
        <v>352.57</v>
      </c>
      <c r="N531" s="148">
        <v>447.09</v>
      </c>
      <c r="O531" s="148">
        <v>1788.36</v>
      </c>
      <c r="P531" s="494"/>
      <c r="Q531" s="148">
        <f t="shared" si="163"/>
        <v>0</v>
      </c>
      <c r="R531" s="148"/>
      <c r="S531" s="148">
        <f t="shared" si="164"/>
        <v>0</v>
      </c>
      <c r="T531" s="148">
        <f t="shared" si="167"/>
        <v>4</v>
      </c>
      <c r="U531" s="148">
        <f t="shared" si="166"/>
        <v>1788.36</v>
      </c>
      <c r="V531" s="379"/>
      <c r="W531" s="379"/>
      <c r="X531" s="57">
        <f>'COMPOSIÇÃO DE CUSTOS'!G1151</f>
        <v>316.49</v>
      </c>
      <c r="Y531" s="334">
        <v>372.34</v>
      </c>
      <c r="Z531" s="334">
        <f t="shared" si="160"/>
        <v>1265.9559999999999</v>
      </c>
      <c r="AA531" s="57"/>
      <c r="AB531" s="58"/>
    </row>
    <row r="532" spans="1:28" s="55" customFormat="1" ht="30">
      <c r="A532" s="36" t="s">
        <v>2199</v>
      </c>
      <c r="B532" s="21" t="s">
        <v>2245</v>
      </c>
      <c r="C532" s="19" t="s">
        <v>205</v>
      </c>
      <c r="D532" s="21" t="s">
        <v>1914</v>
      </c>
      <c r="E532" s="21" t="s">
        <v>17</v>
      </c>
      <c r="F532" s="22">
        <v>2</v>
      </c>
      <c r="G532" s="22">
        <f t="shared" si="156"/>
        <v>149.60849999999999</v>
      </c>
      <c r="H532" s="22">
        <f t="shared" si="161"/>
        <v>189.72</v>
      </c>
      <c r="I532" s="147">
        <f t="shared" si="162"/>
        <v>379.44</v>
      </c>
      <c r="J532" s="148"/>
      <c r="K532" s="148"/>
      <c r="L532" s="148"/>
      <c r="M532" s="148">
        <v>166.67</v>
      </c>
      <c r="N532" s="148">
        <v>211.35</v>
      </c>
      <c r="O532" s="148">
        <v>422.7</v>
      </c>
      <c r="P532" s="494"/>
      <c r="Q532" s="148">
        <f t="shared" si="163"/>
        <v>0</v>
      </c>
      <c r="R532" s="148"/>
      <c r="S532" s="148">
        <f t="shared" si="164"/>
        <v>0</v>
      </c>
      <c r="T532" s="148">
        <f t="shared" si="167"/>
        <v>2</v>
      </c>
      <c r="U532" s="148">
        <f t="shared" si="166"/>
        <v>422.7</v>
      </c>
      <c r="V532" s="379"/>
      <c r="W532" s="379"/>
      <c r="X532" s="57">
        <f>'COMPOSIÇÃO DE CUSTOS'!G1158</f>
        <v>149.61000000000001</v>
      </c>
      <c r="Y532" s="334">
        <v>176.01</v>
      </c>
      <c r="Z532" s="334">
        <f t="shared" si="160"/>
        <v>299.21699999999998</v>
      </c>
      <c r="AA532" s="57"/>
      <c r="AB532" s="58"/>
    </row>
    <row r="533" spans="1:28" s="55" customFormat="1" ht="30">
      <c r="A533" s="36" t="s">
        <v>2200</v>
      </c>
      <c r="B533" s="20">
        <v>724</v>
      </c>
      <c r="C533" s="19" t="s">
        <v>206</v>
      </c>
      <c r="D533" s="21" t="s">
        <v>44</v>
      </c>
      <c r="E533" s="21" t="s">
        <v>17</v>
      </c>
      <c r="F533" s="22">
        <v>1</v>
      </c>
      <c r="G533" s="22">
        <f t="shared" ref="G533:G596" si="168">Y533-(Y533*$Y$15)</f>
        <v>5.032</v>
      </c>
      <c r="H533" s="22">
        <f t="shared" si="161"/>
        <v>6.38</v>
      </c>
      <c r="I533" s="147">
        <f t="shared" si="162"/>
        <v>6.38</v>
      </c>
      <c r="J533" s="148"/>
      <c r="K533" s="148"/>
      <c r="L533" s="148"/>
      <c r="M533" s="148">
        <v>5.61</v>
      </c>
      <c r="N533" s="148">
        <v>7.11</v>
      </c>
      <c r="O533" s="148">
        <v>7.11</v>
      </c>
      <c r="P533" s="494"/>
      <c r="Q533" s="148">
        <f t="shared" si="163"/>
        <v>0</v>
      </c>
      <c r="R533" s="148"/>
      <c r="S533" s="148">
        <f t="shared" si="164"/>
        <v>0</v>
      </c>
      <c r="T533" s="148">
        <f t="shared" si="167"/>
        <v>1</v>
      </c>
      <c r="U533" s="148">
        <f t="shared" si="166"/>
        <v>7.11</v>
      </c>
      <c r="V533" s="379"/>
      <c r="W533" s="379"/>
      <c r="X533" s="57">
        <f>'COMPOSIÇÃO DE CUSTOS'!G1165</f>
        <v>5.04</v>
      </c>
      <c r="Y533" s="334">
        <v>5.92</v>
      </c>
      <c r="Z533" s="334">
        <f t="shared" ref="Z533:Z596" si="169">F533*G533</f>
        <v>5.032</v>
      </c>
      <c r="AA533" s="57"/>
      <c r="AB533" s="58"/>
    </row>
    <row r="534" spans="1:28" s="55" customFormat="1" ht="30">
      <c r="A534" s="36" t="s">
        <v>2444</v>
      </c>
      <c r="B534" s="20">
        <v>725</v>
      </c>
      <c r="C534" s="19" t="s">
        <v>207</v>
      </c>
      <c r="D534" s="21" t="s">
        <v>44</v>
      </c>
      <c r="E534" s="21" t="s">
        <v>17</v>
      </c>
      <c r="F534" s="22">
        <v>2</v>
      </c>
      <c r="G534" s="22">
        <f t="shared" si="168"/>
        <v>5.5419999999999998</v>
      </c>
      <c r="H534" s="22">
        <f t="shared" si="161"/>
        <v>7.03</v>
      </c>
      <c r="I534" s="147">
        <f t="shared" si="162"/>
        <v>14.06</v>
      </c>
      <c r="J534" s="148"/>
      <c r="K534" s="148"/>
      <c r="L534" s="148"/>
      <c r="M534" s="148">
        <v>6.17</v>
      </c>
      <c r="N534" s="148">
        <v>7.82</v>
      </c>
      <c r="O534" s="148">
        <v>15.64</v>
      </c>
      <c r="P534" s="494"/>
      <c r="Q534" s="148">
        <f t="shared" si="163"/>
        <v>0</v>
      </c>
      <c r="R534" s="148"/>
      <c r="S534" s="148">
        <f t="shared" si="164"/>
        <v>0</v>
      </c>
      <c r="T534" s="148">
        <f t="shared" si="167"/>
        <v>2</v>
      </c>
      <c r="U534" s="148">
        <f t="shared" si="166"/>
        <v>15.64</v>
      </c>
      <c r="V534" s="379"/>
      <c r="W534" s="379"/>
      <c r="X534" s="57">
        <f>'COMPOSIÇÃO DE CUSTOS'!G1172</f>
        <v>5.55</v>
      </c>
      <c r="Y534" s="334">
        <v>6.52</v>
      </c>
      <c r="Z534" s="334">
        <f t="shared" si="169"/>
        <v>11.084</v>
      </c>
      <c r="AA534" s="57"/>
      <c r="AB534" s="58"/>
    </row>
    <row r="535" spans="1:28" s="55" customFormat="1" ht="30">
      <c r="A535" s="36" t="s">
        <v>2201</v>
      </c>
      <c r="B535" s="20">
        <v>12489</v>
      </c>
      <c r="C535" s="19" t="s">
        <v>2250</v>
      </c>
      <c r="D535" s="21" t="s">
        <v>44</v>
      </c>
      <c r="E535" s="21" t="s">
        <v>17</v>
      </c>
      <c r="F535" s="22">
        <v>2</v>
      </c>
      <c r="G535" s="22">
        <f t="shared" si="168"/>
        <v>23.7575</v>
      </c>
      <c r="H535" s="22">
        <f t="shared" si="161"/>
        <v>30.13</v>
      </c>
      <c r="I535" s="147">
        <f t="shared" si="162"/>
        <v>60.26</v>
      </c>
      <c r="J535" s="148"/>
      <c r="K535" s="148"/>
      <c r="L535" s="148"/>
      <c r="M535" s="148">
        <v>26.47</v>
      </c>
      <c r="N535" s="148">
        <v>33.57</v>
      </c>
      <c r="O535" s="148">
        <v>67.14</v>
      </c>
      <c r="P535" s="494"/>
      <c r="Q535" s="148">
        <f t="shared" si="163"/>
        <v>0</v>
      </c>
      <c r="R535" s="148"/>
      <c r="S535" s="148">
        <f t="shared" si="164"/>
        <v>0</v>
      </c>
      <c r="T535" s="148">
        <f t="shared" si="167"/>
        <v>2</v>
      </c>
      <c r="U535" s="148">
        <f t="shared" si="166"/>
        <v>67.14</v>
      </c>
      <c r="V535" s="379"/>
      <c r="W535" s="379"/>
      <c r="X535" s="57">
        <f>'COMPOSIÇÃO DE CUSTOS'!G1179</f>
        <v>23.76</v>
      </c>
      <c r="Y535" s="334">
        <v>27.95</v>
      </c>
      <c r="Z535" s="334">
        <f t="shared" si="169"/>
        <v>47.515000000000001</v>
      </c>
      <c r="AA535" s="57"/>
      <c r="AB535" s="58"/>
    </row>
    <row r="536" spans="1:28" ht="105">
      <c r="A536" s="36" t="s">
        <v>2202</v>
      </c>
      <c r="B536" s="20">
        <v>90092</v>
      </c>
      <c r="C536" s="19" t="s">
        <v>1679</v>
      </c>
      <c r="D536" s="21" t="s">
        <v>12</v>
      </c>
      <c r="E536" s="21" t="s">
        <v>35</v>
      </c>
      <c r="F536" s="22">
        <v>233</v>
      </c>
      <c r="G536" s="22">
        <f t="shared" si="168"/>
        <v>3.4595000000000002</v>
      </c>
      <c r="H536" s="22">
        <f t="shared" si="161"/>
        <v>4.3899999999999997</v>
      </c>
      <c r="I536" s="147">
        <f t="shared" si="162"/>
        <v>1022.87</v>
      </c>
      <c r="J536" s="148"/>
      <c r="K536" s="148"/>
      <c r="L536" s="148"/>
      <c r="M536" s="148">
        <v>3.85</v>
      </c>
      <c r="N536" s="148">
        <v>4.88</v>
      </c>
      <c r="O536" s="148">
        <v>1137.04</v>
      </c>
      <c r="P536" s="494"/>
      <c r="Q536" s="148">
        <f t="shared" si="163"/>
        <v>0</v>
      </c>
      <c r="R536" s="148"/>
      <c r="S536" s="148">
        <f t="shared" si="164"/>
        <v>0</v>
      </c>
      <c r="T536" s="148">
        <f t="shared" si="167"/>
        <v>233</v>
      </c>
      <c r="U536" s="148">
        <f t="shared" si="166"/>
        <v>1137.04</v>
      </c>
      <c r="V536" s="379"/>
      <c r="W536" s="379"/>
      <c r="X536" s="31" t="e">
        <f>IF(B536&lt;&gt;0,VLOOKUP(B536,#REF!,4,FALSE),"")</f>
        <v>#REF!</v>
      </c>
      <c r="Y536" s="346" t="s">
        <v>1854</v>
      </c>
      <c r="Z536" s="334">
        <f t="shared" si="169"/>
        <v>806.06350000000009</v>
      </c>
      <c r="AA536" s="31"/>
      <c r="AB536" s="32" t="e">
        <f>IF(B536&lt;&gt;0,VLOOKUP(B536,#REF!,2,FALSE),"")</f>
        <v>#REF!</v>
      </c>
    </row>
    <row r="537" spans="1:28" ht="90">
      <c r="A537" s="36" t="s">
        <v>2203</v>
      </c>
      <c r="B537" s="20">
        <v>93381</v>
      </c>
      <c r="C537" s="19" t="s">
        <v>1680</v>
      </c>
      <c r="D537" s="21" t="s">
        <v>12</v>
      </c>
      <c r="E537" s="21" t="s">
        <v>35</v>
      </c>
      <c r="F537" s="22">
        <v>233</v>
      </c>
      <c r="G537" s="22">
        <f t="shared" si="168"/>
        <v>6.63</v>
      </c>
      <c r="H537" s="22">
        <f t="shared" si="161"/>
        <v>8.41</v>
      </c>
      <c r="I537" s="147">
        <f t="shared" si="162"/>
        <v>1959.53</v>
      </c>
      <c r="J537" s="148"/>
      <c r="K537" s="148"/>
      <c r="L537" s="148"/>
      <c r="M537" s="148">
        <v>7.39</v>
      </c>
      <c r="N537" s="148">
        <v>9.3699999999999992</v>
      </c>
      <c r="O537" s="148">
        <v>2183.21</v>
      </c>
      <c r="P537" s="494"/>
      <c r="Q537" s="148">
        <f t="shared" si="163"/>
        <v>0</v>
      </c>
      <c r="R537" s="148"/>
      <c r="S537" s="148">
        <f t="shared" si="164"/>
        <v>0</v>
      </c>
      <c r="T537" s="148">
        <f t="shared" si="167"/>
        <v>233</v>
      </c>
      <c r="U537" s="148">
        <f t="shared" si="166"/>
        <v>2183.21</v>
      </c>
      <c r="V537" s="379"/>
      <c r="W537" s="379"/>
      <c r="X537" s="31" t="e">
        <f>IF(B537&lt;&gt;0,VLOOKUP(B537,#REF!,4,FALSE),"")</f>
        <v>#REF!</v>
      </c>
      <c r="Y537" s="346" t="s">
        <v>3114</v>
      </c>
      <c r="Z537" s="334">
        <f t="shared" si="169"/>
        <v>1544.79</v>
      </c>
      <c r="AA537" s="31"/>
      <c r="AB537" s="32" t="e">
        <f>IF(B537&lt;&gt;0,VLOOKUP(B537,#REF!,2,FALSE),"")</f>
        <v>#REF!</v>
      </c>
    </row>
    <row r="538" spans="1:28" s="55" customFormat="1" ht="30">
      <c r="A538" s="36" t="s">
        <v>2204</v>
      </c>
      <c r="B538" s="21" t="s">
        <v>2252</v>
      </c>
      <c r="C538" s="19" t="s">
        <v>208</v>
      </c>
      <c r="D538" s="21" t="s">
        <v>70</v>
      </c>
      <c r="E538" s="21" t="s">
        <v>52</v>
      </c>
      <c r="F538" s="22">
        <v>316</v>
      </c>
      <c r="G538" s="22">
        <f t="shared" si="168"/>
        <v>13.6935</v>
      </c>
      <c r="H538" s="22">
        <f t="shared" si="161"/>
        <v>17.36</v>
      </c>
      <c r="I538" s="147">
        <f t="shared" si="162"/>
        <v>5485.76</v>
      </c>
      <c r="J538" s="148"/>
      <c r="K538" s="148"/>
      <c r="L538" s="148"/>
      <c r="M538" s="148">
        <v>15.25</v>
      </c>
      <c r="N538" s="148">
        <v>19.34</v>
      </c>
      <c r="O538" s="148">
        <v>6111.44</v>
      </c>
      <c r="P538" s="494"/>
      <c r="Q538" s="148">
        <f t="shared" si="163"/>
        <v>0</v>
      </c>
      <c r="R538" s="148"/>
      <c r="S538" s="148">
        <f t="shared" si="164"/>
        <v>0</v>
      </c>
      <c r="T538" s="148">
        <f t="shared" si="167"/>
        <v>316</v>
      </c>
      <c r="U538" s="148">
        <f t="shared" si="166"/>
        <v>6111.44</v>
      </c>
      <c r="V538" s="379"/>
      <c r="W538" s="379"/>
      <c r="X538" s="57">
        <f>'COMPOSIÇÃO DE CUSTOS'!G1188</f>
        <v>13.69</v>
      </c>
      <c r="Y538" s="334">
        <v>16.11</v>
      </c>
      <c r="Z538" s="334">
        <f t="shared" si="169"/>
        <v>4327.1459999999997</v>
      </c>
      <c r="AA538" s="57"/>
      <c r="AB538" s="58"/>
    </row>
    <row r="539" spans="1:28" s="55" customFormat="1" ht="15" customHeight="1">
      <c r="A539" s="229" t="s">
        <v>993</v>
      </c>
      <c r="B539" s="229"/>
      <c r="C539" s="229" t="s">
        <v>209</v>
      </c>
      <c r="D539" s="230"/>
      <c r="E539" s="230"/>
      <c r="F539" s="230"/>
      <c r="G539" s="22"/>
      <c r="H539" s="230"/>
      <c r="I539" s="445"/>
      <c r="J539" s="440"/>
      <c r="K539" s="440"/>
      <c r="L539" s="440"/>
      <c r="M539" s="440"/>
      <c r="N539" s="440"/>
      <c r="O539" s="440"/>
      <c r="P539" s="492"/>
      <c r="Q539" s="148">
        <f t="shared" si="163"/>
        <v>0</v>
      </c>
      <c r="R539" s="440"/>
      <c r="S539" s="440"/>
      <c r="T539" s="148"/>
      <c r="U539" s="148"/>
      <c r="V539" s="330"/>
      <c r="W539" s="330"/>
      <c r="X539" s="58"/>
      <c r="Y539" s="334"/>
      <c r="Z539" s="334">
        <f t="shared" si="169"/>
        <v>0</v>
      </c>
      <c r="AA539" s="58"/>
      <c r="AB539" s="58"/>
    </row>
    <row r="540" spans="1:28" s="55" customFormat="1" ht="30">
      <c r="A540" s="19" t="s">
        <v>994</v>
      </c>
      <c r="B540" s="20">
        <v>7384</v>
      </c>
      <c r="C540" s="19" t="s">
        <v>210</v>
      </c>
      <c r="D540" s="21" t="s">
        <v>44</v>
      </c>
      <c r="E540" s="21" t="s">
        <v>52</v>
      </c>
      <c r="F540" s="22">
        <v>11</v>
      </c>
      <c r="G540" s="22">
        <f t="shared" si="168"/>
        <v>19.244</v>
      </c>
      <c r="H540" s="22">
        <f t="shared" ref="H540:H546" si="170">ROUND(G540*(1+$X$14),2)</f>
        <v>24.4</v>
      </c>
      <c r="I540" s="147">
        <f t="shared" ref="I540:I546" si="171">ROUND(H540*F540,2)</f>
        <v>268.39999999999998</v>
      </c>
      <c r="J540" s="148"/>
      <c r="K540" s="148"/>
      <c r="L540" s="148"/>
      <c r="M540" s="148">
        <v>21.44</v>
      </c>
      <c r="N540" s="148">
        <v>27.19</v>
      </c>
      <c r="O540" s="148">
        <v>299.08999999999997</v>
      </c>
      <c r="P540" s="494"/>
      <c r="Q540" s="148">
        <f t="shared" si="163"/>
        <v>0</v>
      </c>
      <c r="R540" s="148"/>
      <c r="S540" s="148">
        <f t="shared" ref="S540:S546" si="172">ROUND(R540*P540,2)</f>
        <v>0</v>
      </c>
      <c r="T540" s="148">
        <f t="shared" si="167"/>
        <v>11</v>
      </c>
      <c r="U540" s="148">
        <f t="shared" si="166"/>
        <v>299.08999999999997</v>
      </c>
      <c r="V540" s="379"/>
      <c r="W540" s="379"/>
      <c r="X540" s="57">
        <f>'COMPOSIÇÃO DE CUSTOS'!G1195</f>
        <v>19.25</v>
      </c>
      <c r="Y540" s="334">
        <v>22.64</v>
      </c>
      <c r="Z540" s="334">
        <f t="shared" si="169"/>
        <v>211.684</v>
      </c>
      <c r="AA540" s="57"/>
      <c r="AB540" s="58"/>
    </row>
    <row r="541" spans="1:28" s="55" customFormat="1" ht="30">
      <c r="A541" s="19" t="s">
        <v>995</v>
      </c>
      <c r="B541" s="20">
        <v>8697</v>
      </c>
      <c r="C541" s="19" t="s">
        <v>1762</v>
      </c>
      <c r="D541" s="21" t="s">
        <v>44</v>
      </c>
      <c r="E541" s="21" t="s">
        <v>17</v>
      </c>
      <c r="F541" s="22">
        <v>2</v>
      </c>
      <c r="G541" s="22">
        <f t="shared" si="168"/>
        <v>8.1940000000000008</v>
      </c>
      <c r="H541" s="22">
        <f t="shared" si="170"/>
        <v>10.39</v>
      </c>
      <c r="I541" s="147">
        <f t="shared" si="171"/>
        <v>20.78</v>
      </c>
      <c r="J541" s="148"/>
      <c r="K541" s="148"/>
      <c r="L541" s="148"/>
      <c r="M541" s="148">
        <v>9.1300000000000008</v>
      </c>
      <c r="N541" s="148">
        <v>11.58</v>
      </c>
      <c r="O541" s="148">
        <v>23.16</v>
      </c>
      <c r="P541" s="494"/>
      <c r="Q541" s="148">
        <f t="shared" si="163"/>
        <v>0</v>
      </c>
      <c r="R541" s="148"/>
      <c r="S541" s="148">
        <f t="shared" si="172"/>
        <v>0</v>
      </c>
      <c r="T541" s="148">
        <f t="shared" si="167"/>
        <v>2</v>
      </c>
      <c r="U541" s="148">
        <f t="shared" si="166"/>
        <v>23.16</v>
      </c>
      <c r="V541" s="379"/>
      <c r="W541" s="379"/>
      <c r="X541" s="57">
        <f>'COMPOSIÇÃO DE CUSTOS'!G1202</f>
        <v>8.19</v>
      </c>
      <c r="Y541" s="334">
        <v>9.64</v>
      </c>
      <c r="Z541" s="334">
        <f t="shared" si="169"/>
        <v>16.388000000000002</v>
      </c>
      <c r="AA541" s="57"/>
      <c r="AB541" s="58"/>
    </row>
    <row r="542" spans="1:28" s="55" customFormat="1" ht="30">
      <c r="A542" s="19" t="s">
        <v>996</v>
      </c>
      <c r="B542" s="20">
        <v>12573</v>
      </c>
      <c r="C542" s="19" t="s">
        <v>1763</v>
      </c>
      <c r="D542" s="21" t="s">
        <v>44</v>
      </c>
      <c r="E542" s="21" t="s">
        <v>17</v>
      </c>
      <c r="F542" s="22">
        <v>12</v>
      </c>
      <c r="G542" s="22">
        <f t="shared" si="168"/>
        <v>9.5794999999999995</v>
      </c>
      <c r="H542" s="22">
        <f t="shared" si="170"/>
        <v>12.15</v>
      </c>
      <c r="I542" s="147">
        <f t="shared" si="171"/>
        <v>145.80000000000001</v>
      </c>
      <c r="J542" s="148"/>
      <c r="K542" s="148"/>
      <c r="L542" s="148"/>
      <c r="M542" s="148">
        <v>10.67</v>
      </c>
      <c r="N542" s="148">
        <v>13.53</v>
      </c>
      <c r="O542" s="148">
        <v>162.36000000000001</v>
      </c>
      <c r="P542" s="494"/>
      <c r="Q542" s="148">
        <f t="shared" si="163"/>
        <v>0</v>
      </c>
      <c r="R542" s="148"/>
      <c r="S542" s="148">
        <f t="shared" si="172"/>
        <v>0</v>
      </c>
      <c r="T542" s="148">
        <f t="shared" si="167"/>
        <v>12</v>
      </c>
      <c r="U542" s="148">
        <f t="shared" si="166"/>
        <v>162.36000000000001</v>
      </c>
      <c r="V542" s="379"/>
      <c r="W542" s="379"/>
      <c r="X542" s="57">
        <f>'COMPOSIÇÃO DE CUSTOS'!G1209</f>
        <v>9.58</v>
      </c>
      <c r="Y542" s="334">
        <v>11.27</v>
      </c>
      <c r="Z542" s="334">
        <f t="shared" si="169"/>
        <v>114.95399999999999</v>
      </c>
      <c r="AA542" s="57"/>
      <c r="AB542" s="58"/>
    </row>
    <row r="543" spans="1:28" s="55" customFormat="1" ht="30">
      <c r="A543" s="19" t="s">
        <v>997</v>
      </c>
      <c r="B543" s="20">
        <v>12976</v>
      </c>
      <c r="C543" s="19" t="s">
        <v>211</v>
      </c>
      <c r="D543" s="21" t="s">
        <v>44</v>
      </c>
      <c r="E543" s="21" t="s">
        <v>17</v>
      </c>
      <c r="F543" s="22">
        <v>12</v>
      </c>
      <c r="G543" s="22">
        <f t="shared" si="168"/>
        <v>11.662000000000001</v>
      </c>
      <c r="H543" s="22">
        <f t="shared" si="170"/>
        <v>14.79</v>
      </c>
      <c r="I543" s="147">
        <f t="shared" si="171"/>
        <v>177.48</v>
      </c>
      <c r="J543" s="148"/>
      <c r="K543" s="148"/>
      <c r="L543" s="148"/>
      <c r="M543" s="148">
        <v>12.99</v>
      </c>
      <c r="N543" s="148">
        <v>16.47</v>
      </c>
      <c r="O543" s="148">
        <v>197.64</v>
      </c>
      <c r="P543" s="494"/>
      <c r="Q543" s="148">
        <f t="shared" si="163"/>
        <v>0</v>
      </c>
      <c r="R543" s="148"/>
      <c r="S543" s="148">
        <f t="shared" si="172"/>
        <v>0</v>
      </c>
      <c r="T543" s="148">
        <f t="shared" si="167"/>
        <v>12</v>
      </c>
      <c r="U543" s="148">
        <f t="shared" si="166"/>
        <v>197.64</v>
      </c>
      <c r="V543" s="379"/>
      <c r="W543" s="379"/>
      <c r="X543" s="57">
        <f>'COMPOSIÇÃO DE CUSTOS'!G1216</f>
        <v>11.66</v>
      </c>
      <c r="Y543" s="334">
        <v>13.72</v>
      </c>
      <c r="Z543" s="334">
        <f t="shared" si="169"/>
        <v>139.94400000000002</v>
      </c>
      <c r="AA543" s="57"/>
      <c r="AB543" s="58"/>
    </row>
    <row r="544" spans="1:28" s="55" customFormat="1" ht="30">
      <c r="A544" s="19" t="s">
        <v>998</v>
      </c>
      <c r="B544" s="20">
        <v>12977</v>
      </c>
      <c r="C544" s="19" t="s">
        <v>212</v>
      </c>
      <c r="D544" s="21" t="s">
        <v>44</v>
      </c>
      <c r="E544" s="21" t="s">
        <v>17</v>
      </c>
      <c r="F544" s="22">
        <v>7</v>
      </c>
      <c r="G544" s="22">
        <f t="shared" si="168"/>
        <v>13.5745</v>
      </c>
      <c r="H544" s="22">
        <f t="shared" si="170"/>
        <v>17.21</v>
      </c>
      <c r="I544" s="147">
        <f t="shared" si="171"/>
        <v>120.47</v>
      </c>
      <c r="J544" s="148"/>
      <c r="K544" s="148"/>
      <c r="L544" s="148"/>
      <c r="M544" s="148">
        <v>15.12</v>
      </c>
      <c r="N544" s="148">
        <v>19.170000000000002</v>
      </c>
      <c r="O544" s="148">
        <v>134.19</v>
      </c>
      <c r="P544" s="494"/>
      <c r="Q544" s="148">
        <f t="shared" si="163"/>
        <v>0</v>
      </c>
      <c r="R544" s="148"/>
      <c r="S544" s="148">
        <f t="shared" si="172"/>
        <v>0</v>
      </c>
      <c r="T544" s="148">
        <f t="shared" si="167"/>
        <v>7</v>
      </c>
      <c r="U544" s="148">
        <f t="shared" si="166"/>
        <v>134.19</v>
      </c>
      <c r="V544" s="379"/>
      <c r="W544" s="379"/>
      <c r="X544" s="57">
        <f>'COMPOSIÇÃO DE CUSTOS'!G1223</f>
        <v>13.57</v>
      </c>
      <c r="Y544" s="334">
        <v>15.97</v>
      </c>
      <c r="Z544" s="334">
        <f t="shared" si="169"/>
        <v>95.021500000000003</v>
      </c>
      <c r="AA544" s="57"/>
      <c r="AB544" s="58"/>
    </row>
    <row r="545" spans="1:28" s="55" customFormat="1" ht="30">
      <c r="A545" s="19" t="s">
        <v>997</v>
      </c>
      <c r="B545" s="20">
        <v>12978</v>
      </c>
      <c r="C545" s="19" t="s">
        <v>2261</v>
      </c>
      <c r="D545" s="21" t="s">
        <v>44</v>
      </c>
      <c r="E545" s="21" t="s">
        <v>17</v>
      </c>
      <c r="F545" s="22">
        <v>3</v>
      </c>
      <c r="G545" s="22">
        <f t="shared" si="168"/>
        <v>12.044499999999999</v>
      </c>
      <c r="H545" s="22">
        <f t="shared" si="170"/>
        <v>15.27</v>
      </c>
      <c r="I545" s="147">
        <f t="shared" si="171"/>
        <v>45.81</v>
      </c>
      <c r="J545" s="148"/>
      <c r="K545" s="148"/>
      <c r="L545" s="148"/>
      <c r="M545" s="148">
        <v>13.42</v>
      </c>
      <c r="N545" s="148">
        <v>17.02</v>
      </c>
      <c r="O545" s="148">
        <v>51.06</v>
      </c>
      <c r="P545" s="494"/>
      <c r="Q545" s="148">
        <f t="shared" si="163"/>
        <v>0</v>
      </c>
      <c r="R545" s="148"/>
      <c r="S545" s="148">
        <f t="shared" si="172"/>
        <v>0</v>
      </c>
      <c r="T545" s="148">
        <f t="shared" si="167"/>
        <v>3</v>
      </c>
      <c r="U545" s="148">
        <f t="shared" si="166"/>
        <v>51.06</v>
      </c>
      <c r="V545" s="379"/>
      <c r="W545" s="379"/>
      <c r="X545" s="57">
        <f>'COMPOSIÇÃO DE CUSTOS'!G1230</f>
        <v>12.04</v>
      </c>
      <c r="Y545" s="334">
        <v>14.17</v>
      </c>
      <c r="Z545" s="334">
        <f t="shared" si="169"/>
        <v>36.133499999999998</v>
      </c>
      <c r="AA545" s="57"/>
      <c r="AB545" s="58"/>
    </row>
    <row r="546" spans="1:28" s="55" customFormat="1" ht="30">
      <c r="A546" s="19" t="s">
        <v>999</v>
      </c>
      <c r="B546" s="20">
        <v>3988</v>
      </c>
      <c r="C546" s="19" t="s">
        <v>213</v>
      </c>
      <c r="D546" s="21" t="s">
        <v>44</v>
      </c>
      <c r="E546" s="21" t="s">
        <v>17</v>
      </c>
      <c r="F546" s="22">
        <v>3</v>
      </c>
      <c r="G546" s="22">
        <f t="shared" si="168"/>
        <v>12.324999999999999</v>
      </c>
      <c r="H546" s="22">
        <f t="shared" si="170"/>
        <v>15.63</v>
      </c>
      <c r="I546" s="147">
        <f t="shared" si="171"/>
        <v>46.89</v>
      </c>
      <c r="J546" s="148"/>
      <c r="K546" s="148"/>
      <c r="L546" s="148"/>
      <c r="M546" s="148">
        <v>13.73</v>
      </c>
      <c r="N546" s="148">
        <v>17.41</v>
      </c>
      <c r="O546" s="148">
        <v>52.23</v>
      </c>
      <c r="P546" s="494"/>
      <c r="Q546" s="148">
        <f t="shared" si="163"/>
        <v>0</v>
      </c>
      <c r="R546" s="148"/>
      <c r="S546" s="148">
        <f t="shared" si="172"/>
        <v>0</v>
      </c>
      <c r="T546" s="148">
        <f t="shared" si="167"/>
        <v>3</v>
      </c>
      <c r="U546" s="148">
        <f t="shared" si="166"/>
        <v>52.23</v>
      </c>
      <c r="V546" s="379"/>
      <c r="W546" s="379"/>
      <c r="X546" s="57">
        <f>'COMPOSIÇÃO DE CUSTOS'!G1237</f>
        <v>12.32</v>
      </c>
      <c r="Y546" s="334">
        <v>14.5</v>
      </c>
      <c r="Z546" s="334">
        <f t="shared" si="169"/>
        <v>36.974999999999994</v>
      </c>
      <c r="AA546" s="57"/>
      <c r="AB546" s="58"/>
    </row>
    <row r="547" spans="1:28" s="55" customFormat="1">
      <c r="A547" s="229" t="s">
        <v>1000</v>
      </c>
      <c r="B547" s="229"/>
      <c r="C547" s="229" t="s">
        <v>214</v>
      </c>
      <c r="D547" s="230"/>
      <c r="E547" s="230"/>
      <c r="F547" s="230"/>
      <c r="G547" s="22"/>
      <c r="H547" s="230"/>
      <c r="I547" s="445"/>
      <c r="J547" s="440"/>
      <c r="K547" s="440"/>
      <c r="L547" s="440"/>
      <c r="M547" s="440"/>
      <c r="N547" s="440"/>
      <c r="O547" s="440"/>
      <c r="P547" s="492"/>
      <c r="Q547" s="440"/>
      <c r="R547" s="440"/>
      <c r="S547" s="440"/>
      <c r="T547" s="148"/>
      <c r="U547" s="148"/>
      <c r="V547" s="330"/>
      <c r="W547" s="330"/>
      <c r="X547" s="58"/>
      <c r="Y547" s="334"/>
      <c r="Z547" s="334">
        <f t="shared" si="169"/>
        <v>0</v>
      </c>
      <c r="AA547" s="58"/>
      <c r="AB547" s="58"/>
    </row>
    <row r="548" spans="1:28" ht="45">
      <c r="A548" s="19" t="s">
        <v>1001</v>
      </c>
      <c r="B548" s="20">
        <v>91929</v>
      </c>
      <c r="C548" s="19" t="s">
        <v>215</v>
      </c>
      <c r="D548" s="21" t="s">
        <v>12</v>
      </c>
      <c r="E548" s="21" t="s">
        <v>52</v>
      </c>
      <c r="F548" s="22">
        <v>2648.9376999999999</v>
      </c>
      <c r="G548" s="22">
        <f t="shared" si="168"/>
        <v>5.8819999999999997</v>
      </c>
      <c r="H548" s="22">
        <f t="shared" ref="H548:H557" si="173">ROUND(G548*(1+$X$14),2)</f>
        <v>7.46</v>
      </c>
      <c r="I548" s="147">
        <f t="shared" ref="I548:I557" si="174">ROUND(H548*F548,2)</f>
        <v>19761.080000000002</v>
      </c>
      <c r="J548" s="148"/>
      <c r="K548" s="148"/>
      <c r="L548" s="148"/>
      <c r="M548" s="148">
        <v>8.27</v>
      </c>
      <c r="N548" s="148">
        <v>10.49</v>
      </c>
      <c r="O548" s="148">
        <v>27787.360000000001</v>
      </c>
      <c r="P548" s="494"/>
      <c r="Q548" s="148">
        <f>ROUND(P548*H548,2)</f>
        <v>0</v>
      </c>
      <c r="R548" s="148"/>
      <c r="S548" s="148">
        <f>ROUND(R548*N548,2)</f>
        <v>0</v>
      </c>
      <c r="T548" s="148">
        <f t="shared" si="167"/>
        <v>2648.9376999999999</v>
      </c>
      <c r="U548" s="148">
        <f t="shared" si="166"/>
        <v>27787.360000000001</v>
      </c>
      <c r="V548" s="379"/>
      <c r="W548" s="379"/>
      <c r="X548" s="33" t="e">
        <f>IF(B548&lt;&gt;0,VLOOKUP(B548,#REF!,4,FALSE),"")</f>
        <v>#REF!</v>
      </c>
      <c r="Y548" s="337" t="s">
        <v>1859</v>
      </c>
      <c r="Z548" s="337">
        <f t="shared" si="169"/>
        <v>15581.051551399998</v>
      </c>
      <c r="AA548" s="33"/>
      <c r="AB548" s="30" t="e">
        <f>IF(B548&lt;&gt;0,VLOOKUP(B548,#REF!,2,FALSE),"")</f>
        <v>#REF!</v>
      </c>
    </row>
    <row r="549" spans="1:28" s="55" customFormat="1" ht="45">
      <c r="A549" s="19" t="s">
        <v>1002</v>
      </c>
      <c r="B549" s="20">
        <v>91931</v>
      </c>
      <c r="C549" s="19" t="s">
        <v>3416</v>
      </c>
      <c r="D549" s="21" t="s">
        <v>12</v>
      </c>
      <c r="E549" s="21" t="s">
        <v>52</v>
      </c>
      <c r="F549" s="22">
        <v>627</v>
      </c>
      <c r="G549" s="22">
        <f t="shared" si="168"/>
        <v>7.9474999999999998</v>
      </c>
      <c r="H549" s="22">
        <f t="shared" si="173"/>
        <v>10.08</v>
      </c>
      <c r="I549" s="147">
        <f t="shared" si="174"/>
        <v>6320.16</v>
      </c>
      <c r="J549" s="148"/>
      <c r="K549" s="148"/>
      <c r="L549" s="148"/>
      <c r="M549" s="148">
        <v>8.85</v>
      </c>
      <c r="N549" s="148">
        <v>11.22</v>
      </c>
      <c r="O549" s="148">
        <v>7034.94</v>
      </c>
      <c r="P549" s="494"/>
      <c r="Q549" s="148">
        <f>ROUND(P549*N549,2)</f>
        <v>0</v>
      </c>
      <c r="R549" s="148"/>
      <c r="S549" s="148">
        <f t="shared" ref="S549:S557" si="175">ROUND(R549*P549,2)</f>
        <v>0</v>
      </c>
      <c r="T549" s="148">
        <f t="shared" si="167"/>
        <v>627</v>
      </c>
      <c r="U549" s="148">
        <f t="shared" si="166"/>
        <v>7034.94</v>
      </c>
      <c r="V549" s="379"/>
      <c r="W549" s="379"/>
      <c r="X549" s="57" t="e">
        <f>IF(B549&lt;&gt;0,VLOOKUP(B549,#REF!,4,FALSE),"")</f>
        <v>#REF!</v>
      </c>
      <c r="Y549" s="334" t="s">
        <v>1901</v>
      </c>
      <c r="Z549" s="334">
        <f t="shared" si="169"/>
        <v>4983.0824999999995</v>
      </c>
      <c r="AA549" s="57"/>
      <c r="AB549" s="58" t="e">
        <f>IF(B549&lt;&gt;0,VLOOKUP(B549,#REF!,2,FALSE),"")</f>
        <v>#REF!</v>
      </c>
    </row>
    <row r="550" spans="1:28" s="38" customFormat="1" ht="45">
      <c r="A550" s="449" t="s">
        <v>1003</v>
      </c>
      <c r="B550" s="448">
        <v>92980</v>
      </c>
      <c r="C550" s="449" t="s">
        <v>1682</v>
      </c>
      <c r="D550" s="447" t="s">
        <v>12</v>
      </c>
      <c r="E550" s="447" t="s">
        <v>52</v>
      </c>
      <c r="F550" s="450">
        <v>530</v>
      </c>
      <c r="G550" s="450">
        <f t="shared" si="168"/>
        <v>9.2735000000000003</v>
      </c>
      <c r="H550" s="450">
        <f t="shared" si="173"/>
        <v>11.76</v>
      </c>
      <c r="I550" s="451">
        <f t="shared" si="174"/>
        <v>6232.8</v>
      </c>
      <c r="J550" s="452"/>
      <c r="K550" s="452"/>
      <c r="L550" s="452"/>
      <c r="M550" s="452">
        <v>10.33</v>
      </c>
      <c r="N550" s="452">
        <v>13.1</v>
      </c>
      <c r="O550" s="452">
        <v>6943</v>
      </c>
      <c r="P550" s="493">
        <v>6106.65</v>
      </c>
      <c r="Q550" s="452">
        <f>ROUND(P550*N550,2)</f>
        <v>79997.119999999995</v>
      </c>
      <c r="R550" s="452"/>
      <c r="S550" s="452">
        <f t="shared" si="175"/>
        <v>0</v>
      </c>
      <c r="T550" s="452">
        <f t="shared" si="167"/>
        <v>6636.65</v>
      </c>
      <c r="U550" s="452">
        <f t="shared" si="166"/>
        <v>86940.12</v>
      </c>
      <c r="V550" s="453"/>
      <c r="W550" s="453"/>
      <c r="X550" s="42" t="e">
        <f>IF(B550&lt;&gt;0,VLOOKUP(B550,#REF!,4,FALSE),"")</f>
        <v>#REF!</v>
      </c>
      <c r="Y550" s="336" t="s">
        <v>3226</v>
      </c>
      <c r="Z550" s="336">
        <f t="shared" si="169"/>
        <v>4914.9549999999999</v>
      </c>
      <c r="AA550" s="42"/>
      <c r="AB550" s="39" t="e">
        <f>IF(B550&lt;&gt;0,VLOOKUP(B550,#REF!,2,FALSE),"")</f>
        <v>#REF!</v>
      </c>
    </row>
    <row r="551" spans="1:28" s="267" customFormat="1" ht="45">
      <c r="A551" s="19" t="s">
        <v>1004</v>
      </c>
      <c r="B551" s="20">
        <v>92982</v>
      </c>
      <c r="C551" s="19" t="s">
        <v>1683</v>
      </c>
      <c r="D551" s="21" t="s">
        <v>12</v>
      </c>
      <c r="E551" s="21" t="s">
        <v>52</v>
      </c>
      <c r="F551" s="22">
        <v>3503</v>
      </c>
      <c r="G551" s="22">
        <f t="shared" si="168"/>
        <v>14.195</v>
      </c>
      <c r="H551" s="22">
        <f t="shared" si="173"/>
        <v>18</v>
      </c>
      <c r="I551" s="147">
        <f t="shared" si="174"/>
        <v>63054</v>
      </c>
      <c r="J551" s="148"/>
      <c r="K551" s="148"/>
      <c r="L551" s="148"/>
      <c r="M551" s="148">
        <v>26.01</v>
      </c>
      <c r="N551" s="148">
        <v>32.979999999999997</v>
      </c>
      <c r="O551" s="148">
        <v>115528.94</v>
      </c>
      <c r="P551" s="494"/>
      <c r="Q551" s="148">
        <f t="shared" ref="Q551:Q564" si="176">ROUND(P551*N551,2)</f>
        <v>0</v>
      </c>
      <c r="R551" s="148"/>
      <c r="S551" s="148">
        <f t="shared" si="175"/>
        <v>0</v>
      </c>
      <c r="T551" s="148">
        <f t="shared" si="167"/>
        <v>3503</v>
      </c>
      <c r="U551" s="148">
        <f t="shared" si="166"/>
        <v>115528.94</v>
      </c>
      <c r="V551" s="379"/>
      <c r="W551" s="379"/>
      <c r="X551" s="268" t="e">
        <f>IF(B551&lt;&gt;0,VLOOKUP(B551,#REF!,4,FALSE),"")</f>
        <v>#REF!</v>
      </c>
      <c r="Y551" s="335" t="s">
        <v>1847</v>
      </c>
      <c r="Z551" s="334">
        <f t="shared" si="169"/>
        <v>49725.084999999999</v>
      </c>
      <c r="AA551" s="268"/>
      <c r="AB551" s="269" t="e">
        <f>IF(B551&lt;&gt;0,VLOOKUP(B551,#REF!,2,FALSE),"")</f>
        <v>#REF!</v>
      </c>
    </row>
    <row r="552" spans="1:28" s="267" customFormat="1" ht="45">
      <c r="A552" s="19" t="s">
        <v>1005</v>
      </c>
      <c r="B552" s="20">
        <v>92984</v>
      </c>
      <c r="C552" s="19" t="s">
        <v>1684</v>
      </c>
      <c r="D552" s="21" t="s">
        <v>12</v>
      </c>
      <c r="E552" s="21" t="s">
        <v>52</v>
      </c>
      <c r="F552" s="22">
        <v>1918</v>
      </c>
      <c r="G552" s="22">
        <f t="shared" si="168"/>
        <v>22.5505</v>
      </c>
      <c r="H552" s="22">
        <f t="shared" si="173"/>
        <v>28.6</v>
      </c>
      <c r="I552" s="147">
        <f t="shared" si="174"/>
        <v>54854.8</v>
      </c>
      <c r="J552" s="148"/>
      <c r="K552" s="148"/>
      <c r="L552" s="148"/>
      <c r="M552" s="148">
        <v>24.84</v>
      </c>
      <c r="N552" s="148">
        <v>31.5</v>
      </c>
      <c r="O552" s="148">
        <v>60417</v>
      </c>
      <c r="P552" s="494"/>
      <c r="Q552" s="148">
        <f t="shared" si="176"/>
        <v>0</v>
      </c>
      <c r="R552" s="148"/>
      <c r="S552" s="148">
        <f t="shared" si="175"/>
        <v>0</v>
      </c>
      <c r="T552" s="148">
        <f t="shared" si="167"/>
        <v>1918</v>
      </c>
      <c r="U552" s="148">
        <f t="shared" si="166"/>
        <v>60417</v>
      </c>
      <c r="V552" s="379"/>
      <c r="W552" s="379"/>
      <c r="X552" s="268" t="e">
        <f>IF(B552&lt;&gt;0,VLOOKUP(B552,#REF!,4,FALSE),"")</f>
        <v>#REF!</v>
      </c>
      <c r="Y552" s="335" t="s">
        <v>3227</v>
      </c>
      <c r="Z552" s="334">
        <f t="shared" si="169"/>
        <v>43251.858999999997</v>
      </c>
      <c r="AA552" s="268"/>
      <c r="AB552" s="269" t="e">
        <f>IF(B552&lt;&gt;0,VLOOKUP(B552,#REF!,2,FALSE),"")</f>
        <v>#REF!</v>
      </c>
    </row>
    <row r="553" spans="1:28" s="267" customFormat="1" ht="45">
      <c r="A553" s="19" t="s">
        <v>1006</v>
      </c>
      <c r="B553" s="20">
        <v>92986</v>
      </c>
      <c r="C553" s="19" t="s">
        <v>1685</v>
      </c>
      <c r="D553" s="21" t="s">
        <v>12</v>
      </c>
      <c r="E553" s="21" t="s">
        <v>52</v>
      </c>
      <c r="F553" s="22">
        <v>2140</v>
      </c>
      <c r="G553" s="22">
        <f t="shared" si="168"/>
        <v>30.667999999999999</v>
      </c>
      <c r="H553" s="22">
        <f t="shared" si="173"/>
        <v>38.89</v>
      </c>
      <c r="I553" s="147">
        <f t="shared" si="174"/>
        <v>83224.600000000006</v>
      </c>
      <c r="J553" s="148"/>
      <c r="K553" s="148"/>
      <c r="L553" s="148"/>
      <c r="M553" s="148">
        <v>47.53</v>
      </c>
      <c r="N553" s="148">
        <v>60.27</v>
      </c>
      <c r="O553" s="148">
        <v>128977.8</v>
      </c>
      <c r="P553" s="494"/>
      <c r="Q553" s="148">
        <f t="shared" si="176"/>
        <v>0</v>
      </c>
      <c r="R553" s="148"/>
      <c r="S553" s="148">
        <f t="shared" si="175"/>
        <v>0</v>
      </c>
      <c r="T553" s="148">
        <f t="shared" si="167"/>
        <v>2140</v>
      </c>
      <c r="U553" s="148">
        <f t="shared" si="166"/>
        <v>128977.8</v>
      </c>
      <c r="V553" s="379"/>
      <c r="W553" s="379"/>
      <c r="X553" s="268" t="e">
        <f>IF(B553&lt;&gt;0,VLOOKUP(B553,#REF!,4,FALSE),"")</f>
        <v>#REF!</v>
      </c>
      <c r="Y553" s="335" t="s">
        <v>3228</v>
      </c>
      <c r="Z553" s="334">
        <f t="shared" si="169"/>
        <v>65629.52</v>
      </c>
      <c r="AA553" s="268"/>
      <c r="AB553" s="269" t="e">
        <f>IF(B553&lt;&gt;0,VLOOKUP(B553,#REF!,2,FALSE),"")</f>
        <v>#REF!</v>
      </c>
    </row>
    <row r="554" spans="1:28" s="267" customFormat="1" ht="45">
      <c r="A554" s="19" t="s">
        <v>1007</v>
      </c>
      <c r="B554" s="20">
        <v>92988</v>
      </c>
      <c r="C554" s="19" t="s">
        <v>1686</v>
      </c>
      <c r="D554" s="21" t="s">
        <v>12</v>
      </c>
      <c r="E554" s="21" t="s">
        <v>52</v>
      </c>
      <c r="F554" s="22">
        <v>1796</v>
      </c>
      <c r="G554" s="22">
        <f t="shared" si="168"/>
        <v>43.248000000000005</v>
      </c>
      <c r="H554" s="22">
        <f t="shared" si="173"/>
        <v>54.84</v>
      </c>
      <c r="I554" s="147">
        <f t="shared" si="174"/>
        <v>98492.64</v>
      </c>
      <c r="J554" s="148"/>
      <c r="K554" s="148"/>
      <c r="L554" s="148"/>
      <c r="M554" s="148">
        <v>65.13</v>
      </c>
      <c r="N554" s="148">
        <v>82.59</v>
      </c>
      <c r="O554" s="148">
        <v>148331.64000000001</v>
      </c>
      <c r="P554" s="494"/>
      <c r="Q554" s="148">
        <f t="shared" si="176"/>
        <v>0</v>
      </c>
      <c r="R554" s="148"/>
      <c r="S554" s="148">
        <f t="shared" si="175"/>
        <v>0</v>
      </c>
      <c r="T554" s="148">
        <f t="shared" ref="T554:T564" si="177">F554+P554-R554</f>
        <v>1796</v>
      </c>
      <c r="U554" s="148">
        <f t="shared" si="166"/>
        <v>148331.64000000001</v>
      </c>
      <c r="V554" s="379"/>
      <c r="W554" s="379"/>
      <c r="X554" s="268" t="e">
        <f>IF(B554&lt;&gt;0,VLOOKUP(B554,#REF!,4,FALSE),"")</f>
        <v>#REF!</v>
      </c>
      <c r="Y554" s="335" t="s">
        <v>3229</v>
      </c>
      <c r="Z554" s="334">
        <f t="shared" si="169"/>
        <v>77673.40800000001</v>
      </c>
      <c r="AA554" s="268"/>
      <c r="AB554" s="269" t="e">
        <f>IF(B554&lt;&gt;0,VLOOKUP(B554,#REF!,2,FALSE),"")</f>
        <v>#REF!</v>
      </c>
    </row>
    <row r="555" spans="1:28" s="267" customFormat="1" ht="45">
      <c r="A555" s="19" t="s">
        <v>1008</v>
      </c>
      <c r="B555" s="20">
        <v>92990</v>
      </c>
      <c r="C555" s="19" t="s">
        <v>1687</v>
      </c>
      <c r="D555" s="21" t="s">
        <v>12</v>
      </c>
      <c r="E555" s="21" t="s">
        <v>52</v>
      </c>
      <c r="F555" s="22">
        <v>1717</v>
      </c>
      <c r="G555" s="22">
        <f t="shared" si="168"/>
        <v>59.474499999999999</v>
      </c>
      <c r="H555" s="22">
        <f t="shared" si="173"/>
        <v>75.42</v>
      </c>
      <c r="I555" s="147">
        <f t="shared" si="174"/>
        <v>129496.14</v>
      </c>
      <c r="J555" s="148"/>
      <c r="K555" s="148"/>
      <c r="L555" s="148"/>
      <c r="M555" s="148">
        <v>87.62</v>
      </c>
      <c r="N555" s="148">
        <v>111.11</v>
      </c>
      <c r="O555" s="148">
        <v>190775.87</v>
      </c>
      <c r="P555" s="494"/>
      <c r="Q555" s="148">
        <f t="shared" si="176"/>
        <v>0</v>
      </c>
      <c r="R555" s="148"/>
      <c r="S555" s="148">
        <f t="shared" si="175"/>
        <v>0</v>
      </c>
      <c r="T555" s="148">
        <f t="shared" si="177"/>
        <v>1717</v>
      </c>
      <c r="U555" s="148">
        <f t="shared" si="166"/>
        <v>190775.87</v>
      </c>
      <c r="V555" s="379"/>
      <c r="W555" s="379"/>
      <c r="X555" s="268" t="e">
        <f>IF(B555&lt;&gt;0,VLOOKUP(B555,#REF!,4,FALSE),"")</f>
        <v>#REF!</v>
      </c>
      <c r="Y555" s="335" t="s">
        <v>3230</v>
      </c>
      <c r="Z555" s="334">
        <f t="shared" si="169"/>
        <v>102117.71649999999</v>
      </c>
      <c r="AA555" s="268"/>
      <c r="AB555" s="269" t="e">
        <f>IF(B555&lt;&gt;0,VLOOKUP(B555,#REF!,2,FALSE),"")</f>
        <v>#REF!</v>
      </c>
    </row>
    <row r="556" spans="1:28" s="267" customFormat="1" ht="45">
      <c r="A556" s="19" t="s">
        <v>1009</v>
      </c>
      <c r="B556" s="20">
        <v>92992</v>
      </c>
      <c r="C556" s="19" t="s">
        <v>1688</v>
      </c>
      <c r="D556" s="21" t="s">
        <v>12</v>
      </c>
      <c r="E556" s="21" t="s">
        <v>52</v>
      </c>
      <c r="F556" s="22">
        <v>1503</v>
      </c>
      <c r="G556" s="22">
        <f t="shared" si="168"/>
        <v>78.6845</v>
      </c>
      <c r="H556" s="22">
        <f t="shared" si="173"/>
        <v>99.78</v>
      </c>
      <c r="I556" s="147">
        <f t="shared" si="174"/>
        <v>149969.34</v>
      </c>
      <c r="J556" s="148"/>
      <c r="K556" s="148"/>
      <c r="L556" s="148"/>
      <c r="M556" s="148">
        <v>104.78</v>
      </c>
      <c r="N556" s="148">
        <v>132.87</v>
      </c>
      <c r="O556" s="148">
        <v>199703.61</v>
      </c>
      <c r="P556" s="494"/>
      <c r="Q556" s="148">
        <f t="shared" si="176"/>
        <v>0</v>
      </c>
      <c r="R556" s="148"/>
      <c r="S556" s="148">
        <f t="shared" si="175"/>
        <v>0</v>
      </c>
      <c r="T556" s="148">
        <f t="shared" si="177"/>
        <v>1503</v>
      </c>
      <c r="U556" s="148">
        <f t="shared" si="166"/>
        <v>199703.61</v>
      </c>
      <c r="V556" s="379"/>
      <c r="W556" s="379"/>
      <c r="X556" s="268" t="e">
        <f>IF(B556&lt;&gt;0,VLOOKUP(B556,#REF!,4,FALSE),"")</f>
        <v>#REF!</v>
      </c>
      <c r="Y556" s="335" t="s">
        <v>3153</v>
      </c>
      <c r="Z556" s="334">
        <f t="shared" si="169"/>
        <v>118262.80349999999</v>
      </c>
      <c r="AA556" s="268"/>
      <c r="AB556" s="269" t="e">
        <f>IF(B556&lt;&gt;0,VLOOKUP(B556,#REF!,2,FALSE),"")</f>
        <v>#REF!</v>
      </c>
    </row>
    <row r="557" spans="1:28" s="267" customFormat="1" ht="45">
      <c r="A557" s="19" t="s">
        <v>1010</v>
      </c>
      <c r="B557" s="20">
        <v>92994</v>
      </c>
      <c r="C557" s="19" t="s">
        <v>1689</v>
      </c>
      <c r="D557" s="21" t="s">
        <v>12</v>
      </c>
      <c r="E557" s="21" t="s">
        <v>52</v>
      </c>
      <c r="F557" s="22">
        <v>820</v>
      </c>
      <c r="G557" s="22">
        <f t="shared" si="168"/>
        <v>102.017</v>
      </c>
      <c r="H557" s="22">
        <f t="shared" si="173"/>
        <v>129.37</v>
      </c>
      <c r="I557" s="147">
        <f t="shared" si="174"/>
        <v>106083.4</v>
      </c>
      <c r="J557" s="148"/>
      <c r="K557" s="148"/>
      <c r="L557" s="148"/>
      <c r="M557" s="148">
        <v>112.58</v>
      </c>
      <c r="N557" s="148">
        <v>142.76</v>
      </c>
      <c r="O557" s="148">
        <v>117063.2</v>
      </c>
      <c r="P557" s="494"/>
      <c r="Q557" s="148">
        <f t="shared" si="176"/>
        <v>0</v>
      </c>
      <c r="R557" s="148"/>
      <c r="S557" s="148">
        <f t="shared" si="175"/>
        <v>0</v>
      </c>
      <c r="T557" s="148">
        <f t="shared" si="177"/>
        <v>820</v>
      </c>
      <c r="U557" s="148">
        <f t="shared" si="166"/>
        <v>117063.2</v>
      </c>
      <c r="V557" s="379"/>
      <c r="W557" s="379"/>
      <c r="X557" s="268" t="e">
        <f>IF(B557&lt;&gt;0,VLOOKUP(B557,#REF!,4,FALSE),"")</f>
        <v>#REF!</v>
      </c>
      <c r="Y557" s="335" t="s">
        <v>3231</v>
      </c>
      <c r="Z557" s="334">
        <f t="shared" si="169"/>
        <v>83653.94</v>
      </c>
      <c r="AA557" s="268"/>
      <c r="AB557" s="269" t="e">
        <f>IF(B557&lt;&gt;0,VLOOKUP(B557,#REF!,2,FALSE),"")</f>
        <v>#REF!</v>
      </c>
    </row>
    <row r="558" spans="1:28" s="55" customFormat="1" ht="15" customHeight="1">
      <c r="A558" s="229" t="s">
        <v>1011</v>
      </c>
      <c r="B558" s="229"/>
      <c r="C558" s="229" t="s">
        <v>216</v>
      </c>
      <c r="D558" s="230"/>
      <c r="E558" s="230"/>
      <c r="F558" s="230"/>
      <c r="G558" s="22"/>
      <c r="H558" s="230"/>
      <c r="I558" s="445"/>
      <c r="J558" s="440"/>
      <c r="K558" s="440"/>
      <c r="L558" s="440"/>
      <c r="M558" s="440"/>
      <c r="N558" s="440"/>
      <c r="O558" s="440"/>
      <c r="P558" s="492"/>
      <c r="Q558" s="148">
        <f t="shared" si="176"/>
        <v>0</v>
      </c>
      <c r="R558" s="440"/>
      <c r="S558" s="440"/>
      <c r="T558" s="148"/>
      <c r="U558" s="148"/>
      <c r="V558" s="330"/>
      <c r="W558" s="330"/>
      <c r="X558" s="58"/>
      <c r="Y558" s="334"/>
      <c r="Z558" s="334">
        <f t="shared" si="169"/>
        <v>0</v>
      </c>
      <c r="AA558" s="58"/>
      <c r="AB558" s="58"/>
    </row>
    <row r="559" spans="1:28" ht="45">
      <c r="A559" s="36" t="s">
        <v>3625</v>
      </c>
      <c r="B559" s="20">
        <v>97884</v>
      </c>
      <c r="C559" s="439" t="s">
        <v>3626</v>
      </c>
      <c r="D559" s="21" t="s">
        <v>12</v>
      </c>
      <c r="E559" s="21" t="s">
        <v>17</v>
      </c>
      <c r="F559" s="22">
        <v>17</v>
      </c>
      <c r="G559" s="22">
        <f t="shared" si="168"/>
        <v>494.61500000000001</v>
      </c>
      <c r="H559" s="22">
        <f t="shared" ref="H559:H564" si="178">ROUND(G559*(1+$X$14),2)</f>
        <v>627.22</v>
      </c>
      <c r="I559" s="147">
        <f t="shared" ref="I559:I564" si="179">ROUND(H559*F559,2)</f>
        <v>10662.74</v>
      </c>
      <c r="J559" s="148"/>
      <c r="K559" s="148"/>
      <c r="L559" s="148"/>
      <c r="M559" s="148">
        <v>551.01</v>
      </c>
      <c r="N559" s="148">
        <v>698.74</v>
      </c>
      <c r="O559" s="148">
        <v>11878.58</v>
      </c>
      <c r="P559" s="494"/>
      <c r="Q559" s="148">
        <f t="shared" si="176"/>
        <v>0</v>
      </c>
      <c r="R559" s="148"/>
      <c r="S559" s="148">
        <f t="shared" ref="S559:S564" si="180">ROUND(R559*P559,2)</f>
        <v>0</v>
      </c>
      <c r="T559" s="148">
        <f t="shared" si="177"/>
        <v>17</v>
      </c>
      <c r="U559" s="148">
        <f t="shared" si="166"/>
        <v>11878.58</v>
      </c>
      <c r="V559" s="379"/>
      <c r="W559" s="379"/>
      <c r="X559" s="57" t="e">
        <f>IF(B559&lt;&gt;0,VLOOKUP(B559,#REF!,4,FALSE),"")</f>
        <v>#REF!</v>
      </c>
      <c r="Y559" s="334" t="s">
        <v>3239</v>
      </c>
      <c r="Z559" s="334">
        <f t="shared" si="169"/>
        <v>8408.4549999999999</v>
      </c>
      <c r="AA559" s="57"/>
      <c r="AB559" s="58" t="e">
        <f>IF(B559&lt;&gt;0,VLOOKUP(B559,#REF!,2,FALSE),"")</f>
        <v>#REF!</v>
      </c>
    </row>
    <row r="560" spans="1:28" ht="45">
      <c r="A560" s="36" t="s">
        <v>3627</v>
      </c>
      <c r="B560" s="20">
        <v>97883</v>
      </c>
      <c r="C560" s="439" t="s">
        <v>3628</v>
      </c>
      <c r="D560" s="21" t="s">
        <v>12</v>
      </c>
      <c r="E560" s="21" t="s">
        <v>17</v>
      </c>
      <c r="F560" s="22">
        <v>4</v>
      </c>
      <c r="G560" s="22">
        <f t="shared" si="168"/>
        <v>254.422</v>
      </c>
      <c r="H560" s="22">
        <f t="shared" si="178"/>
        <v>322.63</v>
      </c>
      <c r="I560" s="147">
        <f t="shared" si="179"/>
        <v>1290.52</v>
      </c>
      <c r="J560" s="148"/>
      <c r="K560" s="148"/>
      <c r="L560" s="148"/>
      <c r="M560" s="148">
        <v>283.43</v>
      </c>
      <c r="N560" s="148">
        <v>359.42</v>
      </c>
      <c r="O560" s="148">
        <v>1437.68</v>
      </c>
      <c r="P560" s="494"/>
      <c r="Q560" s="148">
        <f t="shared" si="176"/>
        <v>0</v>
      </c>
      <c r="R560" s="148"/>
      <c r="S560" s="148">
        <f t="shared" si="180"/>
        <v>0</v>
      </c>
      <c r="T560" s="148">
        <f t="shared" si="177"/>
        <v>4</v>
      </c>
      <c r="U560" s="148">
        <f t="shared" si="166"/>
        <v>1437.68</v>
      </c>
      <c r="V560" s="379"/>
      <c r="W560" s="379"/>
      <c r="X560" s="57" t="e">
        <f>IF(B560&lt;&gt;0,VLOOKUP(B560,#REF!,4,FALSE),"")</f>
        <v>#REF!</v>
      </c>
      <c r="Y560" s="334" t="s">
        <v>3238</v>
      </c>
      <c r="Z560" s="334">
        <f t="shared" si="169"/>
        <v>1017.688</v>
      </c>
      <c r="AA560" s="57"/>
      <c r="AB560" s="58" t="e">
        <f>IF(B560&lt;&gt;0,VLOOKUP(B560,#REF!,2,FALSE),"")</f>
        <v>#REF!</v>
      </c>
    </row>
    <row r="561" spans="1:28" ht="45">
      <c r="A561" s="36" t="s">
        <v>3629</v>
      </c>
      <c r="B561" s="20">
        <v>97881</v>
      </c>
      <c r="C561" s="439" t="s">
        <v>3630</v>
      </c>
      <c r="D561" s="21" t="s">
        <v>12</v>
      </c>
      <c r="E561" s="21" t="s">
        <v>17</v>
      </c>
      <c r="F561" s="22">
        <v>4</v>
      </c>
      <c r="G561" s="22">
        <f t="shared" si="168"/>
        <v>84.243499999999997</v>
      </c>
      <c r="H561" s="22">
        <f t="shared" si="178"/>
        <v>106.83</v>
      </c>
      <c r="I561" s="147">
        <f t="shared" si="179"/>
        <v>427.32</v>
      </c>
      <c r="J561" s="148"/>
      <c r="K561" s="148"/>
      <c r="L561" s="148"/>
      <c r="M561" s="148">
        <v>93.85</v>
      </c>
      <c r="N561" s="148">
        <v>119.01</v>
      </c>
      <c r="O561" s="148">
        <v>476.04</v>
      </c>
      <c r="P561" s="494"/>
      <c r="Q561" s="148">
        <f t="shared" si="176"/>
        <v>0</v>
      </c>
      <c r="R561" s="148"/>
      <c r="S561" s="148">
        <f t="shared" si="180"/>
        <v>0</v>
      </c>
      <c r="T561" s="148">
        <f t="shared" si="177"/>
        <v>4</v>
      </c>
      <c r="U561" s="148">
        <f t="shared" ref="U561:U623" si="181">O561+Q561-S561+L561</f>
        <v>476.04</v>
      </c>
      <c r="V561" s="379"/>
      <c r="W561" s="379"/>
      <c r="X561" s="57" t="e">
        <f>IF(B561&lt;&gt;0,VLOOKUP(B561,#REF!,4,FALSE),"")</f>
        <v>#REF!</v>
      </c>
      <c r="Y561" s="334" t="s">
        <v>3237</v>
      </c>
      <c r="Z561" s="334">
        <f t="shared" si="169"/>
        <v>336.97399999999999</v>
      </c>
      <c r="AA561" s="57"/>
      <c r="AB561" s="58" t="e">
        <f>IF(B561&lt;&gt;0,VLOOKUP(B561,#REF!,2,FALSE),"")</f>
        <v>#REF!</v>
      </c>
    </row>
    <row r="562" spans="1:28" s="55" customFormat="1" ht="30">
      <c r="A562" s="19" t="s">
        <v>1015</v>
      </c>
      <c r="B562" s="21" t="s">
        <v>2265</v>
      </c>
      <c r="C562" s="19" t="s">
        <v>217</v>
      </c>
      <c r="D562" s="21" t="s">
        <v>1914</v>
      </c>
      <c r="E562" s="21" t="s">
        <v>17</v>
      </c>
      <c r="F562" s="22">
        <v>2</v>
      </c>
      <c r="G562" s="22">
        <f t="shared" si="168"/>
        <v>106.98099999999999</v>
      </c>
      <c r="H562" s="22">
        <f t="shared" si="178"/>
        <v>135.66</v>
      </c>
      <c r="I562" s="147">
        <f t="shared" si="179"/>
        <v>271.32</v>
      </c>
      <c r="J562" s="148"/>
      <c r="K562" s="148"/>
      <c r="L562" s="148"/>
      <c r="M562" s="148">
        <v>119.18</v>
      </c>
      <c r="N562" s="148">
        <v>151.13</v>
      </c>
      <c r="O562" s="148">
        <v>302.26</v>
      </c>
      <c r="P562" s="494"/>
      <c r="Q562" s="148">
        <f t="shared" si="176"/>
        <v>0</v>
      </c>
      <c r="R562" s="148"/>
      <c r="S562" s="148">
        <f t="shared" si="180"/>
        <v>0</v>
      </c>
      <c r="T562" s="148">
        <f t="shared" si="177"/>
        <v>2</v>
      </c>
      <c r="U562" s="148">
        <f t="shared" si="181"/>
        <v>302.26</v>
      </c>
      <c r="V562" s="379"/>
      <c r="W562" s="379"/>
      <c r="X562" s="57">
        <f>'COMPOSIÇÃO DE CUSTOS'!G1244</f>
        <v>106.99</v>
      </c>
      <c r="Y562" s="334">
        <v>125.86</v>
      </c>
      <c r="Z562" s="334">
        <f t="shared" si="169"/>
        <v>213.96199999999999</v>
      </c>
      <c r="AA562" s="57"/>
      <c r="AB562" s="58"/>
    </row>
    <row r="563" spans="1:28" s="55" customFormat="1" ht="55.5" customHeight="1">
      <c r="A563" s="19" t="s">
        <v>1016</v>
      </c>
      <c r="B563" s="20">
        <v>95789</v>
      </c>
      <c r="C563" s="19" t="s">
        <v>1690</v>
      </c>
      <c r="D563" s="21" t="s">
        <v>12</v>
      </c>
      <c r="E563" s="21" t="s">
        <v>17</v>
      </c>
      <c r="F563" s="22">
        <v>3</v>
      </c>
      <c r="G563" s="22">
        <f t="shared" si="168"/>
        <v>23.859500000000001</v>
      </c>
      <c r="H563" s="22">
        <f t="shared" si="178"/>
        <v>30.26</v>
      </c>
      <c r="I563" s="147">
        <f t="shared" si="179"/>
        <v>90.78</v>
      </c>
      <c r="J563" s="148"/>
      <c r="K563" s="148"/>
      <c r="L563" s="148"/>
      <c r="M563" s="148">
        <v>26.58</v>
      </c>
      <c r="N563" s="148">
        <v>33.71</v>
      </c>
      <c r="O563" s="148">
        <v>101.13</v>
      </c>
      <c r="P563" s="494"/>
      <c r="Q563" s="148">
        <f t="shared" si="176"/>
        <v>0</v>
      </c>
      <c r="R563" s="148"/>
      <c r="S563" s="148">
        <f t="shared" si="180"/>
        <v>0</v>
      </c>
      <c r="T563" s="148">
        <f t="shared" si="177"/>
        <v>3</v>
      </c>
      <c r="U563" s="148">
        <f t="shared" si="181"/>
        <v>101.13</v>
      </c>
      <c r="V563" s="379"/>
      <c r="W563" s="379"/>
      <c r="X563" s="57" t="e">
        <f>IF(B563&lt;&gt;0,VLOOKUP(B563,#REF!,4,FALSE),"")</f>
        <v>#REF!</v>
      </c>
      <c r="Y563" s="334" t="s">
        <v>3148</v>
      </c>
      <c r="Z563" s="334">
        <f t="shared" si="169"/>
        <v>71.578500000000005</v>
      </c>
      <c r="AA563" s="57"/>
      <c r="AB563" s="58" t="e">
        <f>IF(B563&lt;&gt;0,VLOOKUP(B563,#REF!,2,FALSE),"")</f>
        <v>#REF!</v>
      </c>
    </row>
    <row r="564" spans="1:28" s="55" customFormat="1" ht="52.5" customHeight="1">
      <c r="A564" s="19" t="s">
        <v>1017</v>
      </c>
      <c r="B564" s="20">
        <v>95796</v>
      </c>
      <c r="C564" s="19" t="s">
        <v>1691</v>
      </c>
      <c r="D564" s="21" t="s">
        <v>12</v>
      </c>
      <c r="E564" s="21" t="s">
        <v>17</v>
      </c>
      <c r="F564" s="22">
        <v>1</v>
      </c>
      <c r="G564" s="22">
        <f t="shared" si="168"/>
        <v>28.092499999999998</v>
      </c>
      <c r="H564" s="22">
        <f t="shared" si="178"/>
        <v>35.619999999999997</v>
      </c>
      <c r="I564" s="147">
        <f t="shared" si="179"/>
        <v>35.619999999999997</v>
      </c>
      <c r="J564" s="148"/>
      <c r="K564" s="148"/>
      <c r="L564" s="148"/>
      <c r="M564" s="148">
        <v>31.3</v>
      </c>
      <c r="N564" s="148">
        <v>39.69</v>
      </c>
      <c r="O564" s="148">
        <v>39.69</v>
      </c>
      <c r="P564" s="494"/>
      <c r="Q564" s="148">
        <f t="shared" si="176"/>
        <v>0</v>
      </c>
      <c r="R564" s="148"/>
      <c r="S564" s="148">
        <f t="shared" si="180"/>
        <v>0</v>
      </c>
      <c r="T564" s="148">
        <f t="shared" si="177"/>
        <v>1</v>
      </c>
      <c r="U564" s="148">
        <f t="shared" si="181"/>
        <v>39.69</v>
      </c>
      <c r="V564" s="379"/>
      <c r="W564" s="379"/>
      <c r="X564" s="57" t="e">
        <f>IF(B564&lt;&gt;0,VLOOKUP(B564,#REF!,4,FALSE),"")</f>
        <v>#REF!</v>
      </c>
      <c r="Y564" s="334" t="s">
        <v>3184</v>
      </c>
      <c r="Z564" s="334">
        <f t="shared" si="169"/>
        <v>28.092499999999998</v>
      </c>
      <c r="AA564" s="57"/>
      <c r="AB564" s="58" t="e">
        <f>IF(B564&lt;&gt;0,VLOOKUP(B564,#REF!,2,FALSE),"")</f>
        <v>#REF!</v>
      </c>
    </row>
    <row r="565" spans="1:28" ht="29.25" customHeight="1">
      <c r="A565" s="19"/>
      <c r="B565" s="21"/>
      <c r="C565" s="19"/>
      <c r="D565" s="21"/>
      <c r="E565" s="21"/>
      <c r="F565" s="22"/>
      <c r="G565" s="22"/>
      <c r="H565" s="22"/>
      <c r="I565" s="147"/>
      <c r="J565" s="148"/>
      <c r="K565" s="148"/>
      <c r="L565" s="148"/>
      <c r="M565" s="148"/>
      <c r="N565" s="148"/>
      <c r="O565" s="148"/>
      <c r="P565" s="494"/>
      <c r="Q565" s="148"/>
      <c r="R565" s="148"/>
      <c r="S565" s="148"/>
      <c r="T565" s="148"/>
      <c r="U565" s="148"/>
      <c r="V565" s="379"/>
      <c r="W565" s="379"/>
      <c r="X565" s="30"/>
      <c r="Y565" s="337"/>
      <c r="Z565" s="334">
        <f t="shared" si="169"/>
        <v>0</v>
      </c>
      <c r="AA565" s="30"/>
      <c r="AB565" s="30"/>
    </row>
    <row r="566" spans="1:28" s="38" customFormat="1" ht="15" customHeight="1">
      <c r="A566" s="229" t="s">
        <v>1018</v>
      </c>
      <c r="B566" s="229"/>
      <c r="C566" s="229" t="s">
        <v>218</v>
      </c>
      <c r="D566" s="230"/>
      <c r="E566" s="230"/>
      <c r="F566" s="230"/>
      <c r="G566" s="22"/>
      <c r="H566" s="230"/>
      <c r="I566" s="445">
        <f>ROUND(SUM(I568:I644),2)</f>
        <v>732550.35</v>
      </c>
      <c r="J566" s="440"/>
      <c r="K566" s="440"/>
      <c r="L566" s="440"/>
      <c r="M566" s="440"/>
      <c r="N566" s="440"/>
      <c r="O566" s="440">
        <v>866573.82</v>
      </c>
      <c r="P566" s="492"/>
      <c r="Q566" s="440">
        <f>ROUND(SUM(Q568:Q644),2)</f>
        <v>0</v>
      </c>
      <c r="R566" s="440"/>
      <c r="S566" s="440">
        <f>ROUND(SUM(S568:S644),2)</f>
        <v>0</v>
      </c>
      <c r="T566" s="148"/>
      <c r="U566" s="440">
        <f t="shared" si="181"/>
        <v>866573.82</v>
      </c>
      <c r="V566" s="99"/>
      <c r="W566" s="99"/>
      <c r="X566" s="37">
        <v>266350.86</v>
      </c>
      <c r="Y566" s="44"/>
      <c r="Z566" s="334">
        <f t="shared" si="169"/>
        <v>0</v>
      </c>
      <c r="AA566" s="44"/>
      <c r="AB566" s="39"/>
    </row>
    <row r="567" spans="1:28" s="55" customFormat="1" ht="15" customHeight="1">
      <c r="A567" s="229" t="s">
        <v>1019</v>
      </c>
      <c r="B567" s="229"/>
      <c r="C567" s="229" t="s">
        <v>219</v>
      </c>
      <c r="D567" s="230"/>
      <c r="E567" s="230"/>
      <c r="F567" s="230"/>
      <c r="G567" s="22"/>
      <c r="H567" s="230"/>
      <c r="I567" s="445"/>
      <c r="J567" s="440"/>
      <c r="K567" s="440"/>
      <c r="L567" s="440"/>
      <c r="M567" s="440"/>
      <c r="N567" s="440"/>
      <c r="O567" s="440"/>
      <c r="P567" s="492"/>
      <c r="Q567" s="440"/>
      <c r="R567" s="440"/>
      <c r="S567" s="440"/>
      <c r="T567" s="148"/>
      <c r="U567" s="148"/>
      <c r="V567" s="330"/>
      <c r="W567" s="330"/>
      <c r="X567" s="58"/>
      <c r="Y567" s="334"/>
      <c r="Z567" s="334">
        <f t="shared" si="169"/>
        <v>0</v>
      </c>
      <c r="AA567" s="58"/>
      <c r="AB567" s="58"/>
    </row>
    <row r="568" spans="1:28" s="55" customFormat="1" ht="30">
      <c r="A568" s="19" t="s">
        <v>1020</v>
      </c>
      <c r="B568" s="20">
        <v>12781</v>
      </c>
      <c r="C568" s="19" t="s">
        <v>2266</v>
      </c>
      <c r="D568" s="21" t="s">
        <v>44</v>
      </c>
      <c r="E568" s="21" t="s">
        <v>17</v>
      </c>
      <c r="F568" s="22">
        <v>2</v>
      </c>
      <c r="G568" s="22">
        <f t="shared" si="168"/>
        <v>2186.9650000000001</v>
      </c>
      <c r="H568" s="22">
        <f>ROUND(G568*(1+$X$14),2)</f>
        <v>2773.29</v>
      </c>
      <c r="I568" s="147">
        <f t="shared" ref="I568:I585" si="182">ROUND(H568*F568,2)</f>
        <v>5546.58</v>
      </c>
      <c r="J568" s="148"/>
      <c r="K568" s="148"/>
      <c r="L568" s="148"/>
      <c r="M568" s="148">
        <v>2436.3000000000002</v>
      </c>
      <c r="N568" s="148">
        <v>3089.47</v>
      </c>
      <c r="O568" s="148">
        <v>6178.94</v>
      </c>
      <c r="P568" s="494"/>
      <c r="Q568" s="148">
        <f t="shared" ref="Q568:Q631" si="183">ROUND(P568*N568,2)</f>
        <v>0</v>
      </c>
      <c r="R568" s="148"/>
      <c r="S568" s="148">
        <f t="shared" ref="S568:S585" si="184">ROUND(R568*P568,2)</f>
        <v>0</v>
      </c>
      <c r="T568" s="148">
        <f t="shared" ref="T568:T598" si="185">F568+P568-R568</f>
        <v>2</v>
      </c>
      <c r="U568" s="148">
        <f t="shared" si="181"/>
        <v>6178.94</v>
      </c>
      <c r="V568" s="379"/>
      <c r="W568" s="379"/>
      <c r="X568" s="57">
        <f>'COMPOSIÇÃO DE CUSTOS'!G1251</f>
        <v>2186.9699999999998</v>
      </c>
      <c r="Y568" s="334">
        <v>2572.9</v>
      </c>
      <c r="Z568" s="334">
        <f t="shared" si="169"/>
        <v>4373.93</v>
      </c>
      <c r="AA568" s="57"/>
      <c r="AB568" s="58"/>
    </row>
    <row r="569" spans="1:28" s="55" customFormat="1" ht="30">
      <c r="A569" s="19" t="s">
        <v>1021</v>
      </c>
      <c r="B569" s="20">
        <v>11419</v>
      </c>
      <c r="C569" s="19" t="s">
        <v>220</v>
      </c>
      <c r="D569" s="21" t="s">
        <v>44</v>
      </c>
      <c r="E569" s="21" t="s">
        <v>17</v>
      </c>
      <c r="F569" s="22">
        <v>2</v>
      </c>
      <c r="G569" s="22">
        <f t="shared" si="168"/>
        <v>17.977499999999999</v>
      </c>
      <c r="H569" s="22">
        <f>ROUND(G569*(1+$X$14),2)</f>
        <v>22.8</v>
      </c>
      <c r="I569" s="147">
        <f t="shared" si="182"/>
        <v>45.6</v>
      </c>
      <c r="J569" s="148"/>
      <c r="K569" s="148"/>
      <c r="L569" s="148"/>
      <c r="M569" s="148">
        <v>20.03</v>
      </c>
      <c r="N569" s="148">
        <v>25.4</v>
      </c>
      <c r="O569" s="148">
        <v>50.8</v>
      </c>
      <c r="P569" s="494"/>
      <c r="Q569" s="148">
        <f t="shared" si="183"/>
        <v>0</v>
      </c>
      <c r="R569" s="148"/>
      <c r="S569" s="148">
        <f t="shared" si="184"/>
        <v>0</v>
      </c>
      <c r="T569" s="148">
        <f t="shared" si="185"/>
        <v>2</v>
      </c>
      <c r="U569" s="148">
        <f t="shared" si="181"/>
        <v>50.8</v>
      </c>
      <c r="V569" s="379"/>
      <c r="W569" s="379"/>
      <c r="X569" s="57">
        <f>'COMPOSIÇÃO DE CUSTOS'!G1933</f>
        <v>21.15</v>
      </c>
      <c r="Y569" s="334">
        <v>21.15</v>
      </c>
      <c r="Z569" s="334">
        <f t="shared" si="169"/>
        <v>35.954999999999998</v>
      </c>
      <c r="AA569" s="57"/>
      <c r="AB569" s="58"/>
    </row>
    <row r="570" spans="1:28" s="55" customFormat="1" ht="30">
      <c r="A570" s="19" t="s">
        <v>3010</v>
      </c>
      <c r="B570" s="20">
        <v>98304</v>
      </c>
      <c r="C570" s="19" t="s">
        <v>2505</v>
      </c>
      <c r="D570" s="21" t="s">
        <v>12</v>
      </c>
      <c r="E570" s="21" t="s">
        <v>17</v>
      </c>
      <c r="F570" s="22">
        <v>8</v>
      </c>
      <c r="G570" s="22">
        <f t="shared" si="168"/>
        <v>732.14750000000004</v>
      </c>
      <c r="H570" s="22">
        <f>ROUND(G570*(1+$X$14),2)</f>
        <v>928.44</v>
      </c>
      <c r="I570" s="147">
        <f t="shared" si="182"/>
        <v>7427.52</v>
      </c>
      <c r="J570" s="148"/>
      <c r="K570" s="148"/>
      <c r="L570" s="148"/>
      <c r="M570" s="148">
        <v>815.62</v>
      </c>
      <c r="N570" s="148">
        <v>1034.29</v>
      </c>
      <c r="O570" s="148">
        <v>8274.32</v>
      </c>
      <c r="P570" s="494"/>
      <c r="Q570" s="148">
        <f t="shared" si="183"/>
        <v>0</v>
      </c>
      <c r="R570" s="148"/>
      <c r="S570" s="148">
        <f t="shared" si="184"/>
        <v>0</v>
      </c>
      <c r="T570" s="148">
        <f t="shared" si="185"/>
        <v>8</v>
      </c>
      <c r="U570" s="148">
        <f t="shared" si="181"/>
        <v>8274.32</v>
      </c>
      <c r="V570" s="379"/>
      <c r="W570" s="379"/>
      <c r="X570" s="57" t="e">
        <f>IF(B570&lt;&gt;0,VLOOKUP(B570,#REF!,4,FALSE),"")</f>
        <v>#REF!</v>
      </c>
      <c r="Y570" s="334" t="s">
        <v>3166</v>
      </c>
      <c r="Z570" s="334">
        <f t="shared" si="169"/>
        <v>5857.18</v>
      </c>
      <c r="AA570" s="57"/>
      <c r="AB570" s="58" t="e">
        <f>IF(B570&lt;&gt;0,VLOOKUP(B570,#REF!,2,FALSE),"")</f>
        <v>#REF!</v>
      </c>
    </row>
    <row r="571" spans="1:28" s="55" customFormat="1" ht="30">
      <c r="A571" s="19" t="s">
        <v>3011</v>
      </c>
      <c r="B571" s="20" t="s">
        <v>2568</v>
      </c>
      <c r="C571" s="19" t="s">
        <v>2667</v>
      </c>
      <c r="D571" s="21" t="s">
        <v>1914</v>
      </c>
      <c r="E571" s="21" t="s">
        <v>17</v>
      </c>
      <c r="F571" s="22">
        <v>2</v>
      </c>
      <c r="G571" s="22">
        <f t="shared" si="168"/>
        <v>39969.550000000003</v>
      </c>
      <c r="H571" s="22">
        <f t="shared" ref="H571:H578" si="186">ROUND(G571*(1+$X$15),2)</f>
        <v>47435.86</v>
      </c>
      <c r="I571" s="147">
        <f t="shared" si="182"/>
        <v>94871.72</v>
      </c>
      <c r="J571" s="148"/>
      <c r="K571" s="148"/>
      <c r="L571" s="148"/>
      <c r="M571" s="148">
        <v>38678.550000000003</v>
      </c>
      <c r="N571" s="148">
        <v>45903.7</v>
      </c>
      <c r="O571" s="148">
        <v>91807.4</v>
      </c>
      <c r="P571" s="494"/>
      <c r="Q571" s="148">
        <f t="shared" si="183"/>
        <v>0</v>
      </c>
      <c r="R571" s="148"/>
      <c r="S571" s="148">
        <f t="shared" si="184"/>
        <v>0</v>
      </c>
      <c r="T571" s="148">
        <f t="shared" si="185"/>
        <v>2</v>
      </c>
      <c r="U571" s="148">
        <f t="shared" si="181"/>
        <v>91807.4</v>
      </c>
      <c r="V571" s="379"/>
      <c r="W571" s="379"/>
      <c r="X571" s="57">
        <f>'COMPOSIÇÃO DE CUSTOS'!G2284</f>
        <v>39969.550000000003</v>
      </c>
      <c r="Y571" s="334">
        <v>47023</v>
      </c>
      <c r="Z571" s="334">
        <f t="shared" si="169"/>
        <v>79939.100000000006</v>
      </c>
      <c r="AA571" s="57"/>
      <c r="AB571" s="58"/>
    </row>
    <row r="572" spans="1:28" s="55" customFormat="1" ht="30">
      <c r="A572" s="19" t="s">
        <v>3012</v>
      </c>
      <c r="B572" s="20" t="s">
        <v>2569</v>
      </c>
      <c r="C572" s="19" t="s">
        <v>2575</v>
      </c>
      <c r="D572" s="21" t="s">
        <v>1914</v>
      </c>
      <c r="E572" s="21" t="s">
        <v>17</v>
      </c>
      <c r="F572" s="22">
        <v>2</v>
      </c>
      <c r="G572" s="22">
        <f t="shared" si="168"/>
        <v>28041.5</v>
      </c>
      <c r="H572" s="22">
        <f t="shared" si="186"/>
        <v>33279.65</v>
      </c>
      <c r="I572" s="147">
        <f t="shared" si="182"/>
        <v>66559.3</v>
      </c>
      <c r="J572" s="148"/>
      <c r="K572" s="148"/>
      <c r="L572" s="148"/>
      <c r="M572" s="148">
        <v>42843.05</v>
      </c>
      <c r="N572" s="148">
        <v>50846.13</v>
      </c>
      <c r="O572" s="148">
        <v>101692.26</v>
      </c>
      <c r="P572" s="494"/>
      <c r="Q572" s="148">
        <f t="shared" si="183"/>
        <v>0</v>
      </c>
      <c r="R572" s="148"/>
      <c r="S572" s="148">
        <f t="shared" si="184"/>
        <v>0</v>
      </c>
      <c r="T572" s="148">
        <f t="shared" si="185"/>
        <v>2</v>
      </c>
      <c r="U572" s="148">
        <f t="shared" si="181"/>
        <v>101692.26</v>
      </c>
      <c r="V572" s="379"/>
      <c r="W572" s="379"/>
      <c r="X572" s="57">
        <f>'COMPOSIÇÃO DE CUSTOS'!G2289</f>
        <v>28041.5</v>
      </c>
      <c r="Y572" s="334">
        <v>32990</v>
      </c>
      <c r="Z572" s="334">
        <f t="shared" si="169"/>
        <v>56083</v>
      </c>
      <c r="AA572" s="57"/>
      <c r="AB572" s="58"/>
    </row>
    <row r="573" spans="1:28" s="55" customFormat="1" ht="30">
      <c r="A573" s="19" t="s">
        <v>3013</v>
      </c>
      <c r="B573" s="20" t="s">
        <v>2570</v>
      </c>
      <c r="C573" s="19" t="s">
        <v>2576</v>
      </c>
      <c r="D573" s="21" t="s">
        <v>1914</v>
      </c>
      <c r="E573" s="21" t="s">
        <v>17</v>
      </c>
      <c r="F573" s="22">
        <v>5</v>
      </c>
      <c r="G573" s="22">
        <f t="shared" si="168"/>
        <v>21038.35</v>
      </c>
      <c r="H573" s="22">
        <f t="shared" si="186"/>
        <v>24968.31</v>
      </c>
      <c r="I573" s="147">
        <f t="shared" si="182"/>
        <v>124841.55</v>
      </c>
      <c r="J573" s="148"/>
      <c r="K573" s="148"/>
      <c r="L573" s="148"/>
      <c r="M573" s="148">
        <v>35500.980000000003</v>
      </c>
      <c r="N573" s="148">
        <v>42132.56</v>
      </c>
      <c r="O573" s="148">
        <v>210662.8</v>
      </c>
      <c r="P573" s="494"/>
      <c r="Q573" s="148">
        <f t="shared" si="183"/>
        <v>0</v>
      </c>
      <c r="R573" s="148"/>
      <c r="S573" s="148">
        <f t="shared" si="184"/>
        <v>0</v>
      </c>
      <c r="T573" s="148">
        <f t="shared" si="185"/>
        <v>5</v>
      </c>
      <c r="U573" s="148">
        <f t="shared" si="181"/>
        <v>210662.8</v>
      </c>
      <c r="V573" s="379"/>
      <c r="W573" s="379"/>
      <c r="X573" s="57">
        <f>'COMPOSIÇÃO DE CUSTOS'!G2294</f>
        <v>21038.35</v>
      </c>
      <c r="Y573" s="334">
        <v>24751</v>
      </c>
      <c r="Z573" s="334">
        <f t="shared" si="169"/>
        <v>105191.75</v>
      </c>
      <c r="AA573" s="57"/>
      <c r="AB573" s="58"/>
    </row>
    <row r="574" spans="1:28" s="55" customFormat="1" ht="30">
      <c r="A574" s="19" t="s">
        <v>3014</v>
      </c>
      <c r="B574" s="20" t="s">
        <v>2574</v>
      </c>
      <c r="C574" s="19" t="s">
        <v>3009</v>
      </c>
      <c r="D574" s="21" t="s">
        <v>1914</v>
      </c>
      <c r="E574" s="21" t="s">
        <v>17</v>
      </c>
      <c r="F574" s="22">
        <v>10</v>
      </c>
      <c r="G574" s="22">
        <f t="shared" si="168"/>
        <v>1491.75</v>
      </c>
      <c r="H574" s="22">
        <f t="shared" si="186"/>
        <v>1770.41</v>
      </c>
      <c r="I574" s="147">
        <f t="shared" si="182"/>
        <v>17704.099999999999</v>
      </c>
      <c r="J574" s="148"/>
      <c r="K574" s="148"/>
      <c r="L574" s="148"/>
      <c r="M574" s="148">
        <v>1993</v>
      </c>
      <c r="N574" s="148">
        <v>2365.29</v>
      </c>
      <c r="O574" s="148">
        <v>23652.9</v>
      </c>
      <c r="P574" s="494"/>
      <c r="Q574" s="148">
        <f t="shared" si="183"/>
        <v>0</v>
      </c>
      <c r="R574" s="148"/>
      <c r="S574" s="148">
        <f t="shared" si="184"/>
        <v>0</v>
      </c>
      <c r="T574" s="148">
        <f t="shared" si="185"/>
        <v>10</v>
      </c>
      <c r="U574" s="148">
        <f t="shared" si="181"/>
        <v>23652.9</v>
      </c>
      <c r="V574" s="379"/>
      <c r="W574" s="379"/>
      <c r="X574" s="57">
        <f>'COMPOSIÇÃO DE CUSTOS'!G2299</f>
        <v>1491.75</v>
      </c>
      <c r="Y574" s="334">
        <v>1755</v>
      </c>
      <c r="Z574" s="334">
        <f t="shared" si="169"/>
        <v>14917.5</v>
      </c>
      <c r="AA574" s="57"/>
      <c r="AB574" s="58"/>
    </row>
    <row r="575" spans="1:28" s="55" customFormat="1" ht="60">
      <c r="A575" s="19" t="s">
        <v>3015</v>
      </c>
      <c r="B575" s="138">
        <v>12955</v>
      </c>
      <c r="C575" s="139" t="s">
        <v>3016</v>
      </c>
      <c r="D575" s="21" t="s">
        <v>44</v>
      </c>
      <c r="E575" s="21" t="s">
        <v>17</v>
      </c>
      <c r="F575" s="22">
        <v>2</v>
      </c>
      <c r="G575" s="22">
        <f t="shared" si="168"/>
        <v>5100</v>
      </c>
      <c r="H575" s="22">
        <f t="shared" si="186"/>
        <v>6052.68</v>
      </c>
      <c r="I575" s="147">
        <f t="shared" si="182"/>
        <v>12105.36</v>
      </c>
      <c r="J575" s="148"/>
      <c r="K575" s="148"/>
      <c r="L575" s="148"/>
      <c r="M575" s="148">
        <v>4434.3900000000003</v>
      </c>
      <c r="N575" s="148">
        <v>5262.73</v>
      </c>
      <c r="O575" s="148">
        <v>10525.46</v>
      </c>
      <c r="P575" s="494"/>
      <c r="Q575" s="148">
        <f t="shared" si="183"/>
        <v>0</v>
      </c>
      <c r="R575" s="148"/>
      <c r="S575" s="148">
        <f t="shared" si="184"/>
        <v>0</v>
      </c>
      <c r="T575" s="148">
        <f t="shared" si="185"/>
        <v>2</v>
      </c>
      <c r="U575" s="148">
        <f t="shared" si="181"/>
        <v>10525.46</v>
      </c>
      <c r="V575" s="379"/>
      <c r="W575" s="379"/>
      <c r="X575" s="57">
        <f>'COMPOSIÇÃO DE CUSTOS'!G1805</f>
        <v>5100</v>
      </c>
      <c r="Y575" s="334">
        <v>6000</v>
      </c>
      <c r="Z575" s="334">
        <f t="shared" si="169"/>
        <v>10200</v>
      </c>
      <c r="AA575" s="57"/>
      <c r="AB575" s="58"/>
    </row>
    <row r="576" spans="1:28" s="55" customFormat="1">
      <c r="A576" s="19" t="s">
        <v>2552</v>
      </c>
      <c r="B576" s="20">
        <v>39606</v>
      </c>
      <c r="C576" s="19" t="s">
        <v>1874</v>
      </c>
      <c r="D576" s="21" t="s">
        <v>12</v>
      </c>
      <c r="E576" s="21" t="s">
        <v>17</v>
      </c>
      <c r="F576" s="22">
        <v>365</v>
      </c>
      <c r="G576" s="22">
        <f t="shared" si="168"/>
        <v>15.572000000000001</v>
      </c>
      <c r="H576" s="22">
        <f t="shared" si="186"/>
        <v>18.48</v>
      </c>
      <c r="I576" s="147">
        <f t="shared" si="182"/>
        <v>6745.2</v>
      </c>
      <c r="J576" s="148"/>
      <c r="K576" s="148"/>
      <c r="L576" s="148"/>
      <c r="M576" s="148">
        <v>17.350000000000001</v>
      </c>
      <c r="N576" s="148">
        <v>20.59</v>
      </c>
      <c r="O576" s="148">
        <v>7515.35</v>
      </c>
      <c r="P576" s="494"/>
      <c r="Q576" s="148">
        <f t="shared" si="183"/>
        <v>0</v>
      </c>
      <c r="R576" s="148"/>
      <c r="S576" s="148">
        <f t="shared" si="184"/>
        <v>0</v>
      </c>
      <c r="T576" s="148">
        <f t="shared" si="185"/>
        <v>365</v>
      </c>
      <c r="U576" s="148">
        <f t="shared" si="181"/>
        <v>7515.35</v>
      </c>
      <c r="V576" s="379"/>
      <c r="W576" s="379"/>
      <c r="X576" s="57" t="e">
        <f>IF(B576&lt;&gt;0,VLOOKUP(B576,#REF!,4,FALSE),"")</f>
        <v>#REF!</v>
      </c>
      <c r="Y576" s="334" t="s">
        <v>3038</v>
      </c>
      <c r="Z576" s="334">
        <f t="shared" si="169"/>
        <v>5683.7800000000007</v>
      </c>
      <c r="AA576" s="57"/>
      <c r="AB576" s="58" t="e">
        <f>IF(B576&lt;&gt;0,VLOOKUP(B576,#REF!,2,FALSE),"")</f>
        <v>#REF!</v>
      </c>
    </row>
    <row r="577" spans="1:28" s="55" customFormat="1">
      <c r="A577" s="19" t="s">
        <v>2553</v>
      </c>
      <c r="B577" s="20">
        <v>39607</v>
      </c>
      <c r="C577" s="19" t="s">
        <v>1876</v>
      </c>
      <c r="D577" s="21" t="s">
        <v>12</v>
      </c>
      <c r="E577" s="21" t="s">
        <v>17</v>
      </c>
      <c r="F577" s="22">
        <f>365-24-5</f>
        <v>336</v>
      </c>
      <c r="G577" s="22">
        <f t="shared" si="168"/>
        <v>17.858500000000003</v>
      </c>
      <c r="H577" s="22">
        <f t="shared" si="186"/>
        <v>21.19</v>
      </c>
      <c r="I577" s="147">
        <f t="shared" si="182"/>
        <v>7119.84</v>
      </c>
      <c r="J577" s="148"/>
      <c r="K577" s="148"/>
      <c r="L577" s="148"/>
      <c r="M577" s="148">
        <v>19.89</v>
      </c>
      <c r="N577" s="148">
        <v>23.61</v>
      </c>
      <c r="O577" s="148">
        <v>7932.96</v>
      </c>
      <c r="P577" s="494"/>
      <c r="Q577" s="148">
        <f t="shared" si="183"/>
        <v>0</v>
      </c>
      <c r="R577" s="148"/>
      <c r="S577" s="148">
        <f t="shared" si="184"/>
        <v>0</v>
      </c>
      <c r="T577" s="148">
        <f t="shared" si="185"/>
        <v>336</v>
      </c>
      <c r="U577" s="148">
        <f t="shared" si="181"/>
        <v>7932.96</v>
      </c>
      <c r="V577" s="379"/>
      <c r="W577" s="379"/>
      <c r="X577" s="57" t="e">
        <f>IF(B577&lt;&gt;0,VLOOKUP(B577,#REF!,4,FALSE),"")</f>
        <v>#REF!</v>
      </c>
      <c r="Y577" s="334" t="s">
        <v>3040</v>
      </c>
      <c r="Z577" s="334">
        <f t="shared" si="169"/>
        <v>6000.456000000001</v>
      </c>
      <c r="AA577" s="57"/>
      <c r="AB577" s="58" t="e">
        <f>IF(B577&lt;&gt;0,VLOOKUP(B577,#REF!,2,FALSE),"")</f>
        <v>#REF!</v>
      </c>
    </row>
    <row r="578" spans="1:28" s="55" customFormat="1" ht="45">
      <c r="A578" s="36" t="s">
        <v>3552</v>
      </c>
      <c r="B578" s="20">
        <v>39611</v>
      </c>
      <c r="C578" s="439" t="s">
        <v>3743</v>
      </c>
      <c r="D578" s="21" t="s">
        <v>12</v>
      </c>
      <c r="E578" s="21" t="s">
        <v>17</v>
      </c>
      <c r="F578" s="22">
        <v>2</v>
      </c>
      <c r="G578" s="22">
        <f t="shared" si="168"/>
        <v>91406.551999999996</v>
      </c>
      <c r="H578" s="22">
        <f t="shared" si="186"/>
        <v>108481.3</v>
      </c>
      <c r="I578" s="147">
        <f t="shared" si="182"/>
        <v>216962.6</v>
      </c>
      <c r="J578" s="148"/>
      <c r="K578" s="148"/>
      <c r="L578" s="148"/>
      <c r="M578" s="148">
        <v>70060</v>
      </c>
      <c r="N578" s="148">
        <v>83147.210000000006</v>
      </c>
      <c r="O578" s="148">
        <v>166294.42000000001</v>
      </c>
      <c r="P578" s="494"/>
      <c r="Q578" s="148">
        <f t="shared" si="183"/>
        <v>0</v>
      </c>
      <c r="R578" s="148"/>
      <c r="S578" s="148">
        <f t="shared" si="184"/>
        <v>0</v>
      </c>
      <c r="T578" s="148">
        <f t="shared" si="185"/>
        <v>2</v>
      </c>
      <c r="U578" s="148">
        <f t="shared" si="181"/>
        <v>166294.42000000001</v>
      </c>
      <c r="V578" s="379"/>
      <c r="W578" s="379"/>
      <c r="X578" s="57" t="e">
        <f>IF(B578&lt;&gt;0,VLOOKUP(B578,#REF!,4,FALSE),"")</f>
        <v>#REF!</v>
      </c>
      <c r="Y578" s="334" t="s">
        <v>3316</v>
      </c>
      <c r="Z578" s="334">
        <f t="shared" si="169"/>
        <v>182813.10399999999</v>
      </c>
      <c r="AA578" s="356">
        <f>SUM(G571:G578)</f>
        <v>187081.13250000001</v>
      </c>
      <c r="AB578" s="58" t="e">
        <f>IF(B578&lt;&gt;0,VLOOKUP(B578,#REF!,2,FALSE),"")</f>
        <v>#REF!</v>
      </c>
    </row>
    <row r="579" spans="1:28" s="55" customFormat="1" ht="30">
      <c r="A579" s="19" t="s">
        <v>2554</v>
      </c>
      <c r="B579" s="20">
        <v>10727</v>
      </c>
      <c r="C579" s="19" t="s">
        <v>2501</v>
      </c>
      <c r="D579" s="21" t="s">
        <v>44</v>
      </c>
      <c r="E579" s="21" t="s">
        <v>17</v>
      </c>
      <c r="F579" s="22">
        <v>4</v>
      </c>
      <c r="G579" s="22">
        <f t="shared" si="168"/>
        <v>354.99399999999997</v>
      </c>
      <c r="H579" s="22">
        <f t="shared" ref="H579:H585" si="187">ROUND(G579*(1+$X$14),2)</f>
        <v>450.17</v>
      </c>
      <c r="I579" s="147">
        <f t="shared" si="182"/>
        <v>1800.68</v>
      </c>
      <c r="J579" s="148"/>
      <c r="K579" s="148"/>
      <c r="L579" s="148"/>
      <c r="M579" s="148">
        <v>395.47</v>
      </c>
      <c r="N579" s="148">
        <v>501.5</v>
      </c>
      <c r="O579" s="148">
        <v>2006</v>
      </c>
      <c r="P579" s="494"/>
      <c r="Q579" s="148">
        <f t="shared" si="183"/>
        <v>0</v>
      </c>
      <c r="R579" s="148"/>
      <c r="S579" s="148">
        <f t="shared" si="184"/>
        <v>0</v>
      </c>
      <c r="T579" s="148">
        <f t="shared" si="185"/>
        <v>4</v>
      </c>
      <c r="U579" s="148">
        <f t="shared" si="181"/>
        <v>2006</v>
      </c>
      <c r="V579" s="379"/>
      <c r="W579" s="379"/>
      <c r="X579" s="57">
        <f>'COMPOSIÇÃO DE CUSTOS'!G2010</f>
        <v>355</v>
      </c>
      <c r="Y579" s="334">
        <v>417.64</v>
      </c>
      <c r="Z579" s="334">
        <f t="shared" si="169"/>
        <v>1419.9759999999999</v>
      </c>
      <c r="AA579" s="57"/>
      <c r="AB579" s="58"/>
    </row>
    <row r="580" spans="1:28" s="55" customFormat="1" ht="39.75" customHeight="1">
      <c r="A580" s="19" t="s">
        <v>2555</v>
      </c>
      <c r="B580" s="20">
        <v>8362</v>
      </c>
      <c r="C580" s="19" t="s">
        <v>222</v>
      </c>
      <c r="D580" s="21" t="s">
        <v>44</v>
      </c>
      <c r="E580" s="21" t="s">
        <v>17</v>
      </c>
      <c r="F580" s="22">
        <v>21</v>
      </c>
      <c r="G580" s="22">
        <f t="shared" si="168"/>
        <v>16.3965</v>
      </c>
      <c r="H580" s="22">
        <f t="shared" si="187"/>
        <v>20.79</v>
      </c>
      <c r="I580" s="147">
        <f t="shared" si="182"/>
        <v>436.59</v>
      </c>
      <c r="J580" s="148"/>
      <c r="K580" s="148"/>
      <c r="L580" s="148"/>
      <c r="M580" s="148">
        <v>18.27</v>
      </c>
      <c r="N580" s="148">
        <v>23.17</v>
      </c>
      <c r="O580" s="148">
        <v>486.57</v>
      </c>
      <c r="P580" s="494"/>
      <c r="Q580" s="148">
        <f t="shared" si="183"/>
        <v>0</v>
      </c>
      <c r="R580" s="148"/>
      <c r="S580" s="148">
        <f t="shared" si="184"/>
        <v>0</v>
      </c>
      <c r="T580" s="148">
        <f t="shared" si="185"/>
        <v>21</v>
      </c>
      <c r="U580" s="148">
        <f t="shared" si="181"/>
        <v>486.57</v>
      </c>
      <c r="V580" s="379"/>
      <c r="W580" s="379"/>
      <c r="X580" s="57">
        <f>'COMPOSIÇÃO DE CUSTOS'!G1997</f>
        <v>16.399999999999999</v>
      </c>
      <c r="Y580" s="334">
        <v>19.29</v>
      </c>
      <c r="Z580" s="334">
        <f t="shared" si="169"/>
        <v>344.32650000000001</v>
      </c>
      <c r="AA580" s="57"/>
      <c r="AB580" s="58"/>
    </row>
    <row r="581" spans="1:28" s="55" customFormat="1" ht="30" customHeight="1">
      <c r="A581" s="19" t="s">
        <v>2556</v>
      </c>
      <c r="B581" s="263">
        <v>11417</v>
      </c>
      <c r="C581" s="139" t="s">
        <v>3085</v>
      </c>
      <c r="D581" s="21" t="s">
        <v>44</v>
      </c>
      <c r="E581" s="21" t="s">
        <v>17</v>
      </c>
      <c r="F581" s="22">
        <v>2</v>
      </c>
      <c r="G581" s="22">
        <f t="shared" si="168"/>
        <v>133.21199999999999</v>
      </c>
      <c r="H581" s="22">
        <f t="shared" si="187"/>
        <v>168.93</v>
      </c>
      <c r="I581" s="147">
        <f t="shared" si="182"/>
        <v>337.86</v>
      </c>
      <c r="J581" s="148"/>
      <c r="K581" s="148"/>
      <c r="L581" s="148"/>
      <c r="M581" s="148">
        <v>148.4</v>
      </c>
      <c r="N581" s="148">
        <v>188.19</v>
      </c>
      <c r="O581" s="148">
        <v>376.38</v>
      </c>
      <c r="P581" s="494"/>
      <c r="Q581" s="148">
        <f t="shared" si="183"/>
        <v>0</v>
      </c>
      <c r="R581" s="148"/>
      <c r="S581" s="148">
        <f t="shared" si="184"/>
        <v>0</v>
      </c>
      <c r="T581" s="148">
        <f t="shared" si="185"/>
        <v>2</v>
      </c>
      <c r="U581" s="148">
        <f t="shared" si="181"/>
        <v>376.38</v>
      </c>
      <c r="V581" s="379"/>
      <c r="W581" s="379"/>
      <c r="X581" s="57">
        <f>'COMPOSIÇÃO DE CUSTOS'!G2561</f>
        <v>133.21</v>
      </c>
      <c r="Y581" s="334">
        <v>156.72</v>
      </c>
      <c r="Z581" s="334">
        <f t="shared" si="169"/>
        <v>266.42399999999998</v>
      </c>
      <c r="AA581" s="57"/>
      <c r="AB581" s="58"/>
    </row>
    <row r="582" spans="1:28" s="55" customFormat="1" ht="30">
      <c r="A582" s="19" t="s">
        <v>2557</v>
      </c>
      <c r="B582" s="131" t="s">
        <v>2538</v>
      </c>
      <c r="C582" s="19" t="s">
        <v>2539</v>
      </c>
      <c r="D582" s="21" t="s">
        <v>1914</v>
      </c>
      <c r="E582" s="21" t="s">
        <v>17</v>
      </c>
      <c r="F582" s="22">
        <v>2</v>
      </c>
      <c r="G582" s="22">
        <f t="shared" si="168"/>
        <v>1953.9204999999999</v>
      </c>
      <c r="H582" s="22">
        <f t="shared" si="187"/>
        <v>2477.77</v>
      </c>
      <c r="I582" s="147">
        <f t="shared" si="182"/>
        <v>4955.54</v>
      </c>
      <c r="J582" s="148"/>
      <c r="K582" s="148"/>
      <c r="L582" s="148"/>
      <c r="M582" s="148">
        <v>2176.6799999999998</v>
      </c>
      <c r="N582" s="148">
        <v>2760.25</v>
      </c>
      <c r="O582" s="148">
        <v>5520.5</v>
      </c>
      <c r="P582" s="494"/>
      <c r="Q582" s="148">
        <f t="shared" si="183"/>
        <v>0</v>
      </c>
      <c r="R582" s="148"/>
      <c r="S582" s="148">
        <f t="shared" si="184"/>
        <v>0</v>
      </c>
      <c r="T582" s="148">
        <f t="shared" si="185"/>
        <v>2</v>
      </c>
      <c r="U582" s="148">
        <f t="shared" si="181"/>
        <v>5520.5</v>
      </c>
      <c r="V582" s="379"/>
      <c r="W582" s="379"/>
      <c r="X582" s="57">
        <f>'COMPOSIÇÃO DE CUSTOS'!G2265</f>
        <v>1953.92</v>
      </c>
      <c r="Y582" s="334">
        <v>2298.73</v>
      </c>
      <c r="Z582" s="334">
        <f t="shared" si="169"/>
        <v>3907.8409999999999</v>
      </c>
      <c r="AA582" s="57"/>
      <c r="AB582" s="58"/>
    </row>
    <row r="583" spans="1:28" s="55" customFormat="1" ht="30">
      <c r="A583" s="19" t="s">
        <v>2758</v>
      </c>
      <c r="B583" s="20">
        <v>8681</v>
      </c>
      <c r="C583" s="19" t="s">
        <v>2205</v>
      </c>
      <c r="D583" s="21" t="s">
        <v>44</v>
      </c>
      <c r="E583" s="21" t="s">
        <v>17</v>
      </c>
      <c r="F583" s="22">
        <v>1</v>
      </c>
      <c r="G583" s="22">
        <f t="shared" si="168"/>
        <v>387.66800000000001</v>
      </c>
      <c r="H583" s="22">
        <f t="shared" si="187"/>
        <v>491.6</v>
      </c>
      <c r="I583" s="147">
        <f t="shared" si="182"/>
        <v>491.6</v>
      </c>
      <c r="J583" s="148"/>
      <c r="K583" s="148"/>
      <c r="L583" s="148"/>
      <c r="M583" s="148">
        <v>431.87</v>
      </c>
      <c r="N583" s="148">
        <v>547.65</v>
      </c>
      <c r="O583" s="148">
        <v>547.65</v>
      </c>
      <c r="P583" s="494"/>
      <c r="Q583" s="148">
        <f t="shared" si="183"/>
        <v>0</v>
      </c>
      <c r="R583" s="148"/>
      <c r="S583" s="148">
        <f t="shared" si="184"/>
        <v>0</v>
      </c>
      <c r="T583" s="148">
        <f t="shared" si="185"/>
        <v>1</v>
      </c>
      <c r="U583" s="148">
        <f t="shared" si="181"/>
        <v>547.65</v>
      </c>
      <c r="V583" s="379"/>
      <c r="W583" s="379"/>
      <c r="X583" s="57">
        <f>'COMPOSIÇÃO DE CUSTOS'!G1940</f>
        <v>387.68</v>
      </c>
      <c r="Y583" s="334">
        <v>456.08</v>
      </c>
      <c r="Z583" s="334">
        <f t="shared" si="169"/>
        <v>387.66800000000001</v>
      </c>
      <c r="AA583" s="57"/>
      <c r="AB583" s="58"/>
    </row>
    <row r="584" spans="1:28" s="55" customFormat="1" ht="60">
      <c r="A584" s="19" t="s">
        <v>2759</v>
      </c>
      <c r="B584" s="20" t="s">
        <v>2389</v>
      </c>
      <c r="C584" s="19" t="s">
        <v>2399</v>
      </c>
      <c r="D584" s="21" t="s">
        <v>1914</v>
      </c>
      <c r="E584" s="21" t="s">
        <v>17</v>
      </c>
      <c r="F584" s="22">
        <v>2</v>
      </c>
      <c r="G584" s="22">
        <f t="shared" si="168"/>
        <v>3109.47</v>
      </c>
      <c r="H584" s="22">
        <f t="shared" si="187"/>
        <v>3943.12</v>
      </c>
      <c r="I584" s="147">
        <f t="shared" si="182"/>
        <v>7886.24</v>
      </c>
      <c r="J584" s="148"/>
      <c r="K584" s="148"/>
      <c r="L584" s="148"/>
      <c r="M584" s="148">
        <v>3463.98</v>
      </c>
      <c r="N584" s="148">
        <v>4392.67</v>
      </c>
      <c r="O584" s="148">
        <v>8785.34</v>
      </c>
      <c r="P584" s="494"/>
      <c r="Q584" s="148">
        <f t="shared" si="183"/>
        <v>0</v>
      </c>
      <c r="R584" s="148"/>
      <c r="S584" s="148">
        <f t="shared" si="184"/>
        <v>0</v>
      </c>
      <c r="T584" s="148">
        <f t="shared" si="185"/>
        <v>2</v>
      </c>
      <c r="U584" s="148">
        <f t="shared" si="181"/>
        <v>8785.34</v>
      </c>
      <c r="V584" s="379"/>
      <c r="W584" s="379"/>
      <c r="X584" s="57">
        <f>'COMPOSIÇÃO DE CUSTOS'!G1823</f>
        <v>3109.47</v>
      </c>
      <c r="Y584" s="334">
        <v>3658.2</v>
      </c>
      <c r="Z584" s="334">
        <f t="shared" si="169"/>
        <v>6218.94</v>
      </c>
      <c r="AA584" s="57"/>
      <c r="AB584" s="58"/>
    </row>
    <row r="585" spans="1:28" s="55" customFormat="1" ht="30">
      <c r="A585" s="19" t="s">
        <v>3018</v>
      </c>
      <c r="B585" s="20" t="s">
        <v>2391</v>
      </c>
      <c r="C585" s="19" t="s">
        <v>2390</v>
      </c>
      <c r="D585" s="21" t="s">
        <v>1914</v>
      </c>
      <c r="E585" s="21" t="s">
        <v>17</v>
      </c>
      <c r="F585" s="22">
        <v>20</v>
      </c>
      <c r="G585" s="22">
        <f t="shared" si="168"/>
        <v>136.28900000000002</v>
      </c>
      <c r="H585" s="22">
        <f t="shared" si="187"/>
        <v>172.83</v>
      </c>
      <c r="I585" s="147">
        <f t="shared" si="182"/>
        <v>3456.6</v>
      </c>
      <c r="J585" s="148"/>
      <c r="K585" s="148"/>
      <c r="L585" s="148"/>
      <c r="M585" s="148">
        <v>151.83000000000001</v>
      </c>
      <c r="N585" s="148">
        <v>192.54</v>
      </c>
      <c r="O585" s="148">
        <v>3850.8</v>
      </c>
      <c r="P585" s="494"/>
      <c r="Q585" s="148">
        <f t="shared" si="183"/>
        <v>0</v>
      </c>
      <c r="R585" s="148"/>
      <c r="S585" s="148">
        <f t="shared" si="184"/>
        <v>0</v>
      </c>
      <c r="T585" s="148">
        <f t="shared" si="185"/>
        <v>20</v>
      </c>
      <c r="U585" s="148">
        <f t="shared" si="181"/>
        <v>3850.8</v>
      </c>
      <c r="V585" s="379"/>
      <c r="W585" s="379"/>
      <c r="X585" s="57">
        <f>'COMPOSIÇÃO DE CUSTOS'!G1830</f>
        <v>136.29</v>
      </c>
      <c r="Y585" s="334">
        <v>160.34</v>
      </c>
      <c r="Z585" s="334">
        <f t="shared" si="169"/>
        <v>2725.78</v>
      </c>
      <c r="AA585" s="57"/>
      <c r="AB585" s="58"/>
    </row>
    <row r="586" spans="1:28" s="55" customFormat="1" ht="15" customHeight="1">
      <c r="A586" s="229" t="s">
        <v>1023</v>
      </c>
      <c r="B586" s="229"/>
      <c r="C586" s="229" t="s">
        <v>224</v>
      </c>
      <c r="D586" s="230"/>
      <c r="E586" s="230"/>
      <c r="F586" s="230"/>
      <c r="G586" s="22"/>
      <c r="H586" s="230"/>
      <c r="I586" s="445"/>
      <c r="J586" s="440"/>
      <c r="K586" s="440"/>
      <c r="L586" s="440"/>
      <c r="M586" s="440"/>
      <c r="N586" s="440"/>
      <c r="O586" s="440"/>
      <c r="P586" s="492"/>
      <c r="Q586" s="148">
        <f t="shared" si="183"/>
        <v>0</v>
      </c>
      <c r="R586" s="440"/>
      <c r="S586" s="440"/>
      <c r="T586" s="148"/>
      <c r="U586" s="148"/>
      <c r="V586" s="330"/>
      <c r="W586" s="330"/>
      <c r="X586" s="58"/>
      <c r="Y586" s="334"/>
      <c r="Z586" s="334">
        <f t="shared" si="169"/>
        <v>0</v>
      </c>
      <c r="AA586" s="58"/>
      <c r="AB586" s="58"/>
    </row>
    <row r="587" spans="1:28" s="55" customFormat="1" ht="45">
      <c r="A587" s="19" t="s">
        <v>1024</v>
      </c>
      <c r="B587" s="20">
        <v>91863</v>
      </c>
      <c r="C587" s="19" t="s">
        <v>1692</v>
      </c>
      <c r="D587" s="21" t="s">
        <v>12</v>
      </c>
      <c r="E587" s="21" t="s">
        <v>52</v>
      </c>
      <c r="F587" s="22">
        <v>223</v>
      </c>
      <c r="G587" s="22">
        <f t="shared" si="168"/>
        <v>6.8849999999999998</v>
      </c>
      <c r="H587" s="22">
        <f t="shared" ref="H587:H623" si="188">ROUND(G587*(1+$X$14),2)</f>
        <v>8.73</v>
      </c>
      <c r="I587" s="147">
        <f t="shared" ref="I587:I623" si="189">ROUND(H587*F587,2)</f>
        <v>1946.79</v>
      </c>
      <c r="J587" s="148"/>
      <c r="K587" s="148"/>
      <c r="L587" s="148"/>
      <c r="M587" s="148">
        <v>7.67</v>
      </c>
      <c r="N587" s="148">
        <v>9.73</v>
      </c>
      <c r="O587" s="148">
        <v>2169.79</v>
      </c>
      <c r="P587" s="494"/>
      <c r="Q587" s="148">
        <f t="shared" si="183"/>
        <v>0</v>
      </c>
      <c r="R587" s="148"/>
      <c r="S587" s="148">
        <f t="shared" ref="S587:S623" si="190">ROUND(R587*P587,2)</f>
        <v>0</v>
      </c>
      <c r="T587" s="148">
        <f t="shared" si="185"/>
        <v>223</v>
      </c>
      <c r="U587" s="148">
        <f t="shared" si="181"/>
        <v>2169.79</v>
      </c>
      <c r="V587" s="379"/>
      <c r="W587" s="379"/>
      <c r="X587" s="57" t="e">
        <f>IF(B587&lt;&gt;0,VLOOKUP(B587,#REF!,4,FALSE),"")</f>
        <v>#REF!</v>
      </c>
      <c r="Y587" s="334" t="s">
        <v>1885</v>
      </c>
      <c r="Z587" s="334">
        <f t="shared" si="169"/>
        <v>1535.355</v>
      </c>
      <c r="AA587" s="57"/>
      <c r="AB587" s="58" t="e">
        <f>IF(B587&lt;&gt;0,VLOOKUP(B587,#REF!,2,FALSE),"")</f>
        <v>#REF!</v>
      </c>
    </row>
    <row r="588" spans="1:28" s="55" customFormat="1" ht="60">
      <c r="A588" s="19" t="s">
        <v>1025</v>
      </c>
      <c r="B588" s="20">
        <v>91890</v>
      </c>
      <c r="C588" s="19" t="s">
        <v>1693</v>
      </c>
      <c r="D588" s="21" t="s">
        <v>12</v>
      </c>
      <c r="E588" s="21" t="s">
        <v>17</v>
      </c>
      <c r="F588" s="22">
        <v>13</v>
      </c>
      <c r="G588" s="22">
        <f t="shared" si="168"/>
        <v>6.375</v>
      </c>
      <c r="H588" s="22">
        <f t="shared" si="188"/>
        <v>8.08</v>
      </c>
      <c r="I588" s="147">
        <f t="shared" si="189"/>
        <v>105.04</v>
      </c>
      <c r="J588" s="148"/>
      <c r="K588" s="148"/>
      <c r="L588" s="148"/>
      <c r="M588" s="148">
        <v>7.1</v>
      </c>
      <c r="N588" s="148">
        <v>9</v>
      </c>
      <c r="O588" s="148">
        <v>117</v>
      </c>
      <c r="P588" s="494"/>
      <c r="Q588" s="148">
        <f t="shared" si="183"/>
        <v>0</v>
      </c>
      <c r="R588" s="148"/>
      <c r="S588" s="148">
        <f t="shared" si="190"/>
        <v>0</v>
      </c>
      <c r="T588" s="148">
        <f t="shared" si="185"/>
        <v>13</v>
      </c>
      <c r="U588" s="148">
        <f t="shared" si="181"/>
        <v>117</v>
      </c>
      <c r="V588" s="379"/>
      <c r="W588" s="379"/>
      <c r="X588" s="57" t="e">
        <f>IF(B588&lt;&gt;0,VLOOKUP(B588,#REF!,4,FALSE),"")</f>
        <v>#REF!</v>
      </c>
      <c r="Y588" s="334" t="s">
        <v>3222</v>
      </c>
      <c r="Z588" s="334">
        <f t="shared" si="169"/>
        <v>82.875</v>
      </c>
      <c r="AA588" s="57"/>
      <c r="AB588" s="58" t="e">
        <f>IF(B588&lt;&gt;0,VLOOKUP(B588,#REF!,2,FALSE),"")</f>
        <v>#REF!</v>
      </c>
    </row>
    <row r="589" spans="1:28" s="55" customFormat="1" ht="45">
      <c r="A589" s="19" t="s">
        <v>1026</v>
      </c>
      <c r="B589" s="20">
        <v>91875</v>
      </c>
      <c r="C589" s="19" t="s">
        <v>1694</v>
      </c>
      <c r="D589" s="21" t="s">
        <v>12</v>
      </c>
      <c r="E589" s="21" t="s">
        <v>17</v>
      </c>
      <c r="F589" s="22">
        <v>101</v>
      </c>
      <c r="G589" s="22">
        <f t="shared" si="168"/>
        <v>3.7654999999999998</v>
      </c>
      <c r="H589" s="22">
        <f t="shared" si="188"/>
        <v>4.78</v>
      </c>
      <c r="I589" s="147">
        <f t="shared" si="189"/>
        <v>482.78</v>
      </c>
      <c r="J589" s="148"/>
      <c r="K589" s="148"/>
      <c r="L589" s="148"/>
      <c r="M589" s="148">
        <v>4.1900000000000004</v>
      </c>
      <c r="N589" s="148">
        <v>5.31</v>
      </c>
      <c r="O589" s="148">
        <v>536.30999999999995</v>
      </c>
      <c r="P589" s="494"/>
      <c r="Q589" s="148">
        <f t="shared" si="183"/>
        <v>0</v>
      </c>
      <c r="R589" s="148"/>
      <c r="S589" s="148">
        <f t="shared" si="190"/>
        <v>0</v>
      </c>
      <c r="T589" s="148">
        <f t="shared" si="185"/>
        <v>101</v>
      </c>
      <c r="U589" s="148">
        <f t="shared" si="181"/>
        <v>536.30999999999995</v>
      </c>
      <c r="V589" s="379"/>
      <c r="W589" s="379"/>
      <c r="X589" s="57" t="e">
        <f>IF(B589&lt;&gt;0,VLOOKUP(B589,#REF!,4,FALSE),"")</f>
        <v>#REF!</v>
      </c>
      <c r="Y589" s="334" t="s">
        <v>1864</v>
      </c>
      <c r="Z589" s="334">
        <f t="shared" si="169"/>
        <v>380.31549999999999</v>
      </c>
      <c r="AA589" s="57"/>
      <c r="AB589" s="58" t="e">
        <f>IF(B589&lt;&gt;0,VLOOKUP(B589,#REF!,2,FALSE),"")</f>
        <v>#REF!</v>
      </c>
    </row>
    <row r="590" spans="1:28" s="55" customFormat="1" ht="45">
      <c r="A590" s="19" t="s">
        <v>1027</v>
      </c>
      <c r="B590" s="20">
        <v>91871</v>
      </c>
      <c r="C590" s="19" t="s">
        <v>1695</v>
      </c>
      <c r="D590" s="21" t="s">
        <v>12</v>
      </c>
      <c r="E590" s="21" t="s">
        <v>52</v>
      </c>
      <c r="F590" s="22">
        <v>145</v>
      </c>
      <c r="G590" s="22">
        <f t="shared" si="168"/>
        <v>7.3949999999999996</v>
      </c>
      <c r="H590" s="22">
        <f t="shared" si="188"/>
        <v>9.3800000000000008</v>
      </c>
      <c r="I590" s="147">
        <f t="shared" si="189"/>
        <v>1360.1</v>
      </c>
      <c r="J590" s="148"/>
      <c r="K590" s="148"/>
      <c r="L590" s="148"/>
      <c r="M590" s="148">
        <v>8.24</v>
      </c>
      <c r="N590" s="148">
        <v>10.45</v>
      </c>
      <c r="O590" s="148">
        <v>1515.25</v>
      </c>
      <c r="P590" s="494"/>
      <c r="Q590" s="148">
        <f t="shared" si="183"/>
        <v>0</v>
      </c>
      <c r="R590" s="148"/>
      <c r="S590" s="148">
        <f t="shared" si="190"/>
        <v>0</v>
      </c>
      <c r="T590" s="148">
        <f t="shared" si="185"/>
        <v>145</v>
      </c>
      <c r="U590" s="148">
        <f t="shared" si="181"/>
        <v>1515.25</v>
      </c>
      <c r="V590" s="379"/>
      <c r="W590" s="379"/>
      <c r="X590" s="57" t="e">
        <f>IF(B590&lt;&gt;0,VLOOKUP(B590,#REF!,4,FALSE),"")</f>
        <v>#REF!</v>
      </c>
      <c r="Y590" s="334" t="s">
        <v>2647</v>
      </c>
      <c r="Z590" s="334">
        <f t="shared" si="169"/>
        <v>1072.2749999999999</v>
      </c>
      <c r="AA590" s="57"/>
      <c r="AB590" s="58" t="e">
        <f>IF(B590&lt;&gt;0,VLOOKUP(B590,#REF!,2,FALSE),"")</f>
        <v>#REF!</v>
      </c>
    </row>
    <row r="591" spans="1:28" s="55" customFormat="1" ht="60">
      <c r="A591" s="19" t="s">
        <v>1028</v>
      </c>
      <c r="B591" s="20">
        <v>91914</v>
      </c>
      <c r="C591" s="19" t="s">
        <v>1696</v>
      </c>
      <c r="D591" s="21" t="s">
        <v>12</v>
      </c>
      <c r="E591" s="21" t="s">
        <v>17</v>
      </c>
      <c r="F591" s="22">
        <v>56</v>
      </c>
      <c r="G591" s="22">
        <f t="shared" si="168"/>
        <v>8.5084999999999997</v>
      </c>
      <c r="H591" s="22">
        <f t="shared" si="188"/>
        <v>10.79</v>
      </c>
      <c r="I591" s="147">
        <f t="shared" si="189"/>
        <v>604.24</v>
      </c>
      <c r="J591" s="148"/>
      <c r="K591" s="148"/>
      <c r="L591" s="148"/>
      <c r="M591" s="148">
        <v>9.48</v>
      </c>
      <c r="N591" s="148">
        <v>12.02</v>
      </c>
      <c r="O591" s="148">
        <v>673.12</v>
      </c>
      <c r="P591" s="494"/>
      <c r="Q591" s="148">
        <f t="shared" si="183"/>
        <v>0</v>
      </c>
      <c r="R591" s="148"/>
      <c r="S591" s="148">
        <f t="shared" si="190"/>
        <v>0</v>
      </c>
      <c r="T591" s="148">
        <f t="shared" si="185"/>
        <v>56</v>
      </c>
      <c r="U591" s="148">
        <f t="shared" si="181"/>
        <v>673.12</v>
      </c>
      <c r="V591" s="379"/>
      <c r="W591" s="379"/>
      <c r="X591" s="57" t="e">
        <f>IF(B591&lt;&gt;0,VLOOKUP(B591,#REF!,4,FALSE),"")</f>
        <v>#REF!</v>
      </c>
      <c r="Y591" s="334" t="s">
        <v>1907</v>
      </c>
      <c r="Z591" s="334">
        <f t="shared" si="169"/>
        <v>476.476</v>
      </c>
      <c r="AA591" s="57"/>
      <c r="AB591" s="58" t="e">
        <f>IF(B591&lt;&gt;0,VLOOKUP(B591,#REF!,2,FALSE),"")</f>
        <v>#REF!</v>
      </c>
    </row>
    <row r="592" spans="1:28" s="55" customFormat="1" ht="45">
      <c r="A592" s="19" t="s">
        <v>2586</v>
      </c>
      <c r="B592" s="20">
        <v>91884</v>
      </c>
      <c r="C592" s="19" t="s">
        <v>1697</v>
      </c>
      <c r="D592" s="21" t="s">
        <v>12</v>
      </c>
      <c r="E592" s="21" t="s">
        <v>17</v>
      </c>
      <c r="F592" s="22">
        <v>161</v>
      </c>
      <c r="G592" s="22">
        <f t="shared" si="168"/>
        <v>5.1849999999999996</v>
      </c>
      <c r="H592" s="22">
        <f t="shared" si="188"/>
        <v>6.58</v>
      </c>
      <c r="I592" s="147">
        <f t="shared" si="189"/>
        <v>1059.3800000000001</v>
      </c>
      <c r="J592" s="148"/>
      <c r="K592" s="148"/>
      <c r="L592" s="148"/>
      <c r="M592" s="148">
        <v>5.78</v>
      </c>
      <c r="N592" s="148">
        <v>7.33</v>
      </c>
      <c r="O592" s="148">
        <v>1180.1300000000001</v>
      </c>
      <c r="P592" s="494"/>
      <c r="Q592" s="148">
        <f t="shared" si="183"/>
        <v>0</v>
      </c>
      <c r="R592" s="148"/>
      <c r="S592" s="148">
        <f t="shared" si="190"/>
        <v>0</v>
      </c>
      <c r="T592" s="148">
        <f t="shared" si="185"/>
        <v>161</v>
      </c>
      <c r="U592" s="148">
        <f t="shared" si="181"/>
        <v>1180.1300000000001</v>
      </c>
      <c r="V592" s="379"/>
      <c r="W592" s="379"/>
      <c r="X592" s="57" t="e">
        <f>IF(B592&lt;&gt;0,VLOOKUP(B592,#REF!,4,FALSE),"")</f>
        <v>#REF!</v>
      </c>
      <c r="Y592" s="334" t="s">
        <v>3138</v>
      </c>
      <c r="Z592" s="334">
        <f t="shared" si="169"/>
        <v>834.78499999999997</v>
      </c>
      <c r="AA592" s="57"/>
      <c r="AB592" s="58" t="e">
        <f>IF(B592&lt;&gt;0,VLOOKUP(B592,#REF!,2,FALSE),"")</f>
        <v>#REF!</v>
      </c>
    </row>
    <row r="593" spans="1:28" s="55" customFormat="1" ht="30">
      <c r="A593" s="19" t="s">
        <v>2587</v>
      </c>
      <c r="B593" s="20">
        <v>723</v>
      </c>
      <c r="C593" s="19" t="s">
        <v>1765</v>
      </c>
      <c r="D593" s="21" t="s">
        <v>44</v>
      </c>
      <c r="E593" s="21" t="s">
        <v>17</v>
      </c>
      <c r="F593" s="22">
        <v>51</v>
      </c>
      <c r="G593" s="22">
        <f t="shared" si="168"/>
        <v>3.4085000000000001</v>
      </c>
      <c r="H593" s="22">
        <f t="shared" si="188"/>
        <v>4.32</v>
      </c>
      <c r="I593" s="147">
        <f t="shared" si="189"/>
        <v>220.32</v>
      </c>
      <c r="J593" s="148"/>
      <c r="K593" s="148"/>
      <c r="L593" s="148"/>
      <c r="M593" s="148">
        <v>3.8</v>
      </c>
      <c r="N593" s="148">
        <v>4.82</v>
      </c>
      <c r="O593" s="148">
        <v>245.82</v>
      </c>
      <c r="P593" s="494"/>
      <c r="Q593" s="148">
        <f t="shared" si="183"/>
        <v>0</v>
      </c>
      <c r="R593" s="148"/>
      <c r="S593" s="148">
        <f t="shared" si="190"/>
        <v>0</v>
      </c>
      <c r="T593" s="148">
        <f t="shared" si="185"/>
        <v>51</v>
      </c>
      <c r="U593" s="148">
        <f t="shared" si="181"/>
        <v>245.82</v>
      </c>
      <c r="V593" s="379"/>
      <c r="W593" s="379"/>
      <c r="X593" s="57">
        <f>'COMPOSIÇÃO DE CUSTOS'!G1307</f>
        <v>3.41</v>
      </c>
      <c r="Y593" s="334">
        <v>4.01</v>
      </c>
      <c r="Z593" s="334">
        <f t="shared" si="169"/>
        <v>173.83350000000002</v>
      </c>
      <c r="AA593" s="57"/>
      <c r="AB593" s="58"/>
    </row>
    <row r="594" spans="1:28" s="55" customFormat="1" ht="45">
      <c r="A594" s="19" t="s">
        <v>2588</v>
      </c>
      <c r="B594" s="20">
        <v>91864</v>
      </c>
      <c r="C594" s="19" t="s">
        <v>1663</v>
      </c>
      <c r="D594" s="21" t="s">
        <v>12</v>
      </c>
      <c r="E594" s="21" t="s">
        <v>52</v>
      </c>
      <c r="F594" s="22">
        <v>39</v>
      </c>
      <c r="G594" s="22">
        <f t="shared" si="168"/>
        <v>9.1204999999999998</v>
      </c>
      <c r="H594" s="22">
        <f t="shared" si="188"/>
        <v>11.57</v>
      </c>
      <c r="I594" s="147">
        <f t="shared" si="189"/>
        <v>451.23</v>
      </c>
      <c r="J594" s="148"/>
      <c r="K594" s="148"/>
      <c r="L594" s="148"/>
      <c r="M594" s="148">
        <v>10.16</v>
      </c>
      <c r="N594" s="148">
        <v>12.88</v>
      </c>
      <c r="O594" s="148">
        <v>502.32</v>
      </c>
      <c r="P594" s="494"/>
      <c r="Q594" s="148">
        <f t="shared" si="183"/>
        <v>0</v>
      </c>
      <c r="R594" s="148"/>
      <c r="S594" s="148">
        <f t="shared" si="190"/>
        <v>0</v>
      </c>
      <c r="T594" s="148">
        <f t="shared" si="185"/>
        <v>39</v>
      </c>
      <c r="U594" s="148">
        <f t="shared" si="181"/>
        <v>502.32</v>
      </c>
      <c r="V594" s="379"/>
      <c r="W594" s="379"/>
      <c r="X594" s="57" t="e">
        <f>IF(B594&lt;&gt;0,VLOOKUP(B594,#REF!,4,FALSE),"")</f>
        <v>#REF!</v>
      </c>
      <c r="Y594" s="334" t="s">
        <v>1836</v>
      </c>
      <c r="Z594" s="334">
        <f t="shared" si="169"/>
        <v>355.6995</v>
      </c>
      <c r="AA594" s="57"/>
      <c r="AB594" s="58" t="e">
        <f>IF(B594&lt;&gt;0,VLOOKUP(B594,#REF!,2,FALSE),"")</f>
        <v>#REF!</v>
      </c>
    </row>
    <row r="595" spans="1:28" s="55" customFormat="1" ht="60">
      <c r="A595" s="19" t="s">
        <v>2589</v>
      </c>
      <c r="B595" s="20">
        <v>91893</v>
      </c>
      <c r="C595" s="19" t="s">
        <v>1698</v>
      </c>
      <c r="D595" s="21" t="s">
        <v>12</v>
      </c>
      <c r="E595" s="21" t="s">
        <v>17</v>
      </c>
      <c r="F595" s="22">
        <v>1</v>
      </c>
      <c r="G595" s="22">
        <f t="shared" si="168"/>
        <v>8.7379999999999995</v>
      </c>
      <c r="H595" s="22">
        <f t="shared" si="188"/>
        <v>11.08</v>
      </c>
      <c r="I595" s="147">
        <f t="shared" si="189"/>
        <v>11.08</v>
      </c>
      <c r="J595" s="148"/>
      <c r="K595" s="148"/>
      <c r="L595" s="148"/>
      <c r="M595" s="148">
        <v>9.73</v>
      </c>
      <c r="N595" s="148">
        <v>12.34</v>
      </c>
      <c r="O595" s="148">
        <v>12.34</v>
      </c>
      <c r="P595" s="494"/>
      <c r="Q595" s="148">
        <f t="shared" si="183"/>
        <v>0</v>
      </c>
      <c r="R595" s="148"/>
      <c r="S595" s="148">
        <f t="shared" si="190"/>
        <v>0</v>
      </c>
      <c r="T595" s="148">
        <f t="shared" si="185"/>
        <v>1</v>
      </c>
      <c r="U595" s="148">
        <f t="shared" si="181"/>
        <v>12.34</v>
      </c>
      <c r="V595" s="379"/>
      <c r="W595" s="379"/>
      <c r="X595" s="57" t="e">
        <f>IF(B595&lt;&gt;0,VLOOKUP(B595,#REF!,4,FALSE),"")</f>
        <v>#REF!</v>
      </c>
      <c r="Y595" s="334" t="s">
        <v>3156</v>
      </c>
      <c r="Z595" s="334">
        <f t="shared" si="169"/>
        <v>8.7379999999999995</v>
      </c>
      <c r="AA595" s="57"/>
      <c r="AB595" s="58" t="e">
        <f>IF(B595&lt;&gt;0,VLOOKUP(B595,#REF!,2,FALSE),"")</f>
        <v>#REF!</v>
      </c>
    </row>
    <row r="596" spans="1:28" s="55" customFormat="1" ht="45">
      <c r="A596" s="19" t="s">
        <v>2590</v>
      </c>
      <c r="B596" s="20">
        <v>91876</v>
      </c>
      <c r="C596" s="19" t="s">
        <v>1664</v>
      </c>
      <c r="D596" s="21" t="s">
        <v>12</v>
      </c>
      <c r="E596" s="21" t="s">
        <v>17</v>
      </c>
      <c r="F596" s="22">
        <v>16</v>
      </c>
      <c r="G596" s="22">
        <f t="shared" si="168"/>
        <v>4.9980000000000002</v>
      </c>
      <c r="H596" s="22">
        <f t="shared" si="188"/>
        <v>6.34</v>
      </c>
      <c r="I596" s="147">
        <f t="shared" si="189"/>
        <v>101.44</v>
      </c>
      <c r="J596" s="148"/>
      <c r="K596" s="148"/>
      <c r="L596" s="148"/>
      <c r="M596" s="148">
        <v>5.57</v>
      </c>
      <c r="N596" s="148">
        <v>7.06</v>
      </c>
      <c r="O596" s="148">
        <v>112.96</v>
      </c>
      <c r="P596" s="494"/>
      <c r="Q596" s="148">
        <f t="shared" si="183"/>
        <v>0</v>
      </c>
      <c r="R596" s="148"/>
      <c r="S596" s="148">
        <f t="shared" si="190"/>
        <v>0</v>
      </c>
      <c r="T596" s="148">
        <f t="shared" si="185"/>
        <v>16</v>
      </c>
      <c r="U596" s="148">
        <f t="shared" si="181"/>
        <v>112.96</v>
      </c>
      <c r="V596" s="379"/>
      <c r="W596" s="379"/>
      <c r="X596" s="57" t="e">
        <f>IF(B596&lt;&gt;0,VLOOKUP(B596,#REF!,4,FALSE),"")</f>
        <v>#REF!</v>
      </c>
      <c r="Y596" s="334" t="s">
        <v>3191</v>
      </c>
      <c r="Z596" s="334">
        <f t="shared" si="169"/>
        <v>79.968000000000004</v>
      </c>
      <c r="AA596" s="57"/>
      <c r="AB596" s="58" t="e">
        <f>IF(B596&lt;&gt;0,VLOOKUP(B596,#REF!,2,FALSE),"")</f>
        <v>#REF!</v>
      </c>
    </row>
    <row r="597" spans="1:28" s="55" customFormat="1" ht="45">
      <c r="A597" s="19" t="s">
        <v>2591</v>
      </c>
      <c r="B597" s="20">
        <v>91872</v>
      </c>
      <c r="C597" s="19" t="s">
        <v>1699</v>
      </c>
      <c r="D597" s="21" t="s">
        <v>12</v>
      </c>
      <c r="E597" s="21" t="s">
        <v>52</v>
      </c>
      <c r="F597" s="22">
        <f>8+36</f>
        <v>44</v>
      </c>
      <c r="G597" s="22">
        <f t="shared" ref="G597:G660" si="191">Y597-(Y597*$Y$15)</f>
        <v>9.6304999999999996</v>
      </c>
      <c r="H597" s="22">
        <f t="shared" si="188"/>
        <v>12.21</v>
      </c>
      <c r="I597" s="147">
        <f t="shared" si="189"/>
        <v>537.24</v>
      </c>
      <c r="J597" s="148"/>
      <c r="K597" s="148"/>
      <c r="L597" s="148"/>
      <c r="M597" s="148">
        <v>10.73</v>
      </c>
      <c r="N597" s="148">
        <v>13.61</v>
      </c>
      <c r="O597" s="148">
        <v>598.84</v>
      </c>
      <c r="P597" s="494"/>
      <c r="Q597" s="148">
        <f t="shared" si="183"/>
        <v>0</v>
      </c>
      <c r="R597" s="148"/>
      <c r="S597" s="148">
        <f t="shared" si="190"/>
        <v>0</v>
      </c>
      <c r="T597" s="148">
        <f t="shared" si="185"/>
        <v>44</v>
      </c>
      <c r="U597" s="148">
        <f t="shared" si="181"/>
        <v>598.84</v>
      </c>
      <c r="V597" s="379"/>
      <c r="W597" s="379"/>
      <c r="X597" s="57" t="e">
        <f>IF(B597&lt;&gt;0,VLOOKUP(B597,#REF!,4,FALSE),"")</f>
        <v>#REF!</v>
      </c>
      <c r="Y597" s="334" t="s">
        <v>1856</v>
      </c>
      <c r="Z597" s="334">
        <f t="shared" ref="Z597:Z660" si="192">F597*G597</f>
        <v>423.74199999999996</v>
      </c>
      <c r="AA597" s="57"/>
      <c r="AB597" s="58" t="e">
        <f>IF(B597&lt;&gt;0,VLOOKUP(B597,#REF!,2,FALSE),"")</f>
        <v>#REF!</v>
      </c>
    </row>
    <row r="598" spans="1:28" s="55" customFormat="1" ht="60">
      <c r="A598" s="19" t="s">
        <v>2592</v>
      </c>
      <c r="B598" s="20">
        <v>91917</v>
      </c>
      <c r="C598" s="19" t="s">
        <v>1700</v>
      </c>
      <c r="D598" s="21" t="s">
        <v>12</v>
      </c>
      <c r="E598" s="21" t="s">
        <v>17</v>
      </c>
      <c r="F598" s="22">
        <f>2+8</f>
        <v>10</v>
      </c>
      <c r="G598" s="22">
        <f t="shared" si="191"/>
        <v>10.480499999999999</v>
      </c>
      <c r="H598" s="22">
        <f t="shared" si="188"/>
        <v>13.29</v>
      </c>
      <c r="I598" s="147">
        <f t="shared" si="189"/>
        <v>132.9</v>
      </c>
      <c r="J598" s="148"/>
      <c r="K598" s="148"/>
      <c r="L598" s="148"/>
      <c r="M598" s="148">
        <v>11.68</v>
      </c>
      <c r="N598" s="148">
        <v>14.81</v>
      </c>
      <c r="O598" s="148">
        <v>148.1</v>
      </c>
      <c r="P598" s="494"/>
      <c r="Q598" s="148">
        <f t="shared" si="183"/>
        <v>0</v>
      </c>
      <c r="R598" s="148"/>
      <c r="S598" s="148">
        <f t="shared" si="190"/>
        <v>0</v>
      </c>
      <c r="T598" s="148">
        <f t="shared" si="185"/>
        <v>10</v>
      </c>
      <c r="U598" s="148">
        <f t="shared" si="181"/>
        <v>148.1</v>
      </c>
      <c r="V598" s="379"/>
      <c r="W598" s="379"/>
      <c r="X598" s="57" t="e">
        <f>IF(B598&lt;&gt;0,VLOOKUP(B598,#REF!,4,FALSE),"")</f>
        <v>#REF!</v>
      </c>
      <c r="Y598" s="334" t="s">
        <v>3108</v>
      </c>
      <c r="Z598" s="334">
        <f t="shared" si="192"/>
        <v>104.80499999999999</v>
      </c>
      <c r="AA598" s="57"/>
      <c r="AB598" s="58" t="e">
        <f>IF(B598&lt;&gt;0,VLOOKUP(B598,#REF!,2,FALSE),"")</f>
        <v>#REF!</v>
      </c>
    </row>
    <row r="599" spans="1:28" s="55" customFormat="1" ht="45">
      <c r="A599" s="19" t="s">
        <v>2593</v>
      </c>
      <c r="B599" s="20">
        <v>91885</v>
      </c>
      <c r="C599" s="19" t="s">
        <v>1701</v>
      </c>
      <c r="D599" s="21" t="s">
        <v>12</v>
      </c>
      <c r="E599" s="21" t="s">
        <v>17</v>
      </c>
      <c r="F599" s="22">
        <f>7+29</f>
        <v>36</v>
      </c>
      <c r="G599" s="22">
        <f t="shared" si="191"/>
        <v>6.1624999999999996</v>
      </c>
      <c r="H599" s="22">
        <f t="shared" si="188"/>
        <v>7.81</v>
      </c>
      <c r="I599" s="147">
        <f t="shared" si="189"/>
        <v>281.16000000000003</v>
      </c>
      <c r="J599" s="148"/>
      <c r="K599" s="148"/>
      <c r="L599" s="148"/>
      <c r="M599" s="148">
        <v>6.87</v>
      </c>
      <c r="N599" s="148">
        <v>8.7100000000000009</v>
      </c>
      <c r="O599" s="148">
        <v>313.56</v>
      </c>
      <c r="P599" s="494"/>
      <c r="Q599" s="148">
        <f t="shared" si="183"/>
        <v>0</v>
      </c>
      <c r="R599" s="148"/>
      <c r="S599" s="148">
        <f t="shared" si="190"/>
        <v>0</v>
      </c>
      <c r="T599" s="148">
        <f t="shared" ref="T599:T630" si="193">F599+P599-R599</f>
        <v>36</v>
      </c>
      <c r="U599" s="148">
        <f t="shared" si="181"/>
        <v>313.56</v>
      </c>
      <c r="V599" s="379"/>
      <c r="W599" s="379"/>
      <c r="X599" s="57" t="e">
        <f>IF(B599&lt;&gt;0,VLOOKUP(B599,#REF!,4,FALSE),"")</f>
        <v>#REF!</v>
      </c>
      <c r="Y599" s="334" t="s">
        <v>1870</v>
      </c>
      <c r="Z599" s="334">
        <f t="shared" si="192"/>
        <v>221.85</v>
      </c>
      <c r="AA599" s="57"/>
      <c r="AB599" s="58" t="e">
        <f>IF(B599&lt;&gt;0,VLOOKUP(B599,#REF!,2,FALSE),"")</f>
        <v>#REF!</v>
      </c>
    </row>
    <row r="600" spans="1:28" s="55" customFormat="1" ht="30">
      <c r="A600" s="19" t="s">
        <v>2594</v>
      </c>
      <c r="B600" s="20">
        <v>724</v>
      </c>
      <c r="C600" s="19" t="s">
        <v>1766</v>
      </c>
      <c r="D600" s="21" t="s">
        <v>44</v>
      </c>
      <c r="E600" s="21" t="s">
        <v>17</v>
      </c>
      <c r="F600" s="22">
        <v>7</v>
      </c>
      <c r="G600" s="22">
        <f t="shared" si="191"/>
        <v>5.032</v>
      </c>
      <c r="H600" s="22">
        <f t="shared" si="188"/>
        <v>6.38</v>
      </c>
      <c r="I600" s="147">
        <f t="shared" si="189"/>
        <v>44.66</v>
      </c>
      <c r="J600" s="148"/>
      <c r="K600" s="148"/>
      <c r="L600" s="148"/>
      <c r="M600" s="148">
        <v>5.61</v>
      </c>
      <c r="N600" s="148">
        <v>7.11</v>
      </c>
      <c r="O600" s="148">
        <v>49.77</v>
      </c>
      <c r="P600" s="494"/>
      <c r="Q600" s="148">
        <f t="shared" si="183"/>
        <v>0</v>
      </c>
      <c r="R600" s="148"/>
      <c r="S600" s="148">
        <f t="shared" si="190"/>
        <v>0</v>
      </c>
      <c r="T600" s="148">
        <f t="shared" si="193"/>
        <v>7</v>
      </c>
      <c r="U600" s="148">
        <f t="shared" si="181"/>
        <v>49.77</v>
      </c>
      <c r="V600" s="379"/>
      <c r="W600" s="379"/>
      <c r="X600" s="57">
        <f>X533</f>
        <v>5.04</v>
      </c>
      <c r="Y600" s="334">
        <v>5.92</v>
      </c>
      <c r="Z600" s="334">
        <f t="shared" si="192"/>
        <v>35.224000000000004</v>
      </c>
      <c r="AA600" s="57"/>
      <c r="AB600" s="58"/>
    </row>
    <row r="601" spans="1:28" ht="45">
      <c r="A601" s="19" t="s">
        <v>2595</v>
      </c>
      <c r="B601" s="20">
        <v>91865</v>
      </c>
      <c r="C601" s="19" t="s">
        <v>1702</v>
      </c>
      <c r="D601" s="21" t="s">
        <v>12</v>
      </c>
      <c r="E601" s="21" t="s">
        <v>52</v>
      </c>
      <c r="F601" s="22">
        <v>97</v>
      </c>
      <c r="G601" s="22">
        <f t="shared" si="191"/>
        <v>11.322000000000001</v>
      </c>
      <c r="H601" s="22">
        <f t="shared" si="188"/>
        <v>14.36</v>
      </c>
      <c r="I601" s="147">
        <f t="shared" si="189"/>
        <v>1392.92</v>
      </c>
      <c r="J601" s="148"/>
      <c r="K601" s="148"/>
      <c r="L601" s="148"/>
      <c r="M601" s="148">
        <v>12.61</v>
      </c>
      <c r="N601" s="148">
        <v>15.99</v>
      </c>
      <c r="O601" s="148">
        <v>1551.03</v>
      </c>
      <c r="P601" s="494"/>
      <c r="Q601" s="148">
        <f t="shared" si="183"/>
        <v>0</v>
      </c>
      <c r="R601" s="148"/>
      <c r="S601" s="148">
        <f t="shared" si="190"/>
        <v>0</v>
      </c>
      <c r="T601" s="148">
        <f t="shared" si="193"/>
        <v>97</v>
      </c>
      <c r="U601" s="148">
        <f t="shared" si="181"/>
        <v>1551.03</v>
      </c>
      <c r="V601" s="379"/>
      <c r="W601" s="379"/>
      <c r="X601" s="31" t="e">
        <f>IF(B601&lt;&gt;0,VLOOKUP(B601,#REF!,4,FALSE),"")</f>
        <v>#REF!</v>
      </c>
      <c r="Y601" s="346" t="s">
        <v>3102</v>
      </c>
      <c r="Z601" s="334">
        <f t="shared" si="192"/>
        <v>1098.2340000000002</v>
      </c>
      <c r="AA601" s="31"/>
      <c r="AB601" s="32" t="e">
        <f>IF(B601&lt;&gt;0,VLOOKUP(B601,#REF!,2,FALSE),"")</f>
        <v>#REF!</v>
      </c>
    </row>
    <row r="602" spans="1:28" ht="60">
      <c r="A602" s="19" t="s">
        <v>2596</v>
      </c>
      <c r="B602" s="20">
        <v>91896</v>
      </c>
      <c r="C602" s="19" t="s">
        <v>1703</v>
      </c>
      <c r="D602" s="21" t="s">
        <v>12</v>
      </c>
      <c r="E602" s="21" t="s">
        <v>17</v>
      </c>
      <c r="F602" s="22">
        <v>4</v>
      </c>
      <c r="G602" s="22">
        <f t="shared" si="191"/>
        <v>10.6335</v>
      </c>
      <c r="H602" s="22">
        <f t="shared" si="188"/>
        <v>13.48</v>
      </c>
      <c r="I602" s="147">
        <f t="shared" si="189"/>
        <v>53.92</v>
      </c>
      <c r="J602" s="148"/>
      <c r="K602" s="148"/>
      <c r="L602" s="148"/>
      <c r="M602" s="148">
        <v>11.85</v>
      </c>
      <c r="N602" s="148">
        <v>15.03</v>
      </c>
      <c r="O602" s="148">
        <v>60.12</v>
      </c>
      <c r="P602" s="494"/>
      <c r="Q602" s="148">
        <f t="shared" si="183"/>
        <v>0</v>
      </c>
      <c r="R602" s="148"/>
      <c r="S602" s="148">
        <f t="shared" si="190"/>
        <v>0</v>
      </c>
      <c r="T602" s="148">
        <f t="shared" si="193"/>
        <v>4</v>
      </c>
      <c r="U602" s="148">
        <f t="shared" si="181"/>
        <v>60.12</v>
      </c>
      <c r="V602" s="379"/>
      <c r="W602" s="379"/>
      <c r="X602" s="31" t="e">
        <f>IF(B602&lt;&gt;0,VLOOKUP(B602,#REF!,4,FALSE),"")</f>
        <v>#REF!</v>
      </c>
      <c r="Y602" s="346" t="s">
        <v>3032</v>
      </c>
      <c r="Z602" s="334">
        <f t="shared" si="192"/>
        <v>42.533999999999999</v>
      </c>
      <c r="AA602" s="31"/>
      <c r="AB602" s="32" t="e">
        <f>IF(B602&lt;&gt;0,VLOOKUP(B602,#REF!,2,FALSE),"")</f>
        <v>#REF!</v>
      </c>
    </row>
    <row r="603" spans="1:28" ht="60">
      <c r="A603" s="19" t="s">
        <v>2597</v>
      </c>
      <c r="B603" s="20">
        <v>91877</v>
      </c>
      <c r="C603" s="19" t="s">
        <v>1704</v>
      </c>
      <c r="D603" s="21" t="s">
        <v>12</v>
      </c>
      <c r="E603" s="21" t="s">
        <v>17</v>
      </c>
      <c r="F603" s="22">
        <v>41</v>
      </c>
      <c r="G603" s="22">
        <f t="shared" si="191"/>
        <v>6.681</v>
      </c>
      <c r="H603" s="22">
        <f t="shared" si="188"/>
        <v>8.4700000000000006</v>
      </c>
      <c r="I603" s="147">
        <f t="shared" si="189"/>
        <v>347.27</v>
      </c>
      <c r="J603" s="148"/>
      <c r="K603" s="148"/>
      <c r="L603" s="148"/>
      <c r="M603" s="148">
        <v>7.44</v>
      </c>
      <c r="N603" s="148">
        <v>9.43</v>
      </c>
      <c r="O603" s="148">
        <v>386.63</v>
      </c>
      <c r="P603" s="494"/>
      <c r="Q603" s="148">
        <f t="shared" si="183"/>
        <v>0</v>
      </c>
      <c r="R603" s="148"/>
      <c r="S603" s="148">
        <f t="shared" si="190"/>
        <v>0</v>
      </c>
      <c r="T603" s="148">
        <f t="shared" si="193"/>
        <v>41</v>
      </c>
      <c r="U603" s="148">
        <f t="shared" si="181"/>
        <v>386.63</v>
      </c>
      <c r="V603" s="379"/>
      <c r="W603" s="379"/>
      <c r="X603" s="31" t="e">
        <f>IF(B603&lt;&gt;0,VLOOKUP(B603,#REF!,4,FALSE),"")</f>
        <v>#REF!</v>
      </c>
      <c r="Y603" s="346" t="s">
        <v>3034</v>
      </c>
      <c r="Z603" s="334">
        <f t="shared" si="192"/>
        <v>273.92099999999999</v>
      </c>
      <c r="AA603" s="31"/>
      <c r="AB603" s="32" t="e">
        <f>IF(B603&lt;&gt;0,VLOOKUP(B603,#REF!,2,FALSE),"")</f>
        <v>#REF!</v>
      </c>
    </row>
    <row r="604" spans="1:28" ht="45">
      <c r="A604" s="19" t="s">
        <v>2598</v>
      </c>
      <c r="B604" s="20">
        <v>91873</v>
      </c>
      <c r="C604" s="19" t="s">
        <v>1665</v>
      </c>
      <c r="D604" s="21" t="s">
        <v>12</v>
      </c>
      <c r="E604" s="21" t="s">
        <v>52</v>
      </c>
      <c r="F604" s="22">
        <f>6+49</f>
        <v>55</v>
      </c>
      <c r="G604" s="22">
        <f t="shared" si="191"/>
        <v>11.8065</v>
      </c>
      <c r="H604" s="22">
        <f t="shared" si="188"/>
        <v>14.97</v>
      </c>
      <c r="I604" s="147">
        <f t="shared" si="189"/>
        <v>823.35</v>
      </c>
      <c r="J604" s="148"/>
      <c r="K604" s="148"/>
      <c r="L604" s="148"/>
      <c r="M604" s="148">
        <v>13.15</v>
      </c>
      <c r="N604" s="148">
        <v>16.68</v>
      </c>
      <c r="O604" s="148">
        <v>917.4</v>
      </c>
      <c r="P604" s="494"/>
      <c r="Q604" s="148">
        <f t="shared" si="183"/>
        <v>0</v>
      </c>
      <c r="R604" s="148"/>
      <c r="S604" s="148">
        <f t="shared" si="190"/>
        <v>0</v>
      </c>
      <c r="T604" s="148">
        <f t="shared" si="193"/>
        <v>55</v>
      </c>
      <c r="U604" s="148">
        <f t="shared" si="181"/>
        <v>917.4</v>
      </c>
      <c r="V604" s="379"/>
      <c r="W604" s="379"/>
      <c r="X604" s="31" t="e">
        <f>IF(B604&lt;&gt;0,VLOOKUP(B604,#REF!,4,FALSE),"")</f>
        <v>#REF!</v>
      </c>
      <c r="Y604" s="346" t="s">
        <v>3154</v>
      </c>
      <c r="Z604" s="334">
        <f t="shared" si="192"/>
        <v>649.35749999999996</v>
      </c>
      <c r="AA604" s="31"/>
      <c r="AB604" s="32" t="e">
        <f>IF(B604&lt;&gt;0,VLOOKUP(B604,#REF!,2,FALSE),"")</f>
        <v>#REF!</v>
      </c>
    </row>
    <row r="605" spans="1:28" ht="60">
      <c r="A605" s="19" t="s">
        <v>2599</v>
      </c>
      <c r="B605" s="20">
        <v>91920</v>
      </c>
      <c r="C605" s="19" t="s">
        <v>1666</v>
      </c>
      <c r="D605" s="21" t="s">
        <v>12</v>
      </c>
      <c r="E605" s="21" t="s">
        <v>17</v>
      </c>
      <c r="F605" s="22">
        <v>14</v>
      </c>
      <c r="G605" s="22">
        <f t="shared" si="191"/>
        <v>11.942500000000001</v>
      </c>
      <c r="H605" s="22">
        <f t="shared" si="188"/>
        <v>15.14</v>
      </c>
      <c r="I605" s="147">
        <f t="shared" si="189"/>
        <v>211.96</v>
      </c>
      <c r="J605" s="148"/>
      <c r="K605" s="148"/>
      <c r="L605" s="148"/>
      <c r="M605" s="148">
        <v>13.3</v>
      </c>
      <c r="N605" s="148">
        <v>16.87</v>
      </c>
      <c r="O605" s="148">
        <v>236.18</v>
      </c>
      <c r="P605" s="494"/>
      <c r="Q605" s="148">
        <f t="shared" si="183"/>
        <v>0</v>
      </c>
      <c r="R605" s="148"/>
      <c r="S605" s="148">
        <f t="shared" si="190"/>
        <v>0</v>
      </c>
      <c r="T605" s="148">
        <f t="shared" si="193"/>
        <v>14</v>
      </c>
      <c r="U605" s="148">
        <f t="shared" si="181"/>
        <v>236.18</v>
      </c>
      <c r="V605" s="379"/>
      <c r="W605" s="379"/>
      <c r="X605" s="31" t="e">
        <f>IF(B605&lt;&gt;0,VLOOKUP(B605,#REF!,4,FALSE),"")</f>
        <v>#REF!</v>
      </c>
      <c r="Y605" s="346" t="s">
        <v>3207</v>
      </c>
      <c r="Z605" s="334">
        <f t="shared" si="192"/>
        <v>167.19500000000002</v>
      </c>
      <c r="AA605" s="31"/>
      <c r="AB605" s="32" t="e">
        <f>IF(B605&lt;&gt;0,VLOOKUP(B605,#REF!,2,FALSE),"")</f>
        <v>#REF!</v>
      </c>
    </row>
    <row r="606" spans="1:28" ht="60">
      <c r="A606" s="19" t="s">
        <v>2600</v>
      </c>
      <c r="B606" s="20">
        <v>91886</v>
      </c>
      <c r="C606" s="19" t="s">
        <v>1667</v>
      </c>
      <c r="D606" s="21" t="s">
        <v>12</v>
      </c>
      <c r="E606" s="21" t="s">
        <v>17</v>
      </c>
      <c r="F606" s="22">
        <f>2+45</f>
        <v>47</v>
      </c>
      <c r="G606" s="22">
        <f t="shared" si="191"/>
        <v>7.5565000000000007</v>
      </c>
      <c r="H606" s="22">
        <f t="shared" si="188"/>
        <v>9.58</v>
      </c>
      <c r="I606" s="147">
        <f t="shared" si="189"/>
        <v>450.26</v>
      </c>
      <c r="J606" s="148"/>
      <c r="K606" s="148"/>
      <c r="L606" s="148"/>
      <c r="M606" s="148">
        <v>8.42</v>
      </c>
      <c r="N606" s="148">
        <v>10.68</v>
      </c>
      <c r="O606" s="148">
        <v>501.96</v>
      </c>
      <c r="P606" s="494"/>
      <c r="Q606" s="148">
        <f t="shared" si="183"/>
        <v>0</v>
      </c>
      <c r="R606" s="148"/>
      <c r="S606" s="148">
        <f t="shared" si="190"/>
        <v>0</v>
      </c>
      <c r="T606" s="148">
        <f t="shared" si="193"/>
        <v>47</v>
      </c>
      <c r="U606" s="148">
        <f t="shared" si="181"/>
        <v>501.96</v>
      </c>
      <c r="V606" s="379"/>
      <c r="W606" s="379"/>
      <c r="X606" s="31" t="e">
        <f>IF(B606&lt;&gt;0,VLOOKUP(B606,#REF!,4,FALSE),"")</f>
        <v>#REF!</v>
      </c>
      <c r="Y606" s="346" t="s">
        <v>1906</v>
      </c>
      <c r="Z606" s="334">
        <f t="shared" si="192"/>
        <v>355.15550000000002</v>
      </c>
      <c r="AA606" s="31"/>
      <c r="AB606" s="32" t="e">
        <f>IF(B606&lt;&gt;0,VLOOKUP(B606,#REF!,2,FALSE),"")</f>
        <v>#REF!</v>
      </c>
    </row>
    <row r="607" spans="1:28" s="55" customFormat="1" ht="30">
      <c r="A607" s="19" t="s">
        <v>2601</v>
      </c>
      <c r="B607" s="20">
        <v>725</v>
      </c>
      <c r="C607" s="19" t="s">
        <v>2270</v>
      </c>
      <c r="D607" s="21" t="s">
        <v>44</v>
      </c>
      <c r="E607" s="21" t="s">
        <v>17</v>
      </c>
      <c r="F607" s="22">
        <v>13</v>
      </c>
      <c r="G607" s="22">
        <f t="shared" si="191"/>
        <v>5.5419999999999998</v>
      </c>
      <c r="H607" s="22">
        <f t="shared" si="188"/>
        <v>7.03</v>
      </c>
      <c r="I607" s="147">
        <f t="shared" si="189"/>
        <v>91.39</v>
      </c>
      <c r="J607" s="148"/>
      <c r="K607" s="148"/>
      <c r="L607" s="148"/>
      <c r="M607" s="148">
        <v>6.17</v>
      </c>
      <c r="N607" s="148">
        <v>7.82</v>
      </c>
      <c r="O607" s="148">
        <v>101.66</v>
      </c>
      <c r="P607" s="494"/>
      <c r="Q607" s="148">
        <f t="shared" si="183"/>
        <v>0</v>
      </c>
      <c r="R607" s="148"/>
      <c r="S607" s="148">
        <f t="shared" si="190"/>
        <v>0</v>
      </c>
      <c r="T607" s="148">
        <f t="shared" si="193"/>
        <v>13</v>
      </c>
      <c r="U607" s="148">
        <f t="shared" si="181"/>
        <v>101.66</v>
      </c>
      <c r="V607" s="379"/>
      <c r="W607" s="379"/>
      <c r="X607" s="57">
        <f>'COMPOSIÇÃO DE CUSTOS'!G1172</f>
        <v>5.55</v>
      </c>
      <c r="Y607" s="334">
        <v>6.52</v>
      </c>
      <c r="Z607" s="334">
        <f t="shared" si="192"/>
        <v>72.045999999999992</v>
      </c>
      <c r="AA607" s="57"/>
      <c r="AB607" s="58"/>
    </row>
    <row r="608" spans="1:28" s="55" customFormat="1" ht="30">
      <c r="A608" s="19" t="s">
        <v>2602</v>
      </c>
      <c r="B608" s="20">
        <v>762</v>
      </c>
      <c r="C608" s="19" t="s">
        <v>1749</v>
      </c>
      <c r="D608" s="21" t="s">
        <v>44</v>
      </c>
      <c r="E608" s="21" t="s">
        <v>17</v>
      </c>
      <c r="F608" s="22">
        <v>7</v>
      </c>
      <c r="G608" s="22">
        <f t="shared" si="191"/>
        <v>57.230499999999999</v>
      </c>
      <c r="H608" s="22">
        <f t="shared" si="188"/>
        <v>72.569999999999993</v>
      </c>
      <c r="I608" s="147">
        <f t="shared" si="189"/>
        <v>507.99</v>
      </c>
      <c r="J608" s="148"/>
      <c r="K608" s="148"/>
      <c r="L608" s="148"/>
      <c r="M608" s="148">
        <v>63.76</v>
      </c>
      <c r="N608" s="148">
        <v>80.849999999999994</v>
      </c>
      <c r="O608" s="148">
        <v>565.95000000000005</v>
      </c>
      <c r="P608" s="494"/>
      <c r="Q608" s="148">
        <f t="shared" si="183"/>
        <v>0</v>
      </c>
      <c r="R608" s="148"/>
      <c r="S608" s="148">
        <f t="shared" si="190"/>
        <v>0</v>
      </c>
      <c r="T608" s="148">
        <f t="shared" si="193"/>
        <v>7</v>
      </c>
      <c r="U608" s="148">
        <f t="shared" si="181"/>
        <v>565.95000000000005</v>
      </c>
      <c r="V608" s="379"/>
      <c r="W608" s="379"/>
      <c r="X608" s="57">
        <f>'COMPOSIÇÃO DE CUSTOS'!G1265</f>
        <v>57.23</v>
      </c>
      <c r="Y608" s="334">
        <v>67.33</v>
      </c>
      <c r="Z608" s="334">
        <f t="shared" si="192"/>
        <v>400.61349999999999</v>
      </c>
      <c r="AA608" s="57"/>
      <c r="AB608" s="58"/>
    </row>
    <row r="609" spans="1:28" s="55" customFormat="1" ht="30">
      <c r="A609" s="19" t="s">
        <v>2603</v>
      </c>
      <c r="B609" s="20">
        <v>8113</v>
      </c>
      <c r="C609" s="19" t="s">
        <v>1750</v>
      </c>
      <c r="D609" s="21" t="s">
        <v>44</v>
      </c>
      <c r="E609" s="21" t="s">
        <v>17</v>
      </c>
      <c r="F609" s="22">
        <v>2</v>
      </c>
      <c r="G609" s="22">
        <f t="shared" si="191"/>
        <v>35.929500000000004</v>
      </c>
      <c r="H609" s="22">
        <f t="shared" si="188"/>
        <v>45.56</v>
      </c>
      <c r="I609" s="147">
        <f t="shared" si="189"/>
        <v>91.12</v>
      </c>
      <c r="J609" s="148"/>
      <c r="K609" s="148"/>
      <c r="L609" s="148"/>
      <c r="M609" s="148">
        <v>40.03</v>
      </c>
      <c r="N609" s="148">
        <v>50.76</v>
      </c>
      <c r="O609" s="148">
        <v>101.52</v>
      </c>
      <c r="P609" s="494"/>
      <c r="Q609" s="148">
        <f t="shared" si="183"/>
        <v>0</v>
      </c>
      <c r="R609" s="148"/>
      <c r="S609" s="148">
        <f t="shared" si="190"/>
        <v>0</v>
      </c>
      <c r="T609" s="148">
        <f t="shared" si="193"/>
        <v>2</v>
      </c>
      <c r="U609" s="148">
        <f t="shared" si="181"/>
        <v>101.52</v>
      </c>
      <c r="V609" s="379"/>
      <c r="W609" s="379"/>
      <c r="X609" s="57">
        <f>'COMPOSIÇÃO DE CUSTOS'!G1300</f>
        <v>35.93</v>
      </c>
      <c r="Y609" s="334">
        <v>42.27</v>
      </c>
      <c r="Z609" s="334">
        <f t="shared" si="192"/>
        <v>71.859000000000009</v>
      </c>
      <c r="AA609" s="57"/>
      <c r="AB609" s="58"/>
    </row>
    <row r="610" spans="1:28" s="55" customFormat="1" ht="30">
      <c r="A610" s="19" t="s">
        <v>2604</v>
      </c>
      <c r="B610" s="20">
        <v>9533</v>
      </c>
      <c r="C610" s="19" t="s">
        <v>1751</v>
      </c>
      <c r="D610" s="21" t="s">
        <v>44</v>
      </c>
      <c r="E610" s="21" t="s">
        <v>17</v>
      </c>
      <c r="F610" s="22">
        <v>2</v>
      </c>
      <c r="G610" s="22">
        <f t="shared" si="191"/>
        <v>12.1295</v>
      </c>
      <c r="H610" s="22">
        <f t="shared" si="188"/>
        <v>15.38</v>
      </c>
      <c r="I610" s="147">
        <f t="shared" si="189"/>
        <v>30.76</v>
      </c>
      <c r="J610" s="148"/>
      <c r="K610" s="148"/>
      <c r="L610" s="148"/>
      <c r="M610" s="148">
        <v>13.51</v>
      </c>
      <c r="N610" s="148">
        <v>17.13</v>
      </c>
      <c r="O610" s="148">
        <v>34.26</v>
      </c>
      <c r="P610" s="494"/>
      <c r="Q610" s="148">
        <f t="shared" si="183"/>
        <v>0</v>
      </c>
      <c r="R610" s="148"/>
      <c r="S610" s="148">
        <f t="shared" si="190"/>
        <v>0</v>
      </c>
      <c r="T610" s="148">
        <f t="shared" si="193"/>
        <v>2</v>
      </c>
      <c r="U610" s="148">
        <f t="shared" si="181"/>
        <v>34.26</v>
      </c>
      <c r="V610" s="379"/>
      <c r="W610" s="379"/>
      <c r="X610" s="57">
        <f>'COMPOSIÇÃO DE CUSTOS'!G1279</f>
        <v>12.13</v>
      </c>
      <c r="Y610" s="334">
        <v>14.27</v>
      </c>
      <c r="Z610" s="334">
        <f t="shared" si="192"/>
        <v>24.259</v>
      </c>
      <c r="AA610" s="57"/>
      <c r="AB610" s="58"/>
    </row>
    <row r="611" spans="1:28" s="55" customFormat="1" ht="30">
      <c r="A611" s="19" t="s">
        <v>2605</v>
      </c>
      <c r="B611" s="20">
        <v>8443</v>
      </c>
      <c r="C611" s="19" t="s">
        <v>1759</v>
      </c>
      <c r="D611" s="21" t="s">
        <v>44</v>
      </c>
      <c r="E611" s="21" t="s">
        <v>17</v>
      </c>
      <c r="F611" s="22">
        <v>2</v>
      </c>
      <c r="G611" s="22">
        <f t="shared" si="191"/>
        <v>57.179499999999997</v>
      </c>
      <c r="H611" s="22">
        <f t="shared" si="188"/>
        <v>72.510000000000005</v>
      </c>
      <c r="I611" s="147">
        <f t="shared" si="189"/>
        <v>145.02000000000001</v>
      </c>
      <c r="J611" s="148"/>
      <c r="K611" s="148"/>
      <c r="L611" s="148"/>
      <c r="M611" s="148">
        <v>63.7</v>
      </c>
      <c r="N611" s="148">
        <v>80.78</v>
      </c>
      <c r="O611" s="148">
        <v>161.56</v>
      </c>
      <c r="P611" s="494"/>
      <c r="Q611" s="148">
        <f t="shared" si="183"/>
        <v>0</v>
      </c>
      <c r="R611" s="148"/>
      <c r="S611" s="148">
        <f t="shared" si="190"/>
        <v>0</v>
      </c>
      <c r="T611" s="148">
        <f t="shared" si="193"/>
        <v>2</v>
      </c>
      <c r="U611" s="148">
        <f t="shared" si="181"/>
        <v>161.56</v>
      </c>
      <c r="V611" s="379"/>
      <c r="W611" s="379"/>
      <c r="X611" s="57">
        <f>'COMPOSIÇÃO DE CUSTOS'!G1272</f>
        <v>57.18</v>
      </c>
      <c r="Y611" s="334">
        <v>67.27</v>
      </c>
      <c r="Z611" s="334">
        <f t="shared" si="192"/>
        <v>114.35899999999999</v>
      </c>
      <c r="AA611" s="57"/>
      <c r="AB611" s="58"/>
    </row>
    <row r="612" spans="1:28" s="55" customFormat="1" ht="30">
      <c r="A612" s="19" t="s">
        <v>2606</v>
      </c>
      <c r="B612" s="20">
        <v>748</v>
      </c>
      <c r="C612" s="19" t="s">
        <v>201</v>
      </c>
      <c r="D612" s="21" t="s">
        <v>44</v>
      </c>
      <c r="E612" s="21" t="s">
        <v>17</v>
      </c>
      <c r="F612" s="22">
        <v>22</v>
      </c>
      <c r="G612" s="22">
        <f t="shared" si="191"/>
        <v>70.473500000000001</v>
      </c>
      <c r="H612" s="22">
        <f t="shared" si="188"/>
        <v>89.37</v>
      </c>
      <c r="I612" s="147">
        <f t="shared" si="189"/>
        <v>1966.14</v>
      </c>
      <c r="J612" s="148"/>
      <c r="K612" s="148"/>
      <c r="L612" s="148"/>
      <c r="M612" s="148">
        <v>78.510000000000005</v>
      </c>
      <c r="N612" s="148">
        <v>99.56</v>
      </c>
      <c r="O612" s="148">
        <v>2190.3200000000002</v>
      </c>
      <c r="P612" s="494"/>
      <c r="Q612" s="148">
        <f t="shared" si="183"/>
        <v>0</v>
      </c>
      <c r="R612" s="148"/>
      <c r="S612" s="148">
        <f t="shared" si="190"/>
        <v>0</v>
      </c>
      <c r="T612" s="148">
        <f t="shared" si="193"/>
        <v>22</v>
      </c>
      <c r="U612" s="148">
        <f t="shared" si="181"/>
        <v>2190.3200000000002</v>
      </c>
      <c r="V612" s="379"/>
      <c r="W612" s="379"/>
      <c r="X612" s="57">
        <f>X517</f>
        <v>70.47</v>
      </c>
      <c r="Y612" s="334">
        <v>82.91</v>
      </c>
      <c r="Z612" s="334">
        <f t="shared" si="192"/>
        <v>1550.4169999999999</v>
      </c>
      <c r="AA612" s="57"/>
      <c r="AB612" s="58"/>
    </row>
    <row r="613" spans="1:28" s="55" customFormat="1" ht="30">
      <c r="A613" s="19" t="s">
        <v>2607</v>
      </c>
      <c r="B613" s="20">
        <v>4533</v>
      </c>
      <c r="C613" s="19" t="s">
        <v>203</v>
      </c>
      <c r="D613" s="21" t="s">
        <v>44</v>
      </c>
      <c r="E613" s="21" t="s">
        <v>17</v>
      </c>
      <c r="F613" s="22">
        <v>22</v>
      </c>
      <c r="G613" s="22">
        <f t="shared" si="191"/>
        <v>114.5205</v>
      </c>
      <c r="H613" s="22">
        <f t="shared" si="188"/>
        <v>145.22</v>
      </c>
      <c r="I613" s="147">
        <f t="shared" si="189"/>
        <v>3194.84</v>
      </c>
      <c r="J613" s="148"/>
      <c r="K613" s="148"/>
      <c r="L613" s="148"/>
      <c r="M613" s="148">
        <v>127.58</v>
      </c>
      <c r="N613" s="148">
        <v>161.78</v>
      </c>
      <c r="O613" s="148">
        <v>3559.16</v>
      </c>
      <c r="P613" s="494"/>
      <c r="Q613" s="148">
        <f t="shared" si="183"/>
        <v>0</v>
      </c>
      <c r="R613" s="148"/>
      <c r="S613" s="148">
        <f t="shared" si="190"/>
        <v>0</v>
      </c>
      <c r="T613" s="148">
        <f t="shared" si="193"/>
        <v>22</v>
      </c>
      <c r="U613" s="148">
        <f t="shared" si="181"/>
        <v>3559.16</v>
      </c>
      <c r="V613" s="379"/>
      <c r="W613" s="379"/>
      <c r="X613" s="57">
        <f>X522</f>
        <v>114.52</v>
      </c>
      <c r="Y613" s="334">
        <v>134.72999999999999</v>
      </c>
      <c r="Z613" s="334">
        <f t="shared" si="192"/>
        <v>2519.451</v>
      </c>
      <c r="AA613" s="57"/>
      <c r="AB613" s="58"/>
    </row>
    <row r="614" spans="1:28" s="55" customFormat="1" ht="30">
      <c r="A614" s="19" t="s">
        <v>2608</v>
      </c>
      <c r="B614" s="20">
        <v>63988</v>
      </c>
      <c r="C614" s="19" t="s">
        <v>2241</v>
      </c>
      <c r="D614" s="21" t="s">
        <v>1914</v>
      </c>
      <c r="E614" s="21" t="s">
        <v>17</v>
      </c>
      <c r="F614" s="22">
        <v>3</v>
      </c>
      <c r="G614" s="22">
        <f t="shared" si="191"/>
        <v>82.212000000000003</v>
      </c>
      <c r="H614" s="22">
        <f t="shared" si="188"/>
        <v>104.25</v>
      </c>
      <c r="I614" s="147">
        <f t="shared" si="189"/>
        <v>312.75</v>
      </c>
      <c r="J614" s="148"/>
      <c r="K614" s="148"/>
      <c r="L614" s="148"/>
      <c r="M614" s="148">
        <v>91.58</v>
      </c>
      <c r="N614" s="148">
        <v>116.13</v>
      </c>
      <c r="O614" s="148">
        <v>348.39</v>
      </c>
      <c r="P614" s="494"/>
      <c r="Q614" s="148">
        <f t="shared" si="183"/>
        <v>0</v>
      </c>
      <c r="R614" s="148"/>
      <c r="S614" s="148">
        <f t="shared" si="190"/>
        <v>0</v>
      </c>
      <c r="T614" s="148">
        <f t="shared" si="193"/>
        <v>3</v>
      </c>
      <c r="U614" s="148">
        <f t="shared" si="181"/>
        <v>348.39</v>
      </c>
      <c r="V614" s="379"/>
      <c r="W614" s="379"/>
      <c r="X614" s="57">
        <f>X527</f>
        <v>82.21</v>
      </c>
      <c r="Y614" s="334">
        <v>96.72</v>
      </c>
      <c r="Z614" s="334">
        <f t="shared" si="192"/>
        <v>246.63600000000002</v>
      </c>
      <c r="AA614" s="57"/>
      <c r="AB614" s="58"/>
    </row>
    <row r="615" spans="1:28" s="55" customFormat="1" ht="30">
      <c r="A615" s="19" t="s">
        <v>2609</v>
      </c>
      <c r="B615" s="20">
        <v>8112</v>
      </c>
      <c r="C615" s="19" t="s">
        <v>225</v>
      </c>
      <c r="D615" s="21" t="s">
        <v>44</v>
      </c>
      <c r="E615" s="21" t="s">
        <v>17</v>
      </c>
      <c r="F615" s="22">
        <v>2</v>
      </c>
      <c r="G615" s="22">
        <f t="shared" si="191"/>
        <v>141.4145</v>
      </c>
      <c r="H615" s="22">
        <f t="shared" si="188"/>
        <v>179.33</v>
      </c>
      <c r="I615" s="147">
        <f t="shared" si="189"/>
        <v>358.66</v>
      </c>
      <c r="J615" s="148"/>
      <c r="K615" s="148"/>
      <c r="L615" s="148"/>
      <c r="M615" s="148">
        <v>157.54</v>
      </c>
      <c r="N615" s="148">
        <v>199.78</v>
      </c>
      <c r="O615" s="148">
        <v>399.56</v>
      </c>
      <c r="P615" s="494"/>
      <c r="Q615" s="148">
        <f t="shared" si="183"/>
        <v>0</v>
      </c>
      <c r="R615" s="148"/>
      <c r="S615" s="148">
        <f t="shared" si="190"/>
        <v>0</v>
      </c>
      <c r="T615" s="148">
        <f t="shared" si="193"/>
        <v>2</v>
      </c>
      <c r="U615" s="148">
        <f t="shared" si="181"/>
        <v>399.56</v>
      </c>
      <c r="V615" s="379"/>
      <c r="W615" s="379"/>
      <c r="X615" s="57">
        <f>'COMPOSIÇÃO DE CUSTOS'!G1293</f>
        <v>141.41</v>
      </c>
      <c r="Y615" s="334">
        <v>166.37</v>
      </c>
      <c r="Z615" s="334">
        <f t="shared" si="192"/>
        <v>282.82900000000001</v>
      </c>
      <c r="AA615" s="57"/>
      <c r="AB615" s="58"/>
    </row>
    <row r="616" spans="1:28" s="55" customFormat="1" ht="30">
      <c r="A616" s="19" t="s">
        <v>2610</v>
      </c>
      <c r="B616" s="20">
        <v>4109</v>
      </c>
      <c r="C616" s="19" t="s">
        <v>1752</v>
      </c>
      <c r="D616" s="21" t="s">
        <v>44</v>
      </c>
      <c r="E616" s="21" t="s">
        <v>17</v>
      </c>
      <c r="F616" s="22">
        <v>2</v>
      </c>
      <c r="G616" s="22">
        <f t="shared" si="191"/>
        <v>26.749499999999998</v>
      </c>
      <c r="H616" s="22">
        <f t="shared" si="188"/>
        <v>33.92</v>
      </c>
      <c r="I616" s="147">
        <f t="shared" si="189"/>
        <v>67.84</v>
      </c>
      <c r="J616" s="148"/>
      <c r="K616" s="148"/>
      <c r="L616" s="148"/>
      <c r="M616" s="148">
        <v>29.8</v>
      </c>
      <c r="N616" s="148">
        <v>37.79</v>
      </c>
      <c r="O616" s="148">
        <v>75.58</v>
      </c>
      <c r="P616" s="494"/>
      <c r="Q616" s="148">
        <f t="shared" si="183"/>
        <v>0</v>
      </c>
      <c r="R616" s="148"/>
      <c r="S616" s="148">
        <f t="shared" si="190"/>
        <v>0</v>
      </c>
      <c r="T616" s="148">
        <f t="shared" si="193"/>
        <v>2</v>
      </c>
      <c r="U616" s="148">
        <f t="shared" si="181"/>
        <v>75.58</v>
      </c>
      <c r="V616" s="379"/>
      <c r="W616" s="379"/>
      <c r="X616" s="57">
        <f>'COMPOSIÇÃO DE CUSTOS'!G1286</f>
        <v>26.75</v>
      </c>
      <c r="Y616" s="334">
        <v>31.47</v>
      </c>
      <c r="Z616" s="334">
        <f t="shared" si="192"/>
        <v>53.498999999999995</v>
      </c>
      <c r="AA616" s="57"/>
      <c r="AB616" s="58"/>
    </row>
    <row r="617" spans="1:28" s="55" customFormat="1" ht="30">
      <c r="A617" s="19" t="s">
        <v>2611</v>
      </c>
      <c r="B617" s="21" t="s">
        <v>2239</v>
      </c>
      <c r="C617" s="19" t="s">
        <v>204</v>
      </c>
      <c r="D617" s="21" t="s">
        <v>1914</v>
      </c>
      <c r="E617" s="21" t="s">
        <v>17</v>
      </c>
      <c r="F617" s="22">
        <v>2</v>
      </c>
      <c r="G617" s="22">
        <f t="shared" si="191"/>
        <v>73.5505</v>
      </c>
      <c r="H617" s="22">
        <f t="shared" si="188"/>
        <v>93.27</v>
      </c>
      <c r="I617" s="147">
        <f t="shared" si="189"/>
        <v>186.54</v>
      </c>
      <c r="J617" s="148"/>
      <c r="K617" s="148"/>
      <c r="L617" s="148"/>
      <c r="M617" s="148">
        <v>81.94</v>
      </c>
      <c r="N617" s="148">
        <v>103.91</v>
      </c>
      <c r="O617" s="148">
        <v>207.82</v>
      </c>
      <c r="P617" s="494"/>
      <c r="Q617" s="148">
        <f t="shared" si="183"/>
        <v>0</v>
      </c>
      <c r="R617" s="148"/>
      <c r="S617" s="148">
        <f t="shared" si="190"/>
        <v>0</v>
      </c>
      <c r="T617" s="148">
        <f t="shared" si="193"/>
        <v>2</v>
      </c>
      <c r="U617" s="148">
        <f t="shared" si="181"/>
        <v>207.82</v>
      </c>
      <c r="V617" s="379"/>
      <c r="W617" s="379"/>
      <c r="X617" s="57">
        <f>X528</f>
        <v>73.55</v>
      </c>
      <c r="Y617" s="334">
        <v>86.53</v>
      </c>
      <c r="Z617" s="334">
        <f t="shared" si="192"/>
        <v>147.101</v>
      </c>
      <c r="AA617" s="57"/>
      <c r="AB617" s="58"/>
    </row>
    <row r="618" spans="1:28" s="55" customFormat="1" ht="30">
      <c r="A618" s="36" t="s">
        <v>3631</v>
      </c>
      <c r="B618" s="20">
        <v>97668</v>
      </c>
      <c r="C618" s="439" t="s">
        <v>3740</v>
      </c>
      <c r="D618" s="21" t="s">
        <v>12</v>
      </c>
      <c r="E618" s="21" t="s">
        <v>52</v>
      </c>
      <c r="F618" s="22">
        <v>203</v>
      </c>
      <c r="G618" s="22">
        <f t="shared" si="191"/>
        <v>8.8739999999999988</v>
      </c>
      <c r="H618" s="22">
        <f t="shared" si="188"/>
        <v>11.25</v>
      </c>
      <c r="I618" s="147">
        <f t="shared" si="189"/>
        <v>2283.75</v>
      </c>
      <c r="J618" s="148"/>
      <c r="K618" s="148"/>
      <c r="L618" s="148"/>
      <c r="M618" s="148">
        <v>9.89</v>
      </c>
      <c r="N618" s="148">
        <v>12.54</v>
      </c>
      <c r="O618" s="148">
        <v>2545.62</v>
      </c>
      <c r="P618" s="494"/>
      <c r="Q618" s="148">
        <f t="shared" si="183"/>
        <v>0</v>
      </c>
      <c r="R618" s="148"/>
      <c r="S618" s="148">
        <f t="shared" si="190"/>
        <v>0</v>
      </c>
      <c r="T618" s="148">
        <f t="shared" si="193"/>
        <v>203</v>
      </c>
      <c r="U618" s="148">
        <f t="shared" si="181"/>
        <v>2545.62</v>
      </c>
      <c r="V618" s="379"/>
      <c r="W618" s="379"/>
      <c r="X618" s="57" t="e">
        <f>IF(B618&lt;&gt;0,VLOOKUP(B618,#REF!,4,FALSE),"")</f>
        <v>#REF!</v>
      </c>
      <c r="Y618" s="334" t="s">
        <v>1897</v>
      </c>
      <c r="Z618" s="334">
        <f t="shared" si="192"/>
        <v>1801.4219999999998</v>
      </c>
      <c r="AA618" s="57"/>
      <c r="AB618" s="58" t="e">
        <f>IF(B618&lt;&gt;0,VLOOKUP(B618,#REF!,2,FALSE),"")</f>
        <v>#REF!</v>
      </c>
    </row>
    <row r="619" spans="1:28" s="55" customFormat="1" ht="30">
      <c r="A619" s="36" t="s">
        <v>3632</v>
      </c>
      <c r="B619" s="20">
        <v>97667</v>
      </c>
      <c r="C619" s="439" t="s">
        <v>3739</v>
      </c>
      <c r="D619" s="21" t="s">
        <v>12</v>
      </c>
      <c r="E619" s="21" t="s">
        <v>52</v>
      </c>
      <c r="F619" s="22">
        <f>242+28</f>
        <v>270</v>
      </c>
      <c r="G619" s="22">
        <f t="shared" si="191"/>
        <v>5.8650000000000002</v>
      </c>
      <c r="H619" s="22">
        <f t="shared" si="188"/>
        <v>7.44</v>
      </c>
      <c r="I619" s="147">
        <f t="shared" si="189"/>
        <v>2008.8</v>
      </c>
      <c r="J619" s="148"/>
      <c r="K619" s="148"/>
      <c r="L619" s="148"/>
      <c r="M619" s="148">
        <v>6.53</v>
      </c>
      <c r="N619" s="148">
        <v>8.2799999999999994</v>
      </c>
      <c r="O619" s="148">
        <v>2235.6</v>
      </c>
      <c r="P619" s="494"/>
      <c r="Q619" s="148">
        <f t="shared" si="183"/>
        <v>0</v>
      </c>
      <c r="R619" s="148"/>
      <c r="S619" s="148">
        <f t="shared" si="190"/>
        <v>0</v>
      </c>
      <c r="T619" s="148">
        <f t="shared" si="193"/>
        <v>270</v>
      </c>
      <c r="U619" s="148">
        <f t="shared" si="181"/>
        <v>2235.6</v>
      </c>
      <c r="V619" s="379"/>
      <c r="W619" s="379"/>
      <c r="X619" s="57" t="e">
        <f>IF(B619&lt;&gt;0,VLOOKUP(B619,#REF!,4,FALSE),"")</f>
        <v>#REF!</v>
      </c>
      <c r="Y619" s="334" t="s">
        <v>1848</v>
      </c>
      <c r="Z619" s="334">
        <f t="shared" si="192"/>
        <v>1583.55</v>
      </c>
      <c r="AA619" s="57"/>
      <c r="AB619" s="58" t="e">
        <f>IF(B619&lt;&gt;0,VLOOKUP(B619,#REF!,2,FALSE),"")</f>
        <v>#REF!</v>
      </c>
    </row>
    <row r="620" spans="1:28" s="55" customFormat="1" ht="30">
      <c r="A620" s="36" t="s">
        <v>3633</v>
      </c>
      <c r="B620" s="20">
        <v>97669</v>
      </c>
      <c r="C620" s="439" t="s">
        <v>3741</v>
      </c>
      <c r="D620" s="21" t="s">
        <v>12</v>
      </c>
      <c r="E620" s="21" t="s">
        <v>52</v>
      </c>
      <c r="F620" s="22">
        <v>72</v>
      </c>
      <c r="G620" s="22">
        <f t="shared" si="191"/>
        <v>13.753</v>
      </c>
      <c r="H620" s="22">
        <f t="shared" si="188"/>
        <v>17.440000000000001</v>
      </c>
      <c r="I620" s="147">
        <f t="shared" si="189"/>
        <v>1255.68</v>
      </c>
      <c r="J620" s="148"/>
      <c r="K620" s="148"/>
      <c r="L620" s="148"/>
      <c r="M620" s="148">
        <v>15.32</v>
      </c>
      <c r="N620" s="148">
        <v>19.43</v>
      </c>
      <c r="O620" s="148">
        <v>1398.96</v>
      </c>
      <c r="P620" s="494"/>
      <c r="Q620" s="148">
        <f t="shared" si="183"/>
        <v>0</v>
      </c>
      <c r="R620" s="148"/>
      <c r="S620" s="148">
        <f t="shared" si="190"/>
        <v>0</v>
      </c>
      <c r="T620" s="148">
        <f t="shared" si="193"/>
        <v>72</v>
      </c>
      <c r="U620" s="148">
        <f t="shared" si="181"/>
        <v>1398.96</v>
      </c>
      <c r="V620" s="379"/>
      <c r="W620" s="379"/>
      <c r="X620" s="57" t="e">
        <f>IF(B620&lt;&gt;0,VLOOKUP(B620,#REF!,4,FALSE),"")</f>
        <v>#REF!</v>
      </c>
      <c r="Y620" s="334" t="s">
        <v>3120</v>
      </c>
      <c r="Z620" s="334">
        <f t="shared" si="192"/>
        <v>990.21600000000001</v>
      </c>
      <c r="AA620" s="57"/>
      <c r="AB620" s="58" t="e">
        <f>IF(B620&lt;&gt;0,VLOOKUP(B620,#REF!,2,FALSE),"")</f>
        <v>#REF!</v>
      </c>
    </row>
    <row r="621" spans="1:28" s="55" customFormat="1" ht="30">
      <c r="A621" s="36" t="s">
        <v>3634</v>
      </c>
      <c r="B621" s="20">
        <v>97670</v>
      </c>
      <c r="C621" s="439" t="s">
        <v>3742</v>
      </c>
      <c r="D621" s="21" t="s">
        <v>12</v>
      </c>
      <c r="E621" s="21" t="s">
        <v>52</v>
      </c>
      <c r="F621" s="22">
        <f>70+8</f>
        <v>78</v>
      </c>
      <c r="G621" s="22">
        <f t="shared" si="191"/>
        <v>18.003</v>
      </c>
      <c r="H621" s="22">
        <f t="shared" si="188"/>
        <v>22.83</v>
      </c>
      <c r="I621" s="147">
        <f t="shared" si="189"/>
        <v>1780.74</v>
      </c>
      <c r="J621" s="148"/>
      <c r="K621" s="148"/>
      <c r="L621" s="148"/>
      <c r="M621" s="148">
        <v>20.059999999999999</v>
      </c>
      <c r="N621" s="148">
        <v>25.44</v>
      </c>
      <c r="O621" s="148">
        <v>1984.32</v>
      </c>
      <c r="P621" s="494"/>
      <c r="Q621" s="148">
        <f t="shared" si="183"/>
        <v>0</v>
      </c>
      <c r="R621" s="148"/>
      <c r="S621" s="148">
        <f t="shared" si="190"/>
        <v>0</v>
      </c>
      <c r="T621" s="148">
        <f t="shared" si="193"/>
        <v>78</v>
      </c>
      <c r="U621" s="148">
        <f t="shared" si="181"/>
        <v>1984.32</v>
      </c>
      <c r="V621" s="379"/>
      <c r="W621" s="379"/>
      <c r="X621" s="57" t="e">
        <f>IF(B621&lt;&gt;0,VLOOKUP(B621,#REF!,4,FALSE),"")</f>
        <v>#REF!</v>
      </c>
      <c r="Y621" s="334" t="s">
        <v>1873</v>
      </c>
      <c r="Z621" s="334">
        <f t="shared" si="192"/>
        <v>1404.2339999999999</v>
      </c>
      <c r="AA621" s="57"/>
      <c r="AB621" s="58" t="e">
        <f>IF(B621&lt;&gt;0,VLOOKUP(B621,#REF!,2,FALSE),"")</f>
        <v>#REF!</v>
      </c>
    </row>
    <row r="622" spans="1:28" s="55" customFormat="1" ht="90">
      <c r="A622" s="19" t="s">
        <v>2614</v>
      </c>
      <c r="B622" s="20">
        <v>90091</v>
      </c>
      <c r="C622" s="19" t="s">
        <v>1705</v>
      </c>
      <c r="D622" s="21" t="s">
        <v>12</v>
      </c>
      <c r="E622" s="21" t="s">
        <v>35</v>
      </c>
      <c r="F622" s="22">
        <v>109</v>
      </c>
      <c r="G622" s="22">
        <f t="shared" si="191"/>
        <v>3.5105</v>
      </c>
      <c r="H622" s="22">
        <f t="shared" si="188"/>
        <v>4.45</v>
      </c>
      <c r="I622" s="147">
        <f t="shared" si="189"/>
        <v>485.05</v>
      </c>
      <c r="J622" s="148"/>
      <c r="K622" s="148"/>
      <c r="L622" s="148"/>
      <c r="M622" s="148">
        <v>3.91</v>
      </c>
      <c r="N622" s="148">
        <v>4.96</v>
      </c>
      <c r="O622" s="148">
        <v>540.64</v>
      </c>
      <c r="P622" s="494"/>
      <c r="Q622" s="148">
        <f t="shared" si="183"/>
        <v>0</v>
      </c>
      <c r="R622" s="148"/>
      <c r="S622" s="148">
        <f t="shared" si="190"/>
        <v>0</v>
      </c>
      <c r="T622" s="148">
        <f t="shared" si="193"/>
        <v>109</v>
      </c>
      <c r="U622" s="148">
        <f t="shared" si="181"/>
        <v>540.64</v>
      </c>
      <c r="V622" s="379"/>
      <c r="W622" s="379"/>
      <c r="X622" s="57" t="e">
        <f>IF(B622&lt;&gt;0,VLOOKUP(B622,#REF!,4,FALSE),"")</f>
        <v>#REF!</v>
      </c>
      <c r="Y622" s="334" t="s">
        <v>1866</v>
      </c>
      <c r="Z622" s="334">
        <f t="shared" si="192"/>
        <v>382.64449999999999</v>
      </c>
      <c r="AA622" s="57"/>
      <c r="AB622" s="58" t="e">
        <f>IF(B622&lt;&gt;0,VLOOKUP(B622,#REF!,2,FALSE),"")</f>
        <v>#REF!</v>
      </c>
    </row>
    <row r="623" spans="1:28" s="55" customFormat="1" ht="90">
      <c r="A623" s="19" t="s">
        <v>2615</v>
      </c>
      <c r="B623" s="20">
        <v>93368</v>
      </c>
      <c r="C623" s="19" t="s">
        <v>1706</v>
      </c>
      <c r="D623" s="21" t="s">
        <v>12</v>
      </c>
      <c r="E623" s="21" t="s">
        <v>35</v>
      </c>
      <c r="F623" s="22">
        <v>109</v>
      </c>
      <c r="G623" s="22">
        <f t="shared" si="191"/>
        <v>10.531500000000001</v>
      </c>
      <c r="H623" s="22">
        <f t="shared" si="188"/>
        <v>13.35</v>
      </c>
      <c r="I623" s="147">
        <f t="shared" si="189"/>
        <v>1455.15</v>
      </c>
      <c r="J623" s="148"/>
      <c r="K623" s="148"/>
      <c r="L623" s="148"/>
      <c r="M623" s="148">
        <v>11.73</v>
      </c>
      <c r="N623" s="148">
        <v>14.87</v>
      </c>
      <c r="O623" s="148">
        <v>1620.83</v>
      </c>
      <c r="P623" s="494"/>
      <c r="Q623" s="148">
        <f t="shared" si="183"/>
        <v>0</v>
      </c>
      <c r="R623" s="148"/>
      <c r="S623" s="148">
        <f t="shared" si="190"/>
        <v>0</v>
      </c>
      <c r="T623" s="148">
        <f t="shared" si="193"/>
        <v>109</v>
      </c>
      <c r="U623" s="148">
        <f t="shared" si="181"/>
        <v>1620.83</v>
      </c>
      <c r="V623" s="379"/>
      <c r="W623" s="379"/>
      <c r="X623" s="57" t="e">
        <f>IF(B623&lt;&gt;0,VLOOKUP(B623,#REF!,4,FALSE),"")</f>
        <v>#REF!</v>
      </c>
      <c r="Y623" s="334" t="s">
        <v>3109</v>
      </c>
      <c r="Z623" s="334">
        <f t="shared" si="192"/>
        <v>1147.9335000000001</v>
      </c>
      <c r="AA623" s="57"/>
      <c r="AB623" s="58" t="e">
        <f>IF(B623&lt;&gt;0,VLOOKUP(B623,#REF!,2,FALSE),"")</f>
        <v>#REF!</v>
      </c>
    </row>
    <row r="624" spans="1:28" s="55" customFormat="1">
      <c r="A624" s="229" t="s">
        <v>1052</v>
      </c>
      <c r="B624" s="229"/>
      <c r="C624" s="229" t="s">
        <v>214</v>
      </c>
      <c r="D624" s="230"/>
      <c r="E624" s="230"/>
      <c r="F624" s="230"/>
      <c r="G624" s="22"/>
      <c r="H624" s="230"/>
      <c r="I624" s="445"/>
      <c r="J624" s="440"/>
      <c r="K624" s="440"/>
      <c r="L624" s="440"/>
      <c r="M624" s="440"/>
      <c r="N624" s="440"/>
      <c r="O624" s="440"/>
      <c r="P624" s="492"/>
      <c r="Q624" s="148">
        <f t="shared" si="183"/>
        <v>0</v>
      </c>
      <c r="R624" s="440"/>
      <c r="S624" s="440"/>
      <c r="T624" s="148"/>
      <c r="U624" s="148"/>
      <c r="V624" s="330"/>
      <c r="W624" s="330"/>
      <c r="X624" s="58"/>
      <c r="Y624" s="334"/>
      <c r="Z624" s="334">
        <f t="shared" si="192"/>
        <v>0</v>
      </c>
      <c r="AA624" s="58"/>
      <c r="AB624" s="58"/>
    </row>
    <row r="625" spans="1:28" s="55" customFormat="1" ht="45">
      <c r="A625" s="19" t="s">
        <v>1053</v>
      </c>
      <c r="B625" s="20">
        <v>98297</v>
      </c>
      <c r="C625" s="19" t="s">
        <v>2504</v>
      </c>
      <c r="D625" s="21" t="s">
        <v>12</v>
      </c>
      <c r="E625" s="21" t="s">
        <v>52</v>
      </c>
      <c r="F625" s="22">
        <v>10872</v>
      </c>
      <c r="G625" s="22">
        <f t="shared" si="191"/>
        <v>1.7765</v>
      </c>
      <c r="H625" s="22">
        <f>ROUND(G625*(1+$X$14),2)</f>
        <v>2.25</v>
      </c>
      <c r="I625" s="147">
        <f>ROUND(H625*F625,2)</f>
        <v>24462</v>
      </c>
      <c r="J625" s="148"/>
      <c r="K625" s="148"/>
      <c r="L625" s="148"/>
      <c r="M625" s="148">
        <v>3.74</v>
      </c>
      <c r="N625" s="148">
        <v>4.74</v>
      </c>
      <c r="O625" s="148">
        <v>51533.279999999999</v>
      </c>
      <c r="P625" s="494"/>
      <c r="Q625" s="148">
        <f t="shared" si="183"/>
        <v>0</v>
      </c>
      <c r="R625" s="148"/>
      <c r="S625" s="148">
        <f>ROUND(R625*P625,2)</f>
        <v>0</v>
      </c>
      <c r="T625" s="148">
        <f t="shared" si="193"/>
        <v>10872</v>
      </c>
      <c r="U625" s="148">
        <f t="shared" ref="U625:U688" si="194">O625+Q625-S625+L625</f>
        <v>51533.279999999999</v>
      </c>
      <c r="V625" s="379"/>
      <c r="W625" s="379"/>
      <c r="X625" s="57" t="e">
        <f>IF(B625&lt;&gt;0,VLOOKUP(B625,#REF!,4,FALSE),"")</f>
        <v>#REF!</v>
      </c>
      <c r="Y625" s="334" t="s">
        <v>2642</v>
      </c>
      <c r="Z625" s="334">
        <f t="shared" si="192"/>
        <v>19314.108</v>
      </c>
      <c r="AA625" s="57"/>
      <c r="AB625" s="58" t="e">
        <f>IF(B625&lt;&gt;0,VLOOKUP(B625,#REF!,2,FALSE),"")</f>
        <v>#REF!</v>
      </c>
    </row>
    <row r="626" spans="1:28" s="55" customFormat="1" ht="30">
      <c r="A626" s="19" t="s">
        <v>1054</v>
      </c>
      <c r="B626" s="20" t="s">
        <v>2393</v>
      </c>
      <c r="C626" s="19" t="s">
        <v>2392</v>
      </c>
      <c r="D626" s="21" t="s">
        <v>1914</v>
      </c>
      <c r="E626" s="21" t="s">
        <v>52</v>
      </c>
      <c r="F626" s="22">
        <v>652</v>
      </c>
      <c r="G626" s="22">
        <f t="shared" si="191"/>
        <v>61.735499999999995</v>
      </c>
      <c r="H626" s="22">
        <f>ROUND(G626*(1+$X$14),2)</f>
        <v>78.290000000000006</v>
      </c>
      <c r="I626" s="147">
        <f>ROUND(H626*F626,2)</f>
        <v>51045.08</v>
      </c>
      <c r="J626" s="148"/>
      <c r="K626" s="148"/>
      <c r="L626" s="148"/>
      <c r="M626" s="148">
        <v>77.03</v>
      </c>
      <c r="N626" s="148">
        <v>97.68</v>
      </c>
      <c r="O626" s="148">
        <v>63687.360000000001</v>
      </c>
      <c r="P626" s="494"/>
      <c r="Q626" s="148">
        <f t="shared" si="183"/>
        <v>0</v>
      </c>
      <c r="R626" s="148"/>
      <c r="S626" s="148">
        <f>ROUND(R626*P626,2)</f>
        <v>0</v>
      </c>
      <c r="T626" s="148">
        <f t="shared" si="193"/>
        <v>652</v>
      </c>
      <c r="U626" s="148">
        <f t="shared" si="194"/>
        <v>63687.360000000001</v>
      </c>
      <c r="V626" s="379"/>
      <c r="W626" s="379"/>
      <c r="X626" s="57">
        <f>'COMPOSIÇÃO DE CUSTOS'!G1838</f>
        <v>61.73</v>
      </c>
      <c r="Y626" s="334">
        <v>72.63</v>
      </c>
      <c r="Z626" s="334">
        <f t="shared" si="192"/>
        <v>40251.545999999995</v>
      </c>
      <c r="AA626" s="57"/>
      <c r="AB626" s="58"/>
    </row>
    <row r="627" spans="1:28" s="55" customFormat="1" ht="45">
      <c r="A627" s="19" t="s">
        <v>1055</v>
      </c>
      <c r="B627" s="20">
        <v>98270</v>
      </c>
      <c r="C627" s="19" t="s">
        <v>2503</v>
      </c>
      <c r="D627" s="21" t="s">
        <v>12</v>
      </c>
      <c r="E627" s="21" t="s">
        <v>52</v>
      </c>
      <c r="F627" s="22">
        <v>608</v>
      </c>
      <c r="G627" s="22">
        <f t="shared" si="191"/>
        <v>33.464500000000001</v>
      </c>
      <c r="H627" s="22">
        <f>ROUND(G627*(1+$X$14),2)</f>
        <v>42.44</v>
      </c>
      <c r="I627" s="147">
        <f>ROUND(H627*F627,2)</f>
        <v>25803.52</v>
      </c>
      <c r="J627" s="148"/>
      <c r="K627" s="148"/>
      <c r="L627" s="148"/>
      <c r="M627" s="148">
        <v>48.41</v>
      </c>
      <c r="N627" s="148">
        <v>61.39</v>
      </c>
      <c r="O627" s="148">
        <v>37325.120000000003</v>
      </c>
      <c r="P627" s="494"/>
      <c r="Q627" s="148">
        <f t="shared" si="183"/>
        <v>0</v>
      </c>
      <c r="R627" s="148"/>
      <c r="S627" s="148">
        <f>ROUND(R627*P627,2)</f>
        <v>0</v>
      </c>
      <c r="T627" s="148">
        <f t="shared" si="193"/>
        <v>608</v>
      </c>
      <c r="U627" s="148">
        <f t="shared" si="194"/>
        <v>37325.120000000003</v>
      </c>
      <c r="V627" s="379"/>
      <c r="W627" s="379"/>
      <c r="X627" s="57" t="e">
        <f>IF(B627&lt;&gt;0,VLOOKUP(B627,#REF!,4,FALSE),"")</f>
        <v>#REF!</v>
      </c>
      <c r="Y627" s="334" t="s">
        <v>1880</v>
      </c>
      <c r="Z627" s="334">
        <f t="shared" si="192"/>
        <v>20346.416000000001</v>
      </c>
      <c r="AA627" s="57"/>
      <c r="AB627" s="58" t="e">
        <f>IF(B627&lt;&gt;0,VLOOKUP(B627,#REF!,2,FALSE),"")</f>
        <v>#REF!</v>
      </c>
    </row>
    <row r="628" spans="1:28" ht="15" customHeight="1">
      <c r="A628" s="229" t="s">
        <v>1056</v>
      </c>
      <c r="B628" s="229"/>
      <c r="C628" s="229" t="s">
        <v>227</v>
      </c>
      <c r="D628" s="230"/>
      <c r="E628" s="230"/>
      <c r="F628" s="230"/>
      <c r="G628" s="22">
        <f t="shared" si="191"/>
        <v>0</v>
      </c>
      <c r="H628" s="230"/>
      <c r="I628" s="445"/>
      <c r="J628" s="440"/>
      <c r="K628" s="440"/>
      <c r="L628" s="440"/>
      <c r="M628" s="440"/>
      <c r="N628" s="440"/>
      <c r="O628" s="440"/>
      <c r="P628" s="492"/>
      <c r="Q628" s="148">
        <f t="shared" si="183"/>
        <v>0</v>
      </c>
      <c r="R628" s="440"/>
      <c r="S628" s="440"/>
      <c r="T628" s="148"/>
      <c r="U628" s="148"/>
      <c r="V628" s="330"/>
      <c r="W628" s="330"/>
      <c r="X628" s="30"/>
      <c r="Y628" s="337"/>
      <c r="Z628" s="334">
        <f t="shared" si="192"/>
        <v>0</v>
      </c>
      <c r="AA628" s="30"/>
      <c r="AB628" s="30"/>
    </row>
    <row r="629" spans="1:28" ht="30">
      <c r="A629" s="19" t="s">
        <v>1057</v>
      </c>
      <c r="B629" s="20">
        <v>11214</v>
      </c>
      <c r="C629" s="19" t="s">
        <v>1965</v>
      </c>
      <c r="D629" s="21" t="s">
        <v>44</v>
      </c>
      <c r="E629" s="21" t="s">
        <v>17</v>
      </c>
      <c r="F629" s="22">
        <v>13</v>
      </c>
      <c r="G629" s="22">
        <f t="shared" si="191"/>
        <v>47.183499999999995</v>
      </c>
      <c r="H629" s="22">
        <f>ROUND(G629*(1+$X$14),2)</f>
        <v>59.83</v>
      </c>
      <c r="I629" s="147">
        <f>ROUND(H629*F629,2)</f>
        <v>777.79</v>
      </c>
      <c r="J629" s="148"/>
      <c r="K629" s="148"/>
      <c r="L629" s="148"/>
      <c r="M629" s="148">
        <v>52.56</v>
      </c>
      <c r="N629" s="148">
        <v>66.650000000000006</v>
      </c>
      <c r="O629" s="148">
        <v>866.45</v>
      </c>
      <c r="P629" s="494"/>
      <c r="Q629" s="148">
        <f t="shared" si="183"/>
        <v>0</v>
      </c>
      <c r="R629" s="148"/>
      <c r="S629" s="148">
        <f>ROUND(R629*P629,2)</f>
        <v>0</v>
      </c>
      <c r="T629" s="148">
        <f t="shared" si="193"/>
        <v>13</v>
      </c>
      <c r="U629" s="148">
        <f t="shared" si="194"/>
        <v>866.45</v>
      </c>
      <c r="V629" s="379"/>
      <c r="W629" s="379"/>
      <c r="X629" s="33">
        <f>'COMPOSIÇÃO DE CUSTOS'!G1991</f>
        <v>47.17</v>
      </c>
      <c r="Y629" s="337">
        <v>55.51</v>
      </c>
      <c r="Z629" s="334">
        <f t="shared" si="192"/>
        <v>613.38549999999998</v>
      </c>
      <c r="AA629" s="33"/>
      <c r="AB629" s="30"/>
    </row>
    <row r="630" spans="1:28" ht="30">
      <c r="A630" s="19" t="s">
        <v>1058</v>
      </c>
      <c r="B630" s="20">
        <v>11234</v>
      </c>
      <c r="C630" s="19" t="s">
        <v>1962</v>
      </c>
      <c r="D630" s="21" t="s">
        <v>44</v>
      </c>
      <c r="E630" s="21" t="s">
        <v>17</v>
      </c>
      <c r="F630" s="22">
        <v>162</v>
      </c>
      <c r="G630" s="22">
        <f t="shared" si="191"/>
        <v>80.9285</v>
      </c>
      <c r="H630" s="22">
        <f>ROUND(G630*(1+$X$14),2)</f>
        <v>102.63</v>
      </c>
      <c r="I630" s="147">
        <f>ROUND(H630*F630,2)</f>
        <v>16626.060000000001</v>
      </c>
      <c r="J630" s="148"/>
      <c r="K630" s="148"/>
      <c r="L630" s="148"/>
      <c r="M630" s="148">
        <v>90.16</v>
      </c>
      <c r="N630" s="148">
        <v>114.33</v>
      </c>
      <c r="O630" s="148">
        <v>18521.46</v>
      </c>
      <c r="P630" s="494"/>
      <c r="Q630" s="148">
        <f t="shared" si="183"/>
        <v>0</v>
      </c>
      <c r="R630" s="148"/>
      <c r="S630" s="148">
        <f>ROUND(R630*P630,2)</f>
        <v>0</v>
      </c>
      <c r="T630" s="148">
        <f t="shared" si="193"/>
        <v>162</v>
      </c>
      <c r="U630" s="148">
        <f t="shared" si="194"/>
        <v>18521.46</v>
      </c>
      <c r="V630" s="379"/>
      <c r="W630" s="379"/>
      <c r="X630" s="33">
        <f>'COMPOSIÇÃO DE CUSTOS'!G1983</f>
        <v>80.930000000000007</v>
      </c>
      <c r="Y630" s="337">
        <v>95.21</v>
      </c>
      <c r="Z630" s="334">
        <f t="shared" si="192"/>
        <v>13110.416999999999</v>
      </c>
      <c r="AA630" s="33"/>
      <c r="AB630" s="30"/>
    </row>
    <row r="631" spans="1:28" ht="15" customHeight="1">
      <c r="A631" s="229" t="s">
        <v>1059</v>
      </c>
      <c r="B631" s="229"/>
      <c r="C631" s="229" t="s">
        <v>216</v>
      </c>
      <c r="D631" s="230"/>
      <c r="E631" s="230"/>
      <c r="F631" s="230"/>
      <c r="G631" s="22"/>
      <c r="H631" s="230"/>
      <c r="I631" s="445"/>
      <c r="J631" s="440"/>
      <c r="K631" s="440"/>
      <c r="L631" s="440"/>
      <c r="M631" s="440"/>
      <c r="N631" s="440"/>
      <c r="O631" s="440"/>
      <c r="P631" s="492"/>
      <c r="Q631" s="148">
        <f t="shared" si="183"/>
        <v>0</v>
      </c>
      <c r="R631" s="440"/>
      <c r="S631" s="440"/>
      <c r="T631" s="148"/>
      <c r="U631" s="148"/>
      <c r="V631" s="330"/>
      <c r="W631" s="330"/>
      <c r="X631" s="33"/>
      <c r="Y631" s="337"/>
      <c r="Z631" s="334">
        <f t="shared" si="192"/>
        <v>0</v>
      </c>
      <c r="AA631" s="33"/>
      <c r="AB631" s="30"/>
    </row>
    <row r="632" spans="1:28" s="55" customFormat="1" ht="30">
      <c r="A632" s="19" t="s">
        <v>1060</v>
      </c>
      <c r="B632" s="21" t="s">
        <v>2284</v>
      </c>
      <c r="C632" s="19" t="s">
        <v>228</v>
      </c>
      <c r="D632" s="21" t="s">
        <v>70</v>
      </c>
      <c r="E632" s="21" t="s">
        <v>17</v>
      </c>
      <c r="F632" s="22">
        <v>13</v>
      </c>
      <c r="G632" s="22">
        <f t="shared" si="191"/>
        <v>43.978999999999999</v>
      </c>
      <c r="H632" s="22">
        <f t="shared" ref="H632:H638" si="195">ROUND(G632*(1+$X$14),2)</f>
        <v>55.77</v>
      </c>
      <c r="I632" s="147">
        <f t="shared" ref="I632:I638" si="196">ROUND(H632*F632,2)</f>
        <v>725.01</v>
      </c>
      <c r="J632" s="148"/>
      <c r="K632" s="148"/>
      <c r="L632" s="148"/>
      <c r="M632" s="148">
        <v>48.99</v>
      </c>
      <c r="N632" s="148">
        <v>62.12</v>
      </c>
      <c r="O632" s="148">
        <v>807.56</v>
      </c>
      <c r="P632" s="494"/>
      <c r="Q632" s="148">
        <f t="shared" ref="Q632:Q644" si="197">ROUND(P632*N632,2)</f>
        <v>0</v>
      </c>
      <c r="R632" s="148"/>
      <c r="S632" s="148">
        <f t="shared" ref="S632:S638" si="198">ROUND(R632*P632,2)</f>
        <v>0</v>
      </c>
      <c r="T632" s="148">
        <f t="shared" ref="T632:T644" si="199">F632+P632-R632</f>
        <v>13</v>
      </c>
      <c r="U632" s="148">
        <f t="shared" si="194"/>
        <v>807.56</v>
      </c>
      <c r="V632" s="379"/>
      <c r="W632" s="379"/>
      <c r="X632" s="57">
        <f>'COMPOSIÇÃO DE CUSTOS'!G1314</f>
        <v>43.97</v>
      </c>
      <c r="Y632" s="334">
        <v>51.74</v>
      </c>
      <c r="Z632" s="334">
        <f t="shared" si="192"/>
        <v>571.72699999999998</v>
      </c>
      <c r="AA632" s="57"/>
      <c r="AB632" s="58"/>
    </row>
    <row r="633" spans="1:28" s="55" customFormat="1" ht="45">
      <c r="A633" s="19" t="s">
        <v>2216</v>
      </c>
      <c r="B633" s="20">
        <v>95795</v>
      </c>
      <c r="C633" s="19" t="s">
        <v>1707</v>
      </c>
      <c r="D633" s="21" t="s">
        <v>12</v>
      </c>
      <c r="E633" s="21" t="s">
        <v>17</v>
      </c>
      <c r="F633" s="22">
        <v>13</v>
      </c>
      <c r="G633" s="22">
        <f t="shared" si="191"/>
        <v>21.488</v>
      </c>
      <c r="H633" s="22">
        <f t="shared" si="195"/>
        <v>27.25</v>
      </c>
      <c r="I633" s="147">
        <f t="shared" si="196"/>
        <v>354.25</v>
      </c>
      <c r="J633" s="148"/>
      <c r="K633" s="148"/>
      <c r="L633" s="148"/>
      <c r="M633" s="148">
        <v>23.94</v>
      </c>
      <c r="N633" s="148">
        <v>30.36</v>
      </c>
      <c r="O633" s="148">
        <v>394.68</v>
      </c>
      <c r="P633" s="494"/>
      <c r="Q633" s="148">
        <f t="shared" si="197"/>
        <v>0</v>
      </c>
      <c r="R633" s="148"/>
      <c r="S633" s="148">
        <f t="shared" si="198"/>
        <v>0</v>
      </c>
      <c r="T633" s="148">
        <f t="shared" si="199"/>
        <v>13</v>
      </c>
      <c r="U633" s="148">
        <f t="shared" si="194"/>
        <v>394.68</v>
      </c>
      <c r="V633" s="379"/>
      <c r="W633" s="379"/>
      <c r="X633" s="57" t="e">
        <f>IF(B633&lt;&gt;0,VLOOKUP(B633,#REF!,4,FALSE),"")</f>
        <v>#REF!</v>
      </c>
      <c r="Y633" s="334" t="s">
        <v>3235</v>
      </c>
      <c r="Z633" s="334">
        <f t="shared" si="192"/>
        <v>279.34399999999999</v>
      </c>
      <c r="AA633" s="57"/>
      <c r="AB633" s="58" t="e">
        <f>IF(B633&lt;&gt;0,VLOOKUP(B633,#REF!,2,FALSE),"")</f>
        <v>#REF!</v>
      </c>
    </row>
    <row r="634" spans="1:28" s="55" customFormat="1" ht="45">
      <c r="A634" s="19" t="s">
        <v>2217</v>
      </c>
      <c r="B634" s="20">
        <v>95787</v>
      </c>
      <c r="C634" s="19" t="s">
        <v>1708</v>
      </c>
      <c r="D634" s="21" t="s">
        <v>12</v>
      </c>
      <c r="E634" s="21" t="s">
        <v>17</v>
      </c>
      <c r="F634" s="22">
        <v>5</v>
      </c>
      <c r="G634" s="22">
        <f t="shared" si="191"/>
        <v>18.614999999999998</v>
      </c>
      <c r="H634" s="22">
        <f t="shared" si="195"/>
        <v>23.61</v>
      </c>
      <c r="I634" s="147">
        <f t="shared" si="196"/>
        <v>118.05</v>
      </c>
      <c r="J634" s="148"/>
      <c r="K634" s="148"/>
      <c r="L634" s="148"/>
      <c r="M634" s="148">
        <v>20.74</v>
      </c>
      <c r="N634" s="148">
        <v>26.3</v>
      </c>
      <c r="O634" s="148">
        <v>131.5</v>
      </c>
      <c r="P634" s="494"/>
      <c r="Q634" s="148">
        <f t="shared" si="197"/>
        <v>0</v>
      </c>
      <c r="R634" s="148"/>
      <c r="S634" s="148">
        <f t="shared" si="198"/>
        <v>0</v>
      </c>
      <c r="T634" s="148">
        <f t="shared" si="199"/>
        <v>5</v>
      </c>
      <c r="U634" s="148">
        <f t="shared" si="194"/>
        <v>131.5</v>
      </c>
      <c r="V634" s="379"/>
      <c r="W634" s="379"/>
      <c r="X634" s="57" t="e">
        <f>IF(B634&lt;&gt;0,VLOOKUP(B634,#REF!,4,FALSE),"")</f>
        <v>#REF!</v>
      </c>
      <c r="Y634" s="334" t="s">
        <v>1887</v>
      </c>
      <c r="Z634" s="334">
        <f t="shared" si="192"/>
        <v>93.074999999999989</v>
      </c>
      <c r="AA634" s="57"/>
      <c r="AB634" s="58" t="e">
        <f>IF(B634&lt;&gt;0,VLOOKUP(B634,#REF!,2,FALSE),"")</f>
        <v>#REF!</v>
      </c>
    </row>
    <row r="635" spans="1:28" s="55" customFormat="1" ht="45">
      <c r="A635" s="19" t="s">
        <v>2218</v>
      </c>
      <c r="B635" s="20">
        <v>95778</v>
      </c>
      <c r="C635" s="19" t="s">
        <v>1709</v>
      </c>
      <c r="D635" s="21" t="s">
        <v>12</v>
      </c>
      <c r="E635" s="21" t="s">
        <v>17</v>
      </c>
      <c r="F635" s="22">
        <v>2</v>
      </c>
      <c r="G635" s="22">
        <f t="shared" si="191"/>
        <v>19.3035</v>
      </c>
      <c r="H635" s="22">
        <f t="shared" si="195"/>
        <v>24.48</v>
      </c>
      <c r="I635" s="147">
        <f t="shared" si="196"/>
        <v>48.96</v>
      </c>
      <c r="J635" s="148"/>
      <c r="K635" s="148"/>
      <c r="L635" s="148"/>
      <c r="M635" s="148">
        <v>21.5</v>
      </c>
      <c r="N635" s="148">
        <v>27.26</v>
      </c>
      <c r="O635" s="148">
        <v>54.52</v>
      </c>
      <c r="P635" s="494"/>
      <c r="Q635" s="148">
        <f t="shared" si="197"/>
        <v>0</v>
      </c>
      <c r="R635" s="148"/>
      <c r="S635" s="148">
        <f t="shared" si="198"/>
        <v>0</v>
      </c>
      <c r="T635" s="148">
        <f t="shared" si="199"/>
        <v>2</v>
      </c>
      <c r="U635" s="148">
        <f t="shared" si="194"/>
        <v>54.52</v>
      </c>
      <c r="V635" s="379"/>
      <c r="W635" s="379"/>
      <c r="X635" s="57" t="e">
        <f>IF(B635&lt;&gt;0,VLOOKUP(B635,#REF!,4,FALSE),"")</f>
        <v>#REF!</v>
      </c>
      <c r="Y635" s="334" t="s">
        <v>3134</v>
      </c>
      <c r="Z635" s="334">
        <f t="shared" si="192"/>
        <v>38.606999999999999</v>
      </c>
      <c r="AA635" s="57"/>
      <c r="AB635" s="58" t="e">
        <f>IF(B635&lt;&gt;0,VLOOKUP(B635,#REF!,2,FALSE),"")</f>
        <v>#REF!</v>
      </c>
    </row>
    <row r="636" spans="1:28" s="55" customFormat="1" ht="45">
      <c r="A636" s="19" t="s">
        <v>2219</v>
      </c>
      <c r="B636" s="20">
        <v>95779</v>
      </c>
      <c r="C636" s="19" t="s">
        <v>1710</v>
      </c>
      <c r="D636" s="21" t="s">
        <v>12</v>
      </c>
      <c r="E636" s="21" t="s">
        <v>17</v>
      </c>
      <c r="F636" s="22">
        <v>1</v>
      </c>
      <c r="G636" s="22">
        <f t="shared" si="191"/>
        <v>17.442</v>
      </c>
      <c r="H636" s="22">
        <f t="shared" si="195"/>
        <v>22.12</v>
      </c>
      <c r="I636" s="147">
        <f t="shared" si="196"/>
        <v>22.12</v>
      </c>
      <c r="J636" s="148"/>
      <c r="K636" s="148"/>
      <c r="L636" s="148"/>
      <c r="M636" s="148">
        <v>19.43</v>
      </c>
      <c r="N636" s="148">
        <v>24.64</v>
      </c>
      <c r="O636" s="148">
        <v>24.64</v>
      </c>
      <c r="P636" s="494"/>
      <c r="Q636" s="148">
        <f t="shared" si="197"/>
        <v>0</v>
      </c>
      <c r="R636" s="148"/>
      <c r="S636" s="148">
        <f t="shared" si="198"/>
        <v>0</v>
      </c>
      <c r="T636" s="148">
        <f t="shared" si="199"/>
        <v>1</v>
      </c>
      <c r="U636" s="148">
        <f t="shared" si="194"/>
        <v>24.64</v>
      </c>
      <c r="V636" s="379"/>
      <c r="W636" s="379"/>
      <c r="X636" s="57" t="e">
        <f>IF(B636&lt;&gt;0,VLOOKUP(B636,#REF!,4,FALSE),"")</f>
        <v>#REF!</v>
      </c>
      <c r="Y636" s="334" t="s">
        <v>1899</v>
      </c>
      <c r="Z636" s="334">
        <f t="shared" si="192"/>
        <v>17.442</v>
      </c>
      <c r="AA636" s="57"/>
      <c r="AB636" s="58" t="e">
        <f>IF(B636&lt;&gt;0,VLOOKUP(B636,#REF!,2,FALSE),"")</f>
        <v>#REF!</v>
      </c>
    </row>
    <row r="637" spans="1:28" s="55" customFormat="1" ht="49.5" customHeight="1">
      <c r="A637" s="36" t="s">
        <v>3635</v>
      </c>
      <c r="B637" s="20">
        <v>97881</v>
      </c>
      <c r="C637" s="439" t="s">
        <v>3630</v>
      </c>
      <c r="D637" s="21" t="s">
        <v>12</v>
      </c>
      <c r="E637" s="21" t="s">
        <v>17</v>
      </c>
      <c r="F637" s="22">
        <v>5</v>
      </c>
      <c r="G637" s="22">
        <f t="shared" si="191"/>
        <v>84.243499999999997</v>
      </c>
      <c r="H637" s="22">
        <f t="shared" si="195"/>
        <v>106.83</v>
      </c>
      <c r="I637" s="147">
        <f t="shared" si="196"/>
        <v>534.15</v>
      </c>
      <c r="J637" s="148"/>
      <c r="K637" s="148"/>
      <c r="L637" s="148"/>
      <c r="M637" s="148">
        <v>93.85</v>
      </c>
      <c r="N637" s="148">
        <v>119.01</v>
      </c>
      <c r="O637" s="148">
        <v>595.04999999999995</v>
      </c>
      <c r="P637" s="494"/>
      <c r="Q637" s="148">
        <f t="shared" si="197"/>
        <v>0</v>
      </c>
      <c r="R637" s="148"/>
      <c r="S637" s="148">
        <f t="shared" si="198"/>
        <v>0</v>
      </c>
      <c r="T637" s="148">
        <f t="shared" si="199"/>
        <v>5</v>
      </c>
      <c r="U637" s="148">
        <f t="shared" si="194"/>
        <v>595.04999999999995</v>
      </c>
      <c r="V637" s="379"/>
      <c r="W637" s="379"/>
      <c r="X637" s="57" t="e">
        <f>X561</f>
        <v>#REF!</v>
      </c>
      <c r="Y637" s="334" t="s">
        <v>3237</v>
      </c>
      <c r="Z637" s="334">
        <f t="shared" si="192"/>
        <v>421.21749999999997</v>
      </c>
      <c r="AA637" s="57"/>
      <c r="AB637" s="58" t="e">
        <f>IF(B637&lt;&gt;0,VLOOKUP(B637,#REF!,2,FALSE),"")</f>
        <v>#REF!</v>
      </c>
    </row>
    <row r="638" spans="1:28" s="55" customFormat="1" ht="45">
      <c r="A638" s="36" t="s">
        <v>3636</v>
      </c>
      <c r="B638" s="20">
        <v>97883</v>
      </c>
      <c r="C638" s="439" t="s">
        <v>3628</v>
      </c>
      <c r="D638" s="21" t="s">
        <v>12</v>
      </c>
      <c r="E638" s="21" t="s">
        <v>17</v>
      </c>
      <c r="F638" s="22">
        <v>12</v>
      </c>
      <c r="G638" s="22">
        <f t="shared" si="191"/>
        <v>254.422</v>
      </c>
      <c r="H638" s="22">
        <f t="shared" si="195"/>
        <v>322.63</v>
      </c>
      <c r="I638" s="147">
        <f t="shared" si="196"/>
        <v>3871.56</v>
      </c>
      <c r="J638" s="148"/>
      <c r="K638" s="148"/>
      <c r="L638" s="148"/>
      <c r="M638" s="148">
        <v>283.43</v>
      </c>
      <c r="N638" s="148">
        <v>359.42</v>
      </c>
      <c r="O638" s="148">
        <v>4313.04</v>
      </c>
      <c r="P638" s="494"/>
      <c r="Q638" s="148">
        <f t="shared" si="197"/>
        <v>0</v>
      </c>
      <c r="R638" s="148"/>
      <c r="S638" s="148">
        <f t="shared" si="198"/>
        <v>0</v>
      </c>
      <c r="T638" s="148">
        <f t="shared" si="199"/>
        <v>12</v>
      </c>
      <c r="U638" s="148">
        <f t="shared" si="194"/>
        <v>4313.04</v>
      </c>
      <c r="V638" s="379"/>
      <c r="W638" s="379"/>
      <c r="X638" s="57" t="e">
        <f>X560</f>
        <v>#REF!</v>
      </c>
      <c r="Y638" s="334" t="s">
        <v>3238</v>
      </c>
      <c r="Z638" s="334">
        <f t="shared" si="192"/>
        <v>3053.0639999999999</v>
      </c>
      <c r="AA638" s="57"/>
      <c r="AB638" s="58" t="e">
        <f>IF(B638&lt;&gt;0,VLOOKUP(B638,#REF!,2,FALSE),"")</f>
        <v>#REF!</v>
      </c>
    </row>
    <row r="639" spans="1:28" s="55" customFormat="1" ht="15" customHeight="1">
      <c r="A639" s="229" t="s">
        <v>1061</v>
      </c>
      <c r="B639" s="229"/>
      <c r="C639" s="229" t="s">
        <v>2276</v>
      </c>
      <c r="D639" s="230"/>
      <c r="E639" s="230"/>
      <c r="F639" s="230"/>
      <c r="G639" s="22"/>
      <c r="H639" s="230"/>
      <c r="I639" s="445"/>
      <c r="J639" s="440"/>
      <c r="K639" s="440"/>
      <c r="L639" s="440"/>
      <c r="M639" s="440"/>
      <c r="N639" s="440"/>
      <c r="O639" s="440"/>
      <c r="P639" s="492"/>
      <c r="Q639" s="148">
        <f t="shared" si="197"/>
        <v>0</v>
      </c>
      <c r="R639" s="440"/>
      <c r="S639" s="440"/>
      <c r="T639" s="148"/>
      <c r="U639" s="148"/>
      <c r="V639" s="330"/>
      <c r="W639" s="330"/>
      <c r="X639" s="58"/>
      <c r="Y639" s="334"/>
      <c r="Z639" s="334">
        <f t="shared" si="192"/>
        <v>0</v>
      </c>
      <c r="AA639" s="58"/>
      <c r="AB639" s="58"/>
    </row>
    <row r="640" spans="1:28" s="55" customFormat="1" ht="30">
      <c r="A640" s="19" t="s">
        <v>1062</v>
      </c>
      <c r="B640" s="20">
        <v>7384</v>
      </c>
      <c r="C640" s="19" t="s">
        <v>229</v>
      </c>
      <c r="D640" s="21" t="s">
        <v>44</v>
      </c>
      <c r="E640" s="21" t="s">
        <v>52</v>
      </c>
      <c r="F640" s="22">
        <v>29</v>
      </c>
      <c r="G640" s="22">
        <f t="shared" si="191"/>
        <v>19.244</v>
      </c>
      <c r="H640" s="22">
        <f>ROUND(G640*(1+$X$14),2)</f>
        <v>24.4</v>
      </c>
      <c r="I640" s="147">
        <f>ROUND(H640*F640,2)</f>
        <v>707.6</v>
      </c>
      <c r="J640" s="148"/>
      <c r="K640" s="148"/>
      <c r="L640" s="148"/>
      <c r="M640" s="148">
        <v>21.44</v>
      </c>
      <c r="N640" s="148">
        <v>27.19</v>
      </c>
      <c r="O640" s="148">
        <v>788.51</v>
      </c>
      <c r="P640" s="494"/>
      <c r="Q640" s="148">
        <f t="shared" si="197"/>
        <v>0</v>
      </c>
      <c r="R640" s="148"/>
      <c r="S640" s="148">
        <f>ROUND(R640*P640,2)</f>
        <v>0</v>
      </c>
      <c r="T640" s="148">
        <f t="shared" si="199"/>
        <v>29</v>
      </c>
      <c r="U640" s="148">
        <f t="shared" si="194"/>
        <v>788.51</v>
      </c>
      <c r="V640" s="379"/>
      <c r="W640" s="379"/>
      <c r="X640" s="57">
        <f>X540</f>
        <v>19.25</v>
      </c>
      <c r="Y640" s="334">
        <v>22.64</v>
      </c>
      <c r="Z640" s="334">
        <f t="shared" si="192"/>
        <v>558.07600000000002</v>
      </c>
      <c r="AA640" s="57"/>
      <c r="AB640" s="58"/>
    </row>
    <row r="641" spans="1:28" s="55" customFormat="1" ht="30">
      <c r="A641" s="19" t="s">
        <v>1063</v>
      </c>
      <c r="B641" s="20">
        <v>7879</v>
      </c>
      <c r="C641" s="19" t="s">
        <v>1764</v>
      </c>
      <c r="D641" s="21" t="s">
        <v>44</v>
      </c>
      <c r="E641" s="21" t="s">
        <v>17</v>
      </c>
      <c r="F641" s="22">
        <v>5</v>
      </c>
      <c r="G641" s="22">
        <f t="shared" si="191"/>
        <v>9.4945000000000004</v>
      </c>
      <c r="H641" s="22">
        <f>ROUND(G641*(1+$X$14),2)</f>
        <v>12.04</v>
      </c>
      <c r="I641" s="147">
        <f>ROUND(H641*F641,2)</f>
        <v>60.2</v>
      </c>
      <c r="J641" s="148"/>
      <c r="K641" s="148"/>
      <c r="L641" s="148"/>
      <c r="M641" s="148">
        <v>10.58</v>
      </c>
      <c r="N641" s="148">
        <v>13.42</v>
      </c>
      <c r="O641" s="148">
        <v>67.099999999999994</v>
      </c>
      <c r="P641" s="494"/>
      <c r="Q641" s="148">
        <f t="shared" si="197"/>
        <v>0</v>
      </c>
      <c r="R641" s="148"/>
      <c r="S641" s="148">
        <f>ROUND(R641*P641,2)</f>
        <v>0</v>
      </c>
      <c r="T641" s="148">
        <f t="shared" si="199"/>
        <v>5</v>
      </c>
      <c r="U641" s="148">
        <f t="shared" si="194"/>
        <v>67.099999999999994</v>
      </c>
      <c r="V641" s="379"/>
      <c r="W641" s="379"/>
      <c r="X641" s="57">
        <f>'COMPOSIÇÃO DE CUSTOS'!G1258</f>
        <v>9.49</v>
      </c>
      <c r="Y641" s="334">
        <v>11.17</v>
      </c>
      <c r="Z641" s="334">
        <f t="shared" si="192"/>
        <v>47.472500000000004</v>
      </c>
      <c r="AA641" s="57"/>
      <c r="AB641" s="58"/>
    </row>
    <row r="642" spans="1:28" s="55" customFormat="1" ht="30">
      <c r="A642" s="19" t="s">
        <v>1064</v>
      </c>
      <c r="B642" s="20">
        <v>12573</v>
      </c>
      <c r="C642" s="19" t="s">
        <v>1760</v>
      </c>
      <c r="D642" s="21" t="s">
        <v>44</v>
      </c>
      <c r="E642" s="21" t="s">
        <v>17</v>
      </c>
      <c r="F642" s="22">
        <v>43</v>
      </c>
      <c r="G642" s="22">
        <f t="shared" si="191"/>
        <v>9.5794999999999995</v>
      </c>
      <c r="H642" s="22">
        <f>ROUND(G642*(1+$X$14),2)</f>
        <v>12.15</v>
      </c>
      <c r="I642" s="147">
        <f>ROUND(H642*F642,2)</f>
        <v>522.45000000000005</v>
      </c>
      <c r="J642" s="148"/>
      <c r="K642" s="148"/>
      <c r="L642" s="148"/>
      <c r="M642" s="148">
        <v>10.67</v>
      </c>
      <c r="N642" s="148">
        <v>13.53</v>
      </c>
      <c r="O642" s="148">
        <v>581.79</v>
      </c>
      <c r="P642" s="494"/>
      <c r="Q642" s="148">
        <f t="shared" si="197"/>
        <v>0</v>
      </c>
      <c r="R642" s="148"/>
      <c r="S642" s="148">
        <f>ROUND(R642*P642,2)</f>
        <v>0</v>
      </c>
      <c r="T642" s="148">
        <f t="shared" si="199"/>
        <v>43</v>
      </c>
      <c r="U642" s="148">
        <f t="shared" si="194"/>
        <v>581.79</v>
      </c>
      <c r="V642" s="379"/>
      <c r="W642" s="379"/>
      <c r="X642" s="57">
        <f>X542</f>
        <v>9.58</v>
      </c>
      <c r="Y642" s="334">
        <v>11.27</v>
      </c>
      <c r="Z642" s="334">
        <f t="shared" si="192"/>
        <v>411.91849999999999</v>
      </c>
      <c r="AA642" s="57"/>
      <c r="AB642" s="58"/>
    </row>
    <row r="643" spans="1:28" s="55" customFormat="1" ht="30">
      <c r="A643" s="19" t="s">
        <v>1065</v>
      </c>
      <c r="B643" s="20">
        <v>12976</v>
      </c>
      <c r="C643" s="19" t="s">
        <v>211</v>
      </c>
      <c r="D643" s="21" t="s">
        <v>44</v>
      </c>
      <c r="E643" s="21" t="s">
        <v>17</v>
      </c>
      <c r="F643" s="22">
        <v>44</v>
      </c>
      <c r="G643" s="22">
        <f t="shared" si="191"/>
        <v>11.662000000000001</v>
      </c>
      <c r="H643" s="22">
        <f>ROUND(G643*(1+$X$14),2)</f>
        <v>14.79</v>
      </c>
      <c r="I643" s="147">
        <f>ROUND(H643*F643,2)</f>
        <v>650.76</v>
      </c>
      <c r="J643" s="148"/>
      <c r="K643" s="148"/>
      <c r="L643" s="148"/>
      <c r="M643" s="148">
        <v>12.99</v>
      </c>
      <c r="N643" s="148">
        <v>16.47</v>
      </c>
      <c r="O643" s="148">
        <v>724.68</v>
      </c>
      <c r="P643" s="494"/>
      <c r="Q643" s="148">
        <f t="shared" si="197"/>
        <v>0</v>
      </c>
      <c r="R643" s="148"/>
      <c r="S643" s="148">
        <f>ROUND(R643*P643,2)</f>
        <v>0</v>
      </c>
      <c r="T643" s="148">
        <f t="shared" si="199"/>
        <v>44</v>
      </c>
      <c r="U643" s="148">
        <f t="shared" si="194"/>
        <v>724.68</v>
      </c>
      <c r="V643" s="379"/>
      <c r="W643" s="379"/>
      <c r="X643" s="57">
        <f>X543</f>
        <v>11.66</v>
      </c>
      <c r="Y643" s="334">
        <v>13.72</v>
      </c>
      <c r="Z643" s="334">
        <f t="shared" si="192"/>
        <v>513.12800000000004</v>
      </c>
      <c r="AA643" s="57"/>
      <c r="AB643" s="58"/>
    </row>
    <row r="644" spans="1:28" s="55" customFormat="1" ht="30">
      <c r="A644" s="19" t="s">
        <v>1066</v>
      </c>
      <c r="B644" s="20">
        <v>12977</v>
      </c>
      <c r="C644" s="19" t="s">
        <v>212</v>
      </c>
      <c r="D644" s="21" t="s">
        <v>44</v>
      </c>
      <c r="E644" s="21" t="s">
        <v>17</v>
      </c>
      <c r="F644" s="22">
        <v>5</v>
      </c>
      <c r="G644" s="22">
        <f t="shared" si="191"/>
        <v>13.5745</v>
      </c>
      <c r="H644" s="22">
        <f>ROUND(G644*(1+$X$14),2)</f>
        <v>17.21</v>
      </c>
      <c r="I644" s="147">
        <f>ROUND(H644*F644,2)</f>
        <v>86.05</v>
      </c>
      <c r="J644" s="148"/>
      <c r="K644" s="148"/>
      <c r="L644" s="148"/>
      <c r="M644" s="148">
        <v>15.12</v>
      </c>
      <c r="N644" s="148">
        <v>19.170000000000002</v>
      </c>
      <c r="O644" s="148">
        <v>95.85</v>
      </c>
      <c r="P644" s="494"/>
      <c r="Q644" s="148">
        <f t="shared" si="197"/>
        <v>0</v>
      </c>
      <c r="R644" s="148"/>
      <c r="S644" s="148">
        <f>ROUND(R644*P644,2)</f>
        <v>0</v>
      </c>
      <c r="T644" s="148">
        <f t="shared" si="199"/>
        <v>5</v>
      </c>
      <c r="U644" s="148">
        <f t="shared" si="194"/>
        <v>95.85</v>
      </c>
      <c r="V644" s="379"/>
      <c r="W644" s="379"/>
      <c r="X644" s="57">
        <f>X544</f>
        <v>13.57</v>
      </c>
      <c r="Y644" s="334">
        <v>15.97</v>
      </c>
      <c r="Z644" s="334">
        <f t="shared" si="192"/>
        <v>67.872500000000002</v>
      </c>
      <c r="AA644" s="57"/>
      <c r="AB644" s="58"/>
    </row>
    <row r="645" spans="1:28" ht="26.25" customHeight="1">
      <c r="A645" s="19"/>
      <c r="B645" s="21"/>
      <c r="C645" s="19"/>
      <c r="D645" s="21"/>
      <c r="E645" s="21"/>
      <c r="F645" s="22"/>
      <c r="G645" s="22"/>
      <c r="H645" s="22"/>
      <c r="I645" s="147"/>
      <c r="J645" s="148"/>
      <c r="K645" s="148"/>
      <c r="L645" s="148"/>
      <c r="M645" s="148"/>
      <c r="N645" s="148"/>
      <c r="O645" s="148"/>
      <c r="P645" s="494"/>
      <c r="Q645" s="148"/>
      <c r="R645" s="148"/>
      <c r="S645" s="148"/>
      <c r="T645" s="148"/>
      <c r="U645" s="148"/>
      <c r="V645" s="379"/>
      <c r="W645" s="379"/>
      <c r="X645" s="30"/>
      <c r="Y645" s="337"/>
      <c r="Z645" s="334">
        <f t="shared" si="192"/>
        <v>0</v>
      </c>
      <c r="AA645" s="30"/>
      <c r="AB645" s="30"/>
    </row>
    <row r="646" spans="1:28" s="38" customFormat="1">
      <c r="A646" s="229" t="s">
        <v>1067</v>
      </c>
      <c r="B646" s="229"/>
      <c r="C646" s="229" t="s">
        <v>230</v>
      </c>
      <c r="D646" s="230"/>
      <c r="E646" s="230"/>
      <c r="F646" s="230"/>
      <c r="G646" s="22"/>
      <c r="H646" s="230"/>
      <c r="I646" s="445">
        <f>ROUND(SUM(I647:I675),2)</f>
        <v>57828.74</v>
      </c>
      <c r="J646" s="440"/>
      <c r="K646" s="440"/>
      <c r="L646" s="440"/>
      <c r="M646" s="440"/>
      <c r="N646" s="440"/>
      <c r="O646" s="440">
        <v>67179.7</v>
      </c>
      <c r="P646" s="492"/>
      <c r="Q646" s="440">
        <f>ROUND(SUM(Q647:Q675),2)</f>
        <v>0</v>
      </c>
      <c r="R646" s="440"/>
      <c r="S646" s="440">
        <f>ROUND(SUM(S647:S675),2)</f>
        <v>0</v>
      </c>
      <c r="T646" s="148"/>
      <c r="U646" s="440">
        <f t="shared" si="194"/>
        <v>67179.7</v>
      </c>
      <c r="V646" s="330"/>
      <c r="W646" s="330"/>
      <c r="X646" s="50"/>
      <c r="Y646" s="44"/>
      <c r="Z646" s="334">
        <f t="shared" si="192"/>
        <v>0</v>
      </c>
      <c r="AA646" s="44"/>
      <c r="AB646" s="45"/>
    </row>
    <row r="647" spans="1:28" s="55" customFormat="1" ht="31.5" customHeight="1">
      <c r="A647" s="229" t="s">
        <v>1068</v>
      </c>
      <c r="B647" s="229"/>
      <c r="C647" s="229" t="s">
        <v>231</v>
      </c>
      <c r="D647" s="230"/>
      <c r="E647" s="230"/>
      <c r="F647" s="230"/>
      <c r="G647" s="22"/>
      <c r="H647" s="230"/>
      <c r="I647" s="445"/>
      <c r="J647" s="440"/>
      <c r="K647" s="440"/>
      <c r="L647" s="440"/>
      <c r="M647" s="440"/>
      <c r="N647" s="440"/>
      <c r="O647" s="440"/>
      <c r="P647" s="492"/>
      <c r="Q647" s="440"/>
      <c r="R647" s="440"/>
      <c r="S647" s="440"/>
      <c r="T647" s="148"/>
      <c r="U647" s="148"/>
      <c r="V647" s="330"/>
      <c r="W647" s="330"/>
      <c r="X647" s="61"/>
      <c r="Y647" s="355"/>
      <c r="Z647" s="334">
        <f t="shared" si="192"/>
        <v>0</v>
      </c>
      <c r="AA647" s="60"/>
      <c r="AB647" s="58"/>
    </row>
    <row r="648" spans="1:28" s="55" customFormat="1">
      <c r="A648" s="19" t="s">
        <v>1069</v>
      </c>
      <c r="B648" s="20" t="s">
        <v>2297</v>
      </c>
      <c r="C648" s="19" t="s">
        <v>2663</v>
      </c>
      <c r="D648" s="21" t="s">
        <v>1914</v>
      </c>
      <c r="E648" s="21" t="s">
        <v>17</v>
      </c>
      <c r="F648" s="22">
        <f>8+9</f>
        <v>17</v>
      </c>
      <c r="G648" s="22">
        <f t="shared" si="191"/>
        <v>567.74900000000002</v>
      </c>
      <c r="H648" s="22">
        <f>ROUND(G648*(1+$X$14),2)</f>
        <v>719.96</v>
      </c>
      <c r="I648" s="147">
        <f>ROUND(H648*F648,2)</f>
        <v>12239.32</v>
      </c>
      <c r="J648" s="148"/>
      <c r="K648" s="148"/>
      <c r="L648" s="148"/>
      <c r="M648" s="148">
        <v>632.48</v>
      </c>
      <c r="N648" s="148">
        <v>802.05</v>
      </c>
      <c r="O648" s="148">
        <v>13634.85</v>
      </c>
      <c r="P648" s="494"/>
      <c r="Q648" s="148">
        <f t="shared" ref="Q648:Q675" si="200">ROUND(P648*N648,2)</f>
        <v>0</v>
      </c>
      <c r="R648" s="148"/>
      <c r="S648" s="148">
        <f>ROUND(R648*P648,2)</f>
        <v>0</v>
      </c>
      <c r="T648" s="148">
        <f t="shared" ref="T648:T675" si="201">F648+P648-R648</f>
        <v>17</v>
      </c>
      <c r="U648" s="148">
        <f t="shared" si="194"/>
        <v>13634.85</v>
      </c>
      <c r="V648" s="379"/>
      <c r="W648" s="379"/>
      <c r="X648" s="57">
        <f>'COMPOSIÇÃO DE CUSTOS'!G1321</f>
        <v>567.75</v>
      </c>
      <c r="Y648" s="334">
        <v>667.94</v>
      </c>
      <c r="Z648" s="334">
        <f t="shared" si="192"/>
        <v>9651.7330000000002</v>
      </c>
      <c r="AA648" s="57"/>
      <c r="AB648" s="58"/>
    </row>
    <row r="649" spans="1:28" s="55" customFormat="1" ht="30">
      <c r="A649" s="19" t="s">
        <v>2293</v>
      </c>
      <c r="B649" s="20" t="s">
        <v>2299</v>
      </c>
      <c r="C649" s="19" t="s">
        <v>2493</v>
      </c>
      <c r="D649" s="21" t="s">
        <v>1914</v>
      </c>
      <c r="E649" s="21" t="s">
        <v>17</v>
      </c>
      <c r="F649" s="22">
        <v>7</v>
      </c>
      <c r="G649" s="22">
        <f t="shared" si="191"/>
        <v>2298.7314999999999</v>
      </c>
      <c r="H649" s="22">
        <f>ROUND(G649*(1+$X$14),2)</f>
        <v>2915.02</v>
      </c>
      <c r="I649" s="147">
        <f>ROUND(H649*F649,2)</f>
        <v>20405.14</v>
      </c>
      <c r="J649" s="148"/>
      <c r="K649" s="148"/>
      <c r="L649" s="148"/>
      <c r="M649" s="148">
        <v>2560.81</v>
      </c>
      <c r="N649" s="148">
        <v>3247.36</v>
      </c>
      <c r="O649" s="148">
        <v>22731.52</v>
      </c>
      <c r="P649" s="494"/>
      <c r="Q649" s="148">
        <f t="shared" si="200"/>
        <v>0</v>
      </c>
      <c r="R649" s="148"/>
      <c r="S649" s="148">
        <f>ROUND(R649*P649,2)</f>
        <v>0</v>
      </c>
      <c r="T649" s="148">
        <f t="shared" si="201"/>
        <v>7</v>
      </c>
      <c r="U649" s="148">
        <f t="shared" si="194"/>
        <v>22731.52</v>
      </c>
      <c r="V649" s="379"/>
      <c r="W649" s="379"/>
      <c r="X649" s="57">
        <f>'COMPOSIÇÃO DE CUSTOS'!G1328</f>
        <v>2298.73</v>
      </c>
      <c r="Y649" s="334">
        <v>2704.39</v>
      </c>
      <c r="Z649" s="334">
        <f t="shared" si="192"/>
        <v>16091.120499999999</v>
      </c>
      <c r="AA649" s="57"/>
      <c r="AB649" s="58"/>
    </row>
    <row r="650" spans="1:28" s="55" customFormat="1">
      <c r="A650" s="19" t="s">
        <v>2294</v>
      </c>
      <c r="B650" s="20">
        <v>59624</v>
      </c>
      <c r="C650" s="19" t="s">
        <v>2302</v>
      </c>
      <c r="D650" s="21" t="s">
        <v>1914</v>
      </c>
      <c r="E650" s="21" t="s">
        <v>17</v>
      </c>
      <c r="F650" s="22">
        <v>1</v>
      </c>
      <c r="G650" s="22">
        <f t="shared" si="191"/>
        <v>517.31000000000006</v>
      </c>
      <c r="H650" s="22">
        <f>ROUND(G650*(1+$X$14),2)</f>
        <v>656</v>
      </c>
      <c r="I650" s="147">
        <f>ROUND(H650*F650,2)</f>
        <v>656</v>
      </c>
      <c r="J650" s="148"/>
      <c r="K650" s="148"/>
      <c r="L650" s="148"/>
      <c r="M650" s="148">
        <v>576.29</v>
      </c>
      <c r="N650" s="148">
        <v>730.79</v>
      </c>
      <c r="O650" s="148">
        <v>730.79</v>
      </c>
      <c r="P650" s="494"/>
      <c r="Q650" s="148">
        <f t="shared" si="200"/>
        <v>0</v>
      </c>
      <c r="R650" s="148"/>
      <c r="S650" s="148">
        <f>ROUND(R650*P650,2)</f>
        <v>0</v>
      </c>
      <c r="T650" s="148">
        <f t="shared" si="201"/>
        <v>1</v>
      </c>
      <c r="U650" s="148">
        <f t="shared" si="194"/>
        <v>730.79</v>
      </c>
      <c r="V650" s="379"/>
      <c r="W650" s="379"/>
      <c r="X650" s="57">
        <f>'COMPOSIÇÃO DE CUSTOS'!G1335</f>
        <v>517.30999999999995</v>
      </c>
      <c r="Y650" s="334">
        <v>608.6</v>
      </c>
      <c r="Z650" s="334">
        <f t="shared" si="192"/>
        <v>517.31000000000006</v>
      </c>
      <c r="AA650" s="57"/>
      <c r="AB650" s="58"/>
    </row>
    <row r="651" spans="1:28" s="55" customFormat="1">
      <c r="A651" s="19" t="s">
        <v>2295</v>
      </c>
      <c r="B651" s="21" t="s">
        <v>2304</v>
      </c>
      <c r="C651" s="19" t="s">
        <v>232</v>
      </c>
      <c r="D651" s="21" t="s">
        <v>1914</v>
      </c>
      <c r="E651" s="21" t="s">
        <v>17</v>
      </c>
      <c r="F651" s="22">
        <v>8</v>
      </c>
      <c r="G651" s="22">
        <f t="shared" si="191"/>
        <v>92.820000000000007</v>
      </c>
      <c r="H651" s="22">
        <f>ROUND(G651*(1+$X$14),2)</f>
        <v>117.71</v>
      </c>
      <c r="I651" s="147">
        <f>ROUND(H651*F651,2)</f>
        <v>941.68</v>
      </c>
      <c r="J651" s="148"/>
      <c r="K651" s="148"/>
      <c r="L651" s="148"/>
      <c r="M651" s="148">
        <v>103.4</v>
      </c>
      <c r="N651" s="148">
        <v>131.12</v>
      </c>
      <c r="O651" s="148">
        <v>1048.96</v>
      </c>
      <c r="P651" s="494"/>
      <c r="Q651" s="148">
        <f t="shared" si="200"/>
        <v>0</v>
      </c>
      <c r="R651" s="148"/>
      <c r="S651" s="148">
        <f>ROUND(R651*P651,2)</f>
        <v>0</v>
      </c>
      <c r="T651" s="148">
        <f t="shared" si="201"/>
        <v>8</v>
      </c>
      <c r="U651" s="148">
        <f t="shared" si="194"/>
        <v>1048.96</v>
      </c>
      <c r="V651" s="379"/>
      <c r="W651" s="379"/>
      <c r="X651" s="57">
        <f>'COMPOSIÇÃO DE CUSTOS'!G1342</f>
        <v>92.82</v>
      </c>
      <c r="Y651" s="334">
        <v>109.2</v>
      </c>
      <c r="Z651" s="334">
        <f t="shared" si="192"/>
        <v>742.56000000000006</v>
      </c>
      <c r="AA651" s="57"/>
      <c r="AB651" s="58"/>
    </row>
    <row r="652" spans="1:28" s="55" customFormat="1">
      <c r="A652" s="19" t="s">
        <v>2296</v>
      </c>
      <c r="B652" s="20">
        <v>8016</v>
      </c>
      <c r="C652" s="19" t="s">
        <v>233</v>
      </c>
      <c r="D652" s="21" t="s">
        <v>44</v>
      </c>
      <c r="E652" s="21" t="s">
        <v>17</v>
      </c>
      <c r="F652" s="22">
        <v>1</v>
      </c>
      <c r="G652" s="22">
        <f t="shared" si="191"/>
        <v>1886.7449999999999</v>
      </c>
      <c r="H652" s="22">
        <f>ROUND(G652*(1+$X$14),2)</f>
        <v>2392.58</v>
      </c>
      <c r="I652" s="147">
        <f>ROUND(H652*F652,2)</f>
        <v>2392.58</v>
      </c>
      <c r="J652" s="148"/>
      <c r="K652" s="148"/>
      <c r="L652" s="148"/>
      <c r="M652" s="148">
        <v>2101.85</v>
      </c>
      <c r="N652" s="148">
        <v>2665.36</v>
      </c>
      <c r="O652" s="148">
        <v>2665.36</v>
      </c>
      <c r="P652" s="494"/>
      <c r="Q652" s="148">
        <f t="shared" si="200"/>
        <v>0</v>
      </c>
      <c r="R652" s="148"/>
      <c r="S652" s="148">
        <f>ROUND(R652*P652,2)</f>
        <v>0</v>
      </c>
      <c r="T652" s="148">
        <f t="shared" si="201"/>
        <v>1</v>
      </c>
      <c r="U652" s="148">
        <f t="shared" si="194"/>
        <v>2665.36</v>
      </c>
      <c r="V652" s="379"/>
      <c r="W652" s="379"/>
      <c r="X652" s="57">
        <f>'COMPOSIÇÃO DE CUSTOS'!G1346</f>
        <v>1886.75</v>
      </c>
      <c r="Y652" s="334">
        <v>2219.6999999999998</v>
      </c>
      <c r="Z652" s="334">
        <f t="shared" si="192"/>
        <v>1886.7449999999999</v>
      </c>
      <c r="AA652" s="57"/>
      <c r="AB652" s="58"/>
    </row>
    <row r="653" spans="1:28" s="55" customFormat="1" ht="15" customHeight="1">
      <c r="A653" s="229" t="s">
        <v>1070</v>
      </c>
      <c r="B653" s="132"/>
      <c r="C653" s="229" t="s">
        <v>219</v>
      </c>
      <c r="D653" s="230"/>
      <c r="E653" s="230"/>
      <c r="F653" s="230"/>
      <c r="G653" s="22"/>
      <c r="H653" s="230"/>
      <c r="I653" s="445"/>
      <c r="J653" s="440"/>
      <c r="K653" s="440"/>
      <c r="L653" s="440"/>
      <c r="M653" s="440"/>
      <c r="N653" s="440"/>
      <c r="O653" s="440"/>
      <c r="P653" s="492"/>
      <c r="Q653" s="148">
        <f t="shared" si="200"/>
        <v>0</v>
      </c>
      <c r="R653" s="440"/>
      <c r="S653" s="440"/>
      <c r="T653" s="148">
        <f t="shared" si="201"/>
        <v>0</v>
      </c>
      <c r="U653" s="148">
        <f t="shared" si="194"/>
        <v>0</v>
      </c>
      <c r="V653" s="330"/>
      <c r="W653" s="330"/>
      <c r="X653" s="58"/>
      <c r="Y653" s="334"/>
      <c r="Z653" s="334">
        <f t="shared" si="192"/>
        <v>0</v>
      </c>
      <c r="AA653" s="58"/>
      <c r="AB653" s="58"/>
    </row>
    <row r="654" spans="1:28" s="55" customFormat="1" ht="30">
      <c r="A654" s="133" t="s">
        <v>1071</v>
      </c>
      <c r="B654" s="134">
        <f>B569</f>
        <v>11419</v>
      </c>
      <c r="C654" s="135" t="s">
        <v>220</v>
      </c>
      <c r="D654" s="21" t="s">
        <v>44</v>
      </c>
      <c r="E654" s="21" t="s">
        <v>17</v>
      </c>
      <c r="F654" s="22">
        <v>1</v>
      </c>
      <c r="G654" s="22">
        <f t="shared" si="191"/>
        <v>17.977499999999999</v>
      </c>
      <c r="H654" s="22">
        <f t="shared" ref="H654:H663" si="202">ROUND(G654*(1+$X$14),2)</f>
        <v>22.8</v>
      </c>
      <c r="I654" s="147">
        <f t="shared" ref="I654:I663" si="203">ROUND(H654*F654,2)</f>
        <v>22.8</v>
      </c>
      <c r="J654" s="148"/>
      <c r="K654" s="148"/>
      <c r="L654" s="148"/>
      <c r="M654" s="148">
        <v>20.03</v>
      </c>
      <c r="N654" s="148">
        <v>25.4</v>
      </c>
      <c r="O654" s="148">
        <v>25.4</v>
      </c>
      <c r="P654" s="494"/>
      <c r="Q654" s="148">
        <f t="shared" si="200"/>
        <v>0</v>
      </c>
      <c r="R654" s="148"/>
      <c r="S654" s="148">
        <f t="shared" ref="S654:S663" si="204">ROUND(R654*P654,2)</f>
        <v>0</v>
      </c>
      <c r="T654" s="148">
        <f t="shared" si="201"/>
        <v>1</v>
      </c>
      <c r="U654" s="148">
        <f t="shared" si="194"/>
        <v>25.4</v>
      </c>
      <c r="V654" s="379"/>
      <c r="W654" s="379"/>
      <c r="X654" s="57">
        <f>X569</f>
        <v>21.15</v>
      </c>
      <c r="Y654" s="334">
        <v>21.15</v>
      </c>
      <c r="Z654" s="334">
        <f t="shared" si="192"/>
        <v>17.977499999999999</v>
      </c>
      <c r="AA654" s="57"/>
      <c r="AB654" s="58"/>
    </row>
    <row r="655" spans="1:28" s="55" customFormat="1" ht="45">
      <c r="A655" s="133" t="s">
        <v>2285</v>
      </c>
      <c r="B655" s="134">
        <f>B580</f>
        <v>8362</v>
      </c>
      <c r="C655" s="135" t="s">
        <v>222</v>
      </c>
      <c r="D655" s="21" t="s">
        <v>44</v>
      </c>
      <c r="E655" s="21" t="s">
        <v>17</v>
      </c>
      <c r="F655" s="22">
        <v>1</v>
      </c>
      <c r="G655" s="22">
        <f t="shared" si="191"/>
        <v>16.3965</v>
      </c>
      <c r="H655" s="22">
        <f t="shared" si="202"/>
        <v>20.79</v>
      </c>
      <c r="I655" s="147">
        <f t="shared" si="203"/>
        <v>20.79</v>
      </c>
      <c r="J655" s="148"/>
      <c r="K655" s="148"/>
      <c r="L655" s="148"/>
      <c r="M655" s="148">
        <v>18.27</v>
      </c>
      <c r="N655" s="148">
        <v>23.17</v>
      </c>
      <c r="O655" s="148">
        <v>23.17</v>
      </c>
      <c r="P655" s="494"/>
      <c r="Q655" s="148">
        <f t="shared" si="200"/>
        <v>0</v>
      </c>
      <c r="R655" s="148"/>
      <c r="S655" s="148">
        <f t="shared" si="204"/>
        <v>0</v>
      </c>
      <c r="T655" s="148">
        <f t="shared" si="201"/>
        <v>1</v>
      </c>
      <c r="U655" s="148">
        <f t="shared" si="194"/>
        <v>23.17</v>
      </c>
      <c r="V655" s="379"/>
      <c r="W655" s="379"/>
      <c r="X655" s="57">
        <f>X580</f>
        <v>16.399999999999999</v>
      </c>
      <c r="Y655" s="334">
        <v>19.29</v>
      </c>
      <c r="Z655" s="334">
        <f t="shared" si="192"/>
        <v>16.3965</v>
      </c>
      <c r="AA655" s="57"/>
      <c r="AB655" s="58"/>
    </row>
    <row r="656" spans="1:28" s="55" customFormat="1" ht="30">
      <c r="A656" s="133" t="s">
        <v>2286</v>
      </c>
      <c r="B656" s="20">
        <v>98304</v>
      </c>
      <c r="C656" s="135" t="s">
        <v>2505</v>
      </c>
      <c r="D656" s="21" t="s">
        <v>12</v>
      </c>
      <c r="E656" s="21" t="s">
        <v>17</v>
      </c>
      <c r="F656" s="22">
        <v>1</v>
      </c>
      <c r="G656" s="22">
        <f t="shared" si="191"/>
        <v>732.14750000000004</v>
      </c>
      <c r="H656" s="22">
        <f t="shared" si="202"/>
        <v>928.44</v>
      </c>
      <c r="I656" s="147">
        <f t="shared" si="203"/>
        <v>928.44</v>
      </c>
      <c r="J656" s="148"/>
      <c r="K656" s="148"/>
      <c r="L656" s="148"/>
      <c r="M656" s="148">
        <v>815.62</v>
      </c>
      <c r="N656" s="148">
        <v>1034.29</v>
      </c>
      <c r="O656" s="148">
        <v>1034.29</v>
      </c>
      <c r="P656" s="494"/>
      <c r="Q656" s="148">
        <f t="shared" si="200"/>
        <v>0</v>
      </c>
      <c r="R656" s="148"/>
      <c r="S656" s="148">
        <f t="shared" si="204"/>
        <v>0</v>
      </c>
      <c r="T656" s="148">
        <f t="shared" si="201"/>
        <v>1</v>
      </c>
      <c r="U656" s="148">
        <f t="shared" si="194"/>
        <v>1034.29</v>
      </c>
      <c r="V656" s="379"/>
      <c r="W656" s="379"/>
      <c r="X656" s="57" t="e">
        <f>IF(B656&lt;&gt;0,VLOOKUP(B656,#REF!,4,FALSE),"")</f>
        <v>#REF!</v>
      </c>
      <c r="Y656" s="334" t="s">
        <v>3166</v>
      </c>
      <c r="Z656" s="334">
        <f t="shared" si="192"/>
        <v>732.14750000000004</v>
      </c>
      <c r="AA656" s="57"/>
      <c r="AB656" s="58" t="e">
        <f>IF(B656&lt;&gt;0,VLOOKUP(B656,#REF!,2,FALSE),"")</f>
        <v>#REF!</v>
      </c>
    </row>
    <row r="657" spans="1:28" s="55" customFormat="1" ht="30">
      <c r="A657" s="133" t="s">
        <v>2287</v>
      </c>
      <c r="B657" s="134">
        <v>755</v>
      </c>
      <c r="C657" s="135" t="s">
        <v>223</v>
      </c>
      <c r="D657" s="21" t="s">
        <v>44</v>
      </c>
      <c r="E657" s="21" t="s">
        <v>17</v>
      </c>
      <c r="F657" s="22">
        <v>1</v>
      </c>
      <c r="G657" s="22">
        <f t="shared" si="191"/>
        <v>674.55150000000003</v>
      </c>
      <c r="H657" s="22">
        <f t="shared" si="202"/>
        <v>855.4</v>
      </c>
      <c r="I657" s="147">
        <f t="shared" si="203"/>
        <v>855.4</v>
      </c>
      <c r="J657" s="148"/>
      <c r="K657" s="148"/>
      <c r="L657" s="148"/>
      <c r="M657" s="148">
        <v>751.46</v>
      </c>
      <c r="N657" s="148">
        <v>952.93</v>
      </c>
      <c r="O657" s="148">
        <v>952.93</v>
      </c>
      <c r="P657" s="494"/>
      <c r="Q657" s="148">
        <f t="shared" si="200"/>
        <v>0</v>
      </c>
      <c r="R657" s="148"/>
      <c r="S657" s="148">
        <f t="shared" si="204"/>
        <v>0</v>
      </c>
      <c r="T657" s="148">
        <f t="shared" si="201"/>
        <v>1</v>
      </c>
      <c r="U657" s="148">
        <f t="shared" si="194"/>
        <v>952.93</v>
      </c>
      <c r="V657" s="379"/>
      <c r="W657" s="379"/>
      <c r="X657" s="57">
        <f>'COMPOSIÇÃO DE CUSTOS'!G2004</f>
        <v>674.55</v>
      </c>
      <c r="Y657" s="334">
        <v>793.59</v>
      </c>
      <c r="Z657" s="334">
        <f t="shared" si="192"/>
        <v>674.55150000000003</v>
      </c>
      <c r="AA657" s="57"/>
      <c r="AB657" s="58"/>
    </row>
    <row r="658" spans="1:28" s="55" customFormat="1" ht="45">
      <c r="A658" s="133" t="s">
        <v>2288</v>
      </c>
      <c r="B658" s="131" t="s">
        <v>2494</v>
      </c>
      <c r="C658" s="135" t="s">
        <v>2018</v>
      </c>
      <c r="D658" s="21" t="s">
        <v>1914</v>
      </c>
      <c r="E658" s="21" t="s">
        <v>17</v>
      </c>
      <c r="F658" s="22">
        <v>2</v>
      </c>
      <c r="G658" s="22">
        <f t="shared" si="191"/>
        <v>3039.1324999999997</v>
      </c>
      <c r="H658" s="22">
        <f t="shared" si="202"/>
        <v>3853.92</v>
      </c>
      <c r="I658" s="147">
        <f t="shared" si="203"/>
        <v>7707.84</v>
      </c>
      <c r="J658" s="148"/>
      <c r="K658" s="148"/>
      <c r="L658" s="148"/>
      <c r="M658" s="148">
        <v>3385.62</v>
      </c>
      <c r="N658" s="148">
        <v>4293.3</v>
      </c>
      <c r="O658" s="148">
        <v>8586.6</v>
      </c>
      <c r="P658" s="494"/>
      <c r="Q658" s="148">
        <f t="shared" si="200"/>
        <v>0</v>
      </c>
      <c r="R658" s="148"/>
      <c r="S658" s="148">
        <f t="shared" si="204"/>
        <v>0</v>
      </c>
      <c r="T658" s="148">
        <f t="shared" si="201"/>
        <v>2</v>
      </c>
      <c r="U658" s="148">
        <f t="shared" si="194"/>
        <v>8586.6</v>
      </c>
      <c r="V658" s="379"/>
      <c r="W658" s="379"/>
      <c r="X658" s="57">
        <f>'COMPOSIÇÃO DE CUSTOS'!G2229</f>
        <v>3039.14</v>
      </c>
      <c r="Y658" s="334">
        <v>3575.45</v>
      </c>
      <c r="Z658" s="334">
        <f t="shared" si="192"/>
        <v>6078.2649999999994</v>
      </c>
      <c r="AA658" s="57"/>
      <c r="AB658" s="58"/>
    </row>
    <row r="659" spans="1:28" s="55" customFormat="1" ht="30">
      <c r="A659" s="133" t="s">
        <v>2289</v>
      </c>
      <c r="B659" s="134">
        <v>758</v>
      </c>
      <c r="C659" s="135" t="s">
        <v>234</v>
      </c>
      <c r="D659" s="21" t="s">
        <v>44</v>
      </c>
      <c r="E659" s="21" t="s">
        <v>17</v>
      </c>
      <c r="F659" s="22">
        <v>24</v>
      </c>
      <c r="G659" s="22">
        <f t="shared" si="191"/>
        <v>4.4540000000000006</v>
      </c>
      <c r="H659" s="22">
        <f t="shared" si="202"/>
        <v>5.65</v>
      </c>
      <c r="I659" s="147">
        <f t="shared" si="203"/>
        <v>135.6</v>
      </c>
      <c r="J659" s="148"/>
      <c r="K659" s="148"/>
      <c r="L659" s="148"/>
      <c r="M659" s="148">
        <v>4.96</v>
      </c>
      <c r="N659" s="148">
        <v>6.29</v>
      </c>
      <c r="O659" s="148">
        <v>150.96</v>
      </c>
      <c r="P659" s="494"/>
      <c r="Q659" s="148">
        <f t="shared" si="200"/>
        <v>0</v>
      </c>
      <c r="R659" s="148"/>
      <c r="S659" s="148">
        <f t="shared" si="204"/>
        <v>0</v>
      </c>
      <c r="T659" s="148">
        <f t="shared" si="201"/>
        <v>24</v>
      </c>
      <c r="U659" s="148">
        <f t="shared" si="194"/>
        <v>150.96</v>
      </c>
      <c r="V659" s="379"/>
      <c r="W659" s="379"/>
      <c r="X659" s="57">
        <f>'COMPOSIÇÃO DE CUSTOS'!G1974</f>
        <v>4.45</v>
      </c>
      <c r="Y659" s="334">
        <v>5.24</v>
      </c>
      <c r="Z659" s="334">
        <f t="shared" si="192"/>
        <v>106.89600000000002</v>
      </c>
      <c r="AA659" s="57"/>
      <c r="AB659" s="58"/>
    </row>
    <row r="660" spans="1:28" s="55" customFormat="1" ht="57.75" customHeight="1">
      <c r="A660" s="133" t="s">
        <v>2290</v>
      </c>
      <c r="B660" s="136">
        <v>100563</v>
      </c>
      <c r="C660" s="137" t="s">
        <v>2506</v>
      </c>
      <c r="D660" s="21" t="s">
        <v>12</v>
      </c>
      <c r="E660" s="21" t="s">
        <v>17</v>
      </c>
      <c r="F660" s="22">
        <v>1</v>
      </c>
      <c r="G660" s="22">
        <f t="shared" si="191"/>
        <v>331.80600000000004</v>
      </c>
      <c r="H660" s="22">
        <f t="shared" si="202"/>
        <v>420.76</v>
      </c>
      <c r="I660" s="147">
        <f t="shared" si="203"/>
        <v>420.76</v>
      </c>
      <c r="J660" s="148"/>
      <c r="K660" s="148"/>
      <c r="L660" s="148"/>
      <c r="M660" s="148">
        <v>369.63</v>
      </c>
      <c r="N660" s="148">
        <v>468.73</v>
      </c>
      <c r="O660" s="148">
        <v>468.73</v>
      </c>
      <c r="P660" s="494"/>
      <c r="Q660" s="148">
        <f t="shared" si="200"/>
        <v>0</v>
      </c>
      <c r="R660" s="148"/>
      <c r="S660" s="148">
        <f t="shared" si="204"/>
        <v>0</v>
      </c>
      <c r="T660" s="148">
        <f t="shared" si="201"/>
        <v>1</v>
      </c>
      <c r="U660" s="148">
        <f t="shared" si="194"/>
        <v>468.73</v>
      </c>
      <c r="V660" s="379"/>
      <c r="W660" s="379"/>
      <c r="X660" s="57" t="e">
        <f>IF(B660&lt;&gt;0,VLOOKUP(B660,#REF!,4,FALSE),"")</f>
        <v>#REF!</v>
      </c>
      <c r="Y660" s="334" t="s">
        <v>3265</v>
      </c>
      <c r="Z660" s="334">
        <f t="shared" si="192"/>
        <v>331.80600000000004</v>
      </c>
      <c r="AA660" s="57"/>
      <c r="AB660" s="58" t="e">
        <f>IF(B660&lt;&gt;0,VLOOKUP(B660,#REF!,2,FALSE),"")</f>
        <v>#REF!</v>
      </c>
    </row>
    <row r="661" spans="1:28" s="55" customFormat="1" ht="29.25" customHeight="1">
      <c r="A661" s="133" t="s">
        <v>2381</v>
      </c>
      <c r="B661" s="138">
        <v>11420</v>
      </c>
      <c r="C661" s="139" t="s">
        <v>1971</v>
      </c>
      <c r="D661" s="21" t="s">
        <v>44</v>
      </c>
      <c r="E661" s="21" t="s">
        <v>17</v>
      </c>
      <c r="F661" s="22">
        <v>40</v>
      </c>
      <c r="G661" s="22">
        <f t="shared" ref="G661:G723" si="205">Y661-(Y661*$Y$15)</f>
        <v>11.662000000000001</v>
      </c>
      <c r="H661" s="22">
        <f t="shared" si="202"/>
        <v>14.79</v>
      </c>
      <c r="I661" s="147">
        <f t="shared" si="203"/>
        <v>591.6</v>
      </c>
      <c r="J661" s="148"/>
      <c r="K661" s="148"/>
      <c r="L661" s="148"/>
      <c r="M661" s="148">
        <v>12.99</v>
      </c>
      <c r="N661" s="148">
        <v>16.47</v>
      </c>
      <c r="O661" s="148">
        <v>658.8</v>
      </c>
      <c r="P661" s="494"/>
      <c r="Q661" s="148">
        <f t="shared" si="200"/>
        <v>0</v>
      </c>
      <c r="R661" s="148"/>
      <c r="S661" s="148">
        <f t="shared" si="204"/>
        <v>0</v>
      </c>
      <c r="T661" s="148">
        <f t="shared" si="201"/>
        <v>40</v>
      </c>
      <c r="U661" s="148">
        <f t="shared" si="194"/>
        <v>658.8</v>
      </c>
      <c r="V661" s="379"/>
      <c r="W661" s="379"/>
      <c r="X661" s="57">
        <f>'COMPOSIÇÃO DE CUSTOS'!G2017</f>
        <v>11.66</v>
      </c>
      <c r="Y661" s="334">
        <v>13.72</v>
      </c>
      <c r="Z661" s="334">
        <f t="shared" ref="Z661:Z724" si="206">F661*G661</f>
        <v>466.48</v>
      </c>
      <c r="AA661" s="57"/>
      <c r="AB661" s="58"/>
    </row>
    <row r="662" spans="1:28" s="55" customFormat="1" ht="24.75" customHeight="1">
      <c r="A662" s="133" t="s">
        <v>2459</v>
      </c>
      <c r="B662" s="138" t="s">
        <v>2490</v>
      </c>
      <c r="C662" s="139" t="s">
        <v>2491</v>
      </c>
      <c r="D662" s="21" t="s">
        <v>1914</v>
      </c>
      <c r="E662" s="21" t="s">
        <v>17</v>
      </c>
      <c r="F662" s="22">
        <v>2</v>
      </c>
      <c r="G662" s="22">
        <f t="shared" si="205"/>
        <v>971.08249999999998</v>
      </c>
      <c r="H662" s="22">
        <f t="shared" si="202"/>
        <v>1231.43</v>
      </c>
      <c r="I662" s="147">
        <f t="shared" si="203"/>
        <v>2462.86</v>
      </c>
      <c r="J662" s="148"/>
      <c r="K662" s="148"/>
      <c r="L662" s="148"/>
      <c r="M662" s="148">
        <v>1081.79</v>
      </c>
      <c r="N662" s="148">
        <v>1371.82</v>
      </c>
      <c r="O662" s="148">
        <v>2743.64</v>
      </c>
      <c r="P662" s="494"/>
      <c r="Q662" s="148">
        <f t="shared" si="200"/>
        <v>0</v>
      </c>
      <c r="R662" s="148"/>
      <c r="S662" s="148">
        <f t="shared" si="204"/>
        <v>0</v>
      </c>
      <c r="T662" s="148">
        <f t="shared" si="201"/>
        <v>2</v>
      </c>
      <c r="U662" s="148">
        <f t="shared" si="194"/>
        <v>2743.64</v>
      </c>
      <c r="V662" s="379"/>
      <c r="W662" s="379"/>
      <c r="X662" s="57">
        <f>'COMPOSIÇÃO DE CUSTOS'!G1811</f>
        <v>971.08</v>
      </c>
      <c r="Y662" s="334">
        <v>1142.45</v>
      </c>
      <c r="Z662" s="334">
        <f t="shared" si="206"/>
        <v>1942.165</v>
      </c>
      <c r="AA662" s="57"/>
      <c r="AB662" s="58"/>
    </row>
    <row r="663" spans="1:28" s="55" customFormat="1" ht="25.5" customHeight="1">
      <c r="A663" s="133" t="s">
        <v>2460</v>
      </c>
      <c r="B663" s="138">
        <v>9218</v>
      </c>
      <c r="C663" s="139" t="s">
        <v>2036</v>
      </c>
      <c r="D663" s="21" t="s">
        <v>44</v>
      </c>
      <c r="E663" s="21" t="s">
        <v>17</v>
      </c>
      <c r="F663" s="22">
        <v>1</v>
      </c>
      <c r="G663" s="22">
        <f t="shared" si="205"/>
        <v>1893.8765000000001</v>
      </c>
      <c r="H663" s="22">
        <f t="shared" si="202"/>
        <v>2401.62</v>
      </c>
      <c r="I663" s="147">
        <f t="shared" si="203"/>
        <v>2401.62</v>
      </c>
      <c r="J663" s="148"/>
      <c r="K663" s="148"/>
      <c r="L663" s="148"/>
      <c r="M663" s="148">
        <v>2109.79</v>
      </c>
      <c r="N663" s="148">
        <v>2675.42</v>
      </c>
      <c r="O663" s="148">
        <v>2675.42</v>
      </c>
      <c r="P663" s="494"/>
      <c r="Q663" s="148">
        <f t="shared" si="200"/>
        <v>0</v>
      </c>
      <c r="R663" s="148"/>
      <c r="S663" s="148">
        <f t="shared" si="204"/>
        <v>0</v>
      </c>
      <c r="T663" s="148">
        <f t="shared" si="201"/>
        <v>1</v>
      </c>
      <c r="U663" s="148">
        <f t="shared" si="194"/>
        <v>2675.42</v>
      </c>
      <c r="V663" s="379"/>
      <c r="W663" s="379"/>
      <c r="X663" s="57">
        <f>'COMPOSIÇÃO DE CUSTOS'!G2251</f>
        <v>1893.88</v>
      </c>
      <c r="Y663" s="334">
        <v>2228.09</v>
      </c>
      <c r="Z663" s="334">
        <f t="shared" si="206"/>
        <v>1893.8765000000001</v>
      </c>
      <c r="AA663" s="57"/>
      <c r="AB663" s="58"/>
    </row>
    <row r="664" spans="1:28" s="55" customFormat="1" ht="15" customHeight="1">
      <c r="A664" s="140" t="s">
        <v>1079</v>
      </c>
      <c r="B664" s="140"/>
      <c r="C664" s="140" t="s">
        <v>224</v>
      </c>
      <c r="D664" s="141"/>
      <c r="E664" s="230"/>
      <c r="F664" s="230"/>
      <c r="G664" s="22"/>
      <c r="H664" s="230"/>
      <c r="I664" s="445"/>
      <c r="J664" s="440"/>
      <c r="K664" s="440"/>
      <c r="L664" s="440"/>
      <c r="M664" s="440"/>
      <c r="N664" s="440"/>
      <c r="O664" s="440"/>
      <c r="P664" s="492"/>
      <c r="Q664" s="148">
        <f t="shared" si="200"/>
        <v>0</v>
      </c>
      <c r="R664" s="440"/>
      <c r="S664" s="440"/>
      <c r="T664" s="148"/>
      <c r="U664" s="148"/>
      <c r="V664" s="330"/>
      <c r="W664" s="330"/>
      <c r="X664" s="58"/>
      <c r="Y664" s="334"/>
      <c r="Z664" s="334">
        <f t="shared" si="206"/>
        <v>0</v>
      </c>
      <c r="AA664" s="58"/>
      <c r="AB664" s="58"/>
    </row>
    <row r="665" spans="1:28" s="55" customFormat="1" ht="45">
      <c r="A665" s="139" t="s">
        <v>1080</v>
      </c>
      <c r="B665" s="138">
        <v>91863</v>
      </c>
      <c r="C665" s="139" t="s">
        <v>1692</v>
      </c>
      <c r="D665" s="142" t="s">
        <v>12</v>
      </c>
      <c r="E665" s="21" t="s">
        <v>52</v>
      </c>
      <c r="F665" s="22">
        <v>119</v>
      </c>
      <c r="G665" s="22">
        <f t="shared" si="205"/>
        <v>6.8849999999999998</v>
      </c>
      <c r="H665" s="22">
        <f t="shared" ref="H665:H671" si="207">ROUND(G665*(1+$X$14),2)</f>
        <v>8.73</v>
      </c>
      <c r="I665" s="147">
        <f t="shared" ref="I665:I671" si="208">ROUND(H665*F665,2)</f>
        <v>1038.8699999999999</v>
      </c>
      <c r="J665" s="148"/>
      <c r="K665" s="148"/>
      <c r="L665" s="148"/>
      <c r="M665" s="148">
        <v>7.67</v>
      </c>
      <c r="N665" s="148">
        <v>9.73</v>
      </c>
      <c r="O665" s="148">
        <v>1157.8699999999999</v>
      </c>
      <c r="P665" s="494"/>
      <c r="Q665" s="148">
        <f t="shared" si="200"/>
        <v>0</v>
      </c>
      <c r="R665" s="148"/>
      <c r="S665" s="148">
        <f t="shared" ref="S665:S671" si="209">ROUND(R665*P665,2)</f>
        <v>0</v>
      </c>
      <c r="T665" s="148">
        <f t="shared" si="201"/>
        <v>119</v>
      </c>
      <c r="U665" s="148">
        <f t="shared" si="194"/>
        <v>1157.8699999999999</v>
      </c>
      <c r="V665" s="379"/>
      <c r="W665" s="379"/>
      <c r="X665" s="57" t="e">
        <f>IF(B665&lt;&gt;0,VLOOKUP(B665,#REF!,4,FALSE),"")</f>
        <v>#REF!</v>
      </c>
      <c r="Y665" s="334" t="s">
        <v>1885</v>
      </c>
      <c r="Z665" s="334">
        <f t="shared" si="206"/>
        <v>819.31499999999994</v>
      </c>
      <c r="AA665" s="57"/>
      <c r="AB665" s="58" t="e">
        <f>IF(B665&lt;&gt;0,VLOOKUP(B665,#REF!,2,FALSE),"")</f>
        <v>#REF!</v>
      </c>
    </row>
    <row r="666" spans="1:28" s="55" customFormat="1" ht="60">
      <c r="A666" s="143" t="s">
        <v>1081</v>
      </c>
      <c r="B666" s="144">
        <v>91890</v>
      </c>
      <c r="C666" s="143" t="s">
        <v>1693</v>
      </c>
      <c r="D666" s="21" t="s">
        <v>12</v>
      </c>
      <c r="E666" s="21" t="s">
        <v>17</v>
      </c>
      <c r="F666" s="22">
        <v>8</v>
      </c>
      <c r="G666" s="22">
        <f t="shared" si="205"/>
        <v>6.375</v>
      </c>
      <c r="H666" s="22">
        <f t="shared" si="207"/>
        <v>8.08</v>
      </c>
      <c r="I666" s="147">
        <f t="shared" si="208"/>
        <v>64.64</v>
      </c>
      <c r="J666" s="148"/>
      <c r="K666" s="148"/>
      <c r="L666" s="148"/>
      <c r="M666" s="148">
        <v>7.1</v>
      </c>
      <c r="N666" s="148">
        <v>9</v>
      </c>
      <c r="O666" s="148">
        <v>72</v>
      </c>
      <c r="P666" s="494"/>
      <c r="Q666" s="148">
        <f t="shared" si="200"/>
        <v>0</v>
      </c>
      <c r="R666" s="148"/>
      <c r="S666" s="148">
        <f t="shared" si="209"/>
        <v>0</v>
      </c>
      <c r="T666" s="148">
        <f t="shared" si="201"/>
        <v>8</v>
      </c>
      <c r="U666" s="148">
        <f t="shared" si="194"/>
        <v>72</v>
      </c>
      <c r="V666" s="379"/>
      <c r="W666" s="379"/>
      <c r="X666" s="57" t="e">
        <f>IF(B666&lt;&gt;0,VLOOKUP(B666,#REF!,4,FALSE),"")</f>
        <v>#REF!</v>
      </c>
      <c r="Y666" s="334" t="s">
        <v>3222</v>
      </c>
      <c r="Z666" s="334">
        <f t="shared" si="206"/>
        <v>51</v>
      </c>
      <c r="AA666" s="57"/>
      <c r="AB666" s="58" t="e">
        <f>IF(B666&lt;&gt;0,VLOOKUP(B666,#REF!,2,FALSE),"")</f>
        <v>#REF!</v>
      </c>
    </row>
    <row r="667" spans="1:28" s="55" customFormat="1" ht="45">
      <c r="A667" s="19" t="s">
        <v>1082</v>
      </c>
      <c r="B667" s="20">
        <v>91875</v>
      </c>
      <c r="C667" s="19" t="s">
        <v>1694</v>
      </c>
      <c r="D667" s="21" t="s">
        <v>12</v>
      </c>
      <c r="E667" s="21" t="s">
        <v>17</v>
      </c>
      <c r="F667" s="22">
        <v>56</v>
      </c>
      <c r="G667" s="22">
        <f t="shared" si="205"/>
        <v>3.7654999999999998</v>
      </c>
      <c r="H667" s="22">
        <f t="shared" si="207"/>
        <v>4.78</v>
      </c>
      <c r="I667" s="147">
        <f t="shared" si="208"/>
        <v>267.68</v>
      </c>
      <c r="J667" s="148"/>
      <c r="K667" s="148"/>
      <c r="L667" s="148"/>
      <c r="M667" s="148">
        <v>4.1900000000000004</v>
      </c>
      <c r="N667" s="148">
        <v>5.31</v>
      </c>
      <c r="O667" s="148">
        <v>297.36</v>
      </c>
      <c r="P667" s="494"/>
      <c r="Q667" s="148">
        <f t="shared" si="200"/>
        <v>0</v>
      </c>
      <c r="R667" s="148"/>
      <c r="S667" s="148">
        <f t="shared" si="209"/>
        <v>0</v>
      </c>
      <c r="T667" s="148">
        <f t="shared" si="201"/>
        <v>56</v>
      </c>
      <c r="U667" s="148">
        <f t="shared" si="194"/>
        <v>297.36</v>
      </c>
      <c r="V667" s="379"/>
      <c r="W667" s="379"/>
      <c r="X667" s="57" t="e">
        <f>IF(B667&lt;&gt;0,VLOOKUP(B667,#REF!,4,FALSE),"")</f>
        <v>#REF!</v>
      </c>
      <c r="Y667" s="334" t="s">
        <v>1864</v>
      </c>
      <c r="Z667" s="334">
        <f t="shared" si="206"/>
        <v>210.86799999999999</v>
      </c>
      <c r="AA667" s="57"/>
      <c r="AB667" s="58" t="e">
        <f>IF(B667&lt;&gt;0,VLOOKUP(B667,#REF!,2,FALSE),"")</f>
        <v>#REF!</v>
      </c>
    </row>
    <row r="668" spans="1:28" s="55" customFormat="1" ht="45">
      <c r="A668" s="19" t="s">
        <v>1083</v>
      </c>
      <c r="B668" s="20">
        <v>91871</v>
      </c>
      <c r="C668" s="19" t="s">
        <v>1695</v>
      </c>
      <c r="D668" s="21" t="s">
        <v>12</v>
      </c>
      <c r="E668" s="21" t="s">
        <v>52</v>
      </c>
      <c r="F668" s="22">
        <v>47</v>
      </c>
      <c r="G668" s="22">
        <f t="shared" si="205"/>
        <v>7.3949999999999996</v>
      </c>
      <c r="H668" s="22">
        <f t="shared" si="207"/>
        <v>9.3800000000000008</v>
      </c>
      <c r="I668" s="147">
        <f t="shared" si="208"/>
        <v>440.86</v>
      </c>
      <c r="J668" s="148"/>
      <c r="K668" s="148"/>
      <c r="L668" s="148"/>
      <c r="M668" s="148">
        <v>8.24</v>
      </c>
      <c r="N668" s="148">
        <v>10.45</v>
      </c>
      <c r="O668" s="148">
        <v>491.15</v>
      </c>
      <c r="P668" s="494"/>
      <c r="Q668" s="148">
        <f t="shared" si="200"/>
        <v>0</v>
      </c>
      <c r="R668" s="148"/>
      <c r="S668" s="148">
        <f t="shared" si="209"/>
        <v>0</v>
      </c>
      <c r="T668" s="148">
        <f t="shared" si="201"/>
        <v>47</v>
      </c>
      <c r="U668" s="148">
        <f t="shared" si="194"/>
        <v>491.15</v>
      </c>
      <c r="V668" s="379"/>
      <c r="W668" s="379"/>
      <c r="X668" s="57" t="e">
        <f>IF(B668&lt;&gt;0,VLOOKUP(B668,#REF!,4,FALSE),"")</f>
        <v>#REF!</v>
      </c>
      <c r="Y668" s="334" t="s">
        <v>2647</v>
      </c>
      <c r="Z668" s="334">
        <f t="shared" si="206"/>
        <v>347.565</v>
      </c>
      <c r="AA668" s="57"/>
      <c r="AB668" s="58" t="e">
        <f>IF(B668&lt;&gt;0,VLOOKUP(B668,#REF!,2,FALSE),"")</f>
        <v>#REF!</v>
      </c>
    </row>
    <row r="669" spans="1:28" s="55" customFormat="1" ht="60">
      <c r="A669" s="19" t="s">
        <v>1084</v>
      </c>
      <c r="B669" s="20">
        <v>91914</v>
      </c>
      <c r="C669" s="19" t="s">
        <v>1696</v>
      </c>
      <c r="D669" s="21" t="s">
        <v>12</v>
      </c>
      <c r="E669" s="21" t="s">
        <v>17</v>
      </c>
      <c r="F669" s="22">
        <v>28</v>
      </c>
      <c r="G669" s="22">
        <f t="shared" si="205"/>
        <v>8.5084999999999997</v>
      </c>
      <c r="H669" s="22">
        <f t="shared" si="207"/>
        <v>10.79</v>
      </c>
      <c r="I669" s="147">
        <f t="shared" si="208"/>
        <v>302.12</v>
      </c>
      <c r="J669" s="148"/>
      <c r="K669" s="148"/>
      <c r="L669" s="148"/>
      <c r="M669" s="148">
        <v>9.48</v>
      </c>
      <c r="N669" s="148">
        <v>12.02</v>
      </c>
      <c r="O669" s="148">
        <v>336.56</v>
      </c>
      <c r="P669" s="494"/>
      <c r="Q669" s="148">
        <f t="shared" si="200"/>
        <v>0</v>
      </c>
      <c r="R669" s="148"/>
      <c r="S669" s="148">
        <f t="shared" si="209"/>
        <v>0</v>
      </c>
      <c r="T669" s="148">
        <f t="shared" si="201"/>
        <v>28</v>
      </c>
      <c r="U669" s="148">
        <f t="shared" si="194"/>
        <v>336.56</v>
      </c>
      <c r="V669" s="379"/>
      <c r="W669" s="379"/>
      <c r="X669" s="57" t="e">
        <f>IF(B669&lt;&gt;0,VLOOKUP(B669,#REF!,4,FALSE),"")</f>
        <v>#REF!</v>
      </c>
      <c r="Y669" s="334" t="s">
        <v>1907</v>
      </c>
      <c r="Z669" s="334">
        <f t="shared" si="206"/>
        <v>238.238</v>
      </c>
      <c r="AA669" s="57"/>
      <c r="AB669" s="58" t="e">
        <f>IF(B669&lt;&gt;0,VLOOKUP(B669,#REF!,2,FALSE),"")</f>
        <v>#REF!</v>
      </c>
    </row>
    <row r="670" spans="1:28" s="55" customFormat="1" ht="45">
      <c r="A670" s="19" t="s">
        <v>1085</v>
      </c>
      <c r="B670" s="20">
        <v>91884</v>
      </c>
      <c r="C670" s="19" t="s">
        <v>1697</v>
      </c>
      <c r="D670" s="21" t="s">
        <v>12</v>
      </c>
      <c r="E670" s="21" t="s">
        <v>17</v>
      </c>
      <c r="F670" s="22">
        <v>72</v>
      </c>
      <c r="G670" s="22">
        <f t="shared" si="205"/>
        <v>5.1849999999999996</v>
      </c>
      <c r="H670" s="22">
        <f t="shared" si="207"/>
        <v>6.58</v>
      </c>
      <c r="I670" s="147">
        <f t="shared" si="208"/>
        <v>473.76</v>
      </c>
      <c r="J670" s="148"/>
      <c r="K670" s="148"/>
      <c r="L670" s="148"/>
      <c r="M670" s="148">
        <v>5.78</v>
      </c>
      <c r="N670" s="148">
        <v>7.33</v>
      </c>
      <c r="O670" s="148">
        <v>527.76</v>
      </c>
      <c r="P670" s="494"/>
      <c r="Q670" s="148">
        <f t="shared" si="200"/>
        <v>0</v>
      </c>
      <c r="R670" s="148"/>
      <c r="S670" s="148">
        <f t="shared" si="209"/>
        <v>0</v>
      </c>
      <c r="T670" s="148">
        <f t="shared" si="201"/>
        <v>72</v>
      </c>
      <c r="U670" s="148">
        <f t="shared" si="194"/>
        <v>527.76</v>
      </c>
      <c r="V670" s="379"/>
      <c r="W670" s="379"/>
      <c r="X670" s="57" t="e">
        <f>IF(B670&lt;&gt;0,VLOOKUP(B670,#REF!,4,FALSE),"")</f>
        <v>#REF!</v>
      </c>
      <c r="Y670" s="334" t="s">
        <v>3138</v>
      </c>
      <c r="Z670" s="334">
        <f t="shared" si="206"/>
        <v>373.32</v>
      </c>
      <c r="AA670" s="57"/>
      <c r="AB670" s="58" t="e">
        <f>IF(B670&lt;&gt;0,VLOOKUP(B670,#REF!,2,FALSE),"")</f>
        <v>#REF!</v>
      </c>
    </row>
    <row r="671" spans="1:28" s="55" customFormat="1" ht="30">
      <c r="A671" s="19" t="s">
        <v>1086</v>
      </c>
      <c r="B671" s="20">
        <v>723</v>
      </c>
      <c r="C671" s="19" t="s">
        <v>235</v>
      </c>
      <c r="D671" s="21" t="s">
        <v>44</v>
      </c>
      <c r="E671" s="21" t="s">
        <v>17</v>
      </c>
      <c r="F671" s="22">
        <v>26</v>
      </c>
      <c r="G671" s="22">
        <f t="shared" si="205"/>
        <v>3.4085000000000001</v>
      </c>
      <c r="H671" s="22">
        <f t="shared" si="207"/>
        <v>4.32</v>
      </c>
      <c r="I671" s="147">
        <f t="shared" si="208"/>
        <v>112.32</v>
      </c>
      <c r="J671" s="148"/>
      <c r="K671" s="148"/>
      <c r="L671" s="148"/>
      <c r="M671" s="148">
        <v>3.8</v>
      </c>
      <c r="N671" s="148">
        <v>4.82</v>
      </c>
      <c r="O671" s="148">
        <v>125.32</v>
      </c>
      <c r="P671" s="494"/>
      <c r="Q671" s="148">
        <f t="shared" si="200"/>
        <v>0</v>
      </c>
      <c r="R671" s="148"/>
      <c r="S671" s="148">
        <f t="shared" si="209"/>
        <v>0</v>
      </c>
      <c r="T671" s="148">
        <f t="shared" si="201"/>
        <v>26</v>
      </c>
      <c r="U671" s="148">
        <f t="shared" si="194"/>
        <v>125.32</v>
      </c>
      <c r="V671" s="379"/>
      <c r="W671" s="379"/>
      <c r="X671" s="57">
        <f>'COMPOSIÇÃO DE CUSTOS'!G1307</f>
        <v>3.41</v>
      </c>
      <c r="Y671" s="334">
        <v>4.01</v>
      </c>
      <c r="Z671" s="334">
        <f t="shared" si="206"/>
        <v>88.621000000000009</v>
      </c>
      <c r="AA671" s="57"/>
      <c r="AB671" s="58"/>
    </row>
    <row r="672" spans="1:28" s="55" customFormat="1">
      <c r="A672" s="229" t="s">
        <v>1087</v>
      </c>
      <c r="B672" s="229"/>
      <c r="C672" s="229" t="s">
        <v>214</v>
      </c>
      <c r="D672" s="230"/>
      <c r="E672" s="230"/>
      <c r="F672" s="230"/>
      <c r="G672" s="22"/>
      <c r="H672" s="230"/>
      <c r="I672" s="445"/>
      <c r="J672" s="440"/>
      <c r="K672" s="440"/>
      <c r="L672" s="440"/>
      <c r="M672" s="440"/>
      <c r="N672" s="440"/>
      <c r="O672" s="440"/>
      <c r="P672" s="492"/>
      <c r="Q672" s="148">
        <f t="shared" si="200"/>
        <v>0</v>
      </c>
      <c r="R672" s="440"/>
      <c r="S672" s="440"/>
      <c r="T672" s="148"/>
      <c r="U672" s="148"/>
      <c r="V672" s="330"/>
      <c r="W672" s="330"/>
      <c r="X672" s="58"/>
      <c r="Y672" s="334"/>
      <c r="Z672" s="334">
        <f t="shared" si="206"/>
        <v>0</v>
      </c>
      <c r="AA672" s="58"/>
      <c r="AB672" s="58"/>
    </row>
    <row r="673" spans="1:28" s="55" customFormat="1" ht="45">
      <c r="A673" s="19" t="s">
        <v>1088</v>
      </c>
      <c r="B673" s="20">
        <v>98297</v>
      </c>
      <c r="C673" s="19" t="s">
        <v>2504</v>
      </c>
      <c r="D673" s="21" t="s">
        <v>12</v>
      </c>
      <c r="E673" s="21" t="s">
        <v>52</v>
      </c>
      <c r="F673" s="22">
        <v>1235</v>
      </c>
      <c r="G673" s="22">
        <f t="shared" si="205"/>
        <v>1.7765</v>
      </c>
      <c r="H673" s="22">
        <f>ROUND(G673*(1+$X$14),2)</f>
        <v>2.25</v>
      </c>
      <c r="I673" s="147">
        <f>ROUND(H673*F673,2)</f>
        <v>2778.75</v>
      </c>
      <c r="J673" s="148"/>
      <c r="K673" s="148"/>
      <c r="L673" s="148"/>
      <c r="M673" s="148">
        <v>3.74</v>
      </c>
      <c r="N673" s="148">
        <v>4.74</v>
      </c>
      <c r="O673" s="148">
        <v>5853.9</v>
      </c>
      <c r="P673" s="494"/>
      <c r="Q673" s="148">
        <f t="shared" si="200"/>
        <v>0</v>
      </c>
      <c r="R673" s="148"/>
      <c r="S673" s="148">
        <f>ROUND(R673*P673,2)</f>
        <v>0</v>
      </c>
      <c r="T673" s="148">
        <f t="shared" si="201"/>
        <v>1235</v>
      </c>
      <c r="U673" s="148">
        <f t="shared" si="194"/>
        <v>5853.9</v>
      </c>
      <c r="V673" s="379"/>
      <c r="W673" s="379"/>
      <c r="X673" s="57" t="e">
        <f>IF(B673&lt;&gt;0,VLOOKUP(B673,#REF!,4,FALSE),"")</f>
        <v>#REF!</v>
      </c>
      <c r="Y673" s="334" t="s">
        <v>2642</v>
      </c>
      <c r="Z673" s="334">
        <f t="shared" si="206"/>
        <v>2193.9775</v>
      </c>
      <c r="AA673" s="57"/>
      <c r="AB673" s="58" t="e">
        <f>IF(B673&lt;&gt;0,VLOOKUP(B673,#REF!,2,FALSE),"")</f>
        <v>#REF!</v>
      </c>
    </row>
    <row r="674" spans="1:28" s="55" customFormat="1" ht="15" customHeight="1">
      <c r="A674" s="229" t="s">
        <v>1089</v>
      </c>
      <c r="B674" s="229"/>
      <c r="C674" s="229" t="s">
        <v>216</v>
      </c>
      <c r="D674" s="230"/>
      <c r="E674" s="230"/>
      <c r="F674" s="230"/>
      <c r="G674" s="22"/>
      <c r="H674" s="230"/>
      <c r="I674" s="445"/>
      <c r="J674" s="440"/>
      <c r="K674" s="440"/>
      <c r="L674" s="440"/>
      <c r="M674" s="440"/>
      <c r="N674" s="440"/>
      <c r="O674" s="440"/>
      <c r="P674" s="492"/>
      <c r="Q674" s="148">
        <f t="shared" si="200"/>
        <v>0</v>
      </c>
      <c r="R674" s="440"/>
      <c r="S674" s="440"/>
      <c r="T674" s="148"/>
      <c r="U674" s="148"/>
      <c r="V674" s="330"/>
      <c r="W674" s="330"/>
      <c r="X674" s="58"/>
      <c r="Y674" s="334"/>
      <c r="Z674" s="334">
        <f t="shared" si="206"/>
        <v>0</v>
      </c>
      <c r="AA674" s="58"/>
      <c r="AB674" s="58"/>
    </row>
    <row r="675" spans="1:28" s="55" customFormat="1" ht="30">
      <c r="A675" s="19" t="s">
        <v>1090</v>
      </c>
      <c r="B675" s="21" t="s">
        <v>2284</v>
      </c>
      <c r="C675" s="19" t="s">
        <v>228</v>
      </c>
      <c r="D675" s="21" t="s">
        <v>70</v>
      </c>
      <c r="E675" s="21" t="s">
        <v>17</v>
      </c>
      <c r="F675" s="22">
        <v>3</v>
      </c>
      <c r="G675" s="22">
        <f t="shared" si="205"/>
        <v>43.978999999999999</v>
      </c>
      <c r="H675" s="22">
        <f>ROUND(G675*(1+$X$14),2)</f>
        <v>55.77</v>
      </c>
      <c r="I675" s="147">
        <f>ROUND(H675*F675,2)</f>
        <v>167.31</v>
      </c>
      <c r="J675" s="148"/>
      <c r="K675" s="148"/>
      <c r="L675" s="148"/>
      <c r="M675" s="148">
        <v>48.99</v>
      </c>
      <c r="N675" s="148">
        <v>62.12</v>
      </c>
      <c r="O675" s="148">
        <v>186.36</v>
      </c>
      <c r="P675" s="494"/>
      <c r="Q675" s="148">
        <f t="shared" si="200"/>
        <v>0</v>
      </c>
      <c r="R675" s="148"/>
      <c r="S675" s="148">
        <f>ROUND(R675*P675,2)</f>
        <v>0</v>
      </c>
      <c r="T675" s="148">
        <f t="shared" si="201"/>
        <v>3</v>
      </c>
      <c r="U675" s="148">
        <f t="shared" si="194"/>
        <v>186.36</v>
      </c>
      <c r="V675" s="379"/>
      <c r="W675" s="379"/>
      <c r="X675" s="57">
        <f>'COMPOSIÇÃO DE CUSTOS'!G1314</f>
        <v>43.97</v>
      </c>
      <c r="Y675" s="334">
        <v>51.74</v>
      </c>
      <c r="Z675" s="334">
        <f t="shared" si="206"/>
        <v>131.93700000000001</v>
      </c>
      <c r="AA675" s="57"/>
      <c r="AB675" s="58"/>
    </row>
    <row r="676" spans="1:28" ht="25.5" customHeight="1">
      <c r="A676" s="19"/>
      <c r="B676" s="21"/>
      <c r="C676" s="19"/>
      <c r="D676" s="21"/>
      <c r="E676" s="21"/>
      <c r="F676" s="22"/>
      <c r="G676" s="22"/>
      <c r="H676" s="22"/>
      <c r="I676" s="147"/>
      <c r="J676" s="148"/>
      <c r="K676" s="148"/>
      <c r="L676" s="148"/>
      <c r="M676" s="148"/>
      <c r="N676" s="148"/>
      <c r="O676" s="148"/>
      <c r="P676" s="494"/>
      <c r="Q676" s="148"/>
      <c r="R676" s="148"/>
      <c r="S676" s="148"/>
      <c r="T676" s="148"/>
      <c r="U676" s="148"/>
      <c r="V676" s="379"/>
      <c r="W676" s="379"/>
      <c r="X676" s="30"/>
      <c r="Y676" s="337"/>
      <c r="Z676" s="334">
        <f t="shared" si="206"/>
        <v>0</v>
      </c>
      <c r="AA676" s="30"/>
      <c r="AB676" s="30"/>
    </row>
    <row r="677" spans="1:28" s="38" customFormat="1" ht="15" customHeight="1">
      <c r="A677" s="229" t="s">
        <v>1091</v>
      </c>
      <c r="B677" s="229"/>
      <c r="C677" s="229" t="s">
        <v>236</v>
      </c>
      <c r="D677" s="230"/>
      <c r="E677" s="230"/>
      <c r="F677" s="230"/>
      <c r="G677" s="22"/>
      <c r="H677" s="230"/>
      <c r="I677" s="445">
        <f>ROUND(SUM(I678:I679),2)</f>
        <v>88315.15</v>
      </c>
      <c r="J677" s="440"/>
      <c r="K677" s="440"/>
      <c r="L677" s="440"/>
      <c r="M677" s="440"/>
      <c r="N677" s="440"/>
      <c r="O677" s="440">
        <v>62906.89</v>
      </c>
      <c r="P677" s="492"/>
      <c r="Q677" s="440">
        <f>ROUND(SUM(Q678:Q679),2)</f>
        <v>0</v>
      </c>
      <c r="R677" s="440"/>
      <c r="S677" s="440">
        <f>ROUND(SUM(S678:S679),2)</f>
        <v>0</v>
      </c>
      <c r="T677" s="148"/>
      <c r="U677" s="440">
        <f t="shared" si="194"/>
        <v>62906.89</v>
      </c>
      <c r="V677" s="330"/>
      <c r="W677" s="330"/>
      <c r="X677" s="39"/>
      <c r="Y677" s="336"/>
      <c r="Z677" s="334">
        <f t="shared" si="206"/>
        <v>0</v>
      </c>
      <c r="AA677" s="39"/>
      <c r="AB677" s="39"/>
    </row>
    <row r="678" spans="1:28" s="55" customFormat="1" ht="30">
      <c r="A678" s="36" t="s">
        <v>2206</v>
      </c>
      <c r="B678" s="20">
        <v>1843</v>
      </c>
      <c r="C678" s="19" t="s">
        <v>2427</v>
      </c>
      <c r="D678" s="21" t="s">
        <v>44</v>
      </c>
      <c r="E678" s="21" t="s">
        <v>17</v>
      </c>
      <c r="F678" s="22">
        <v>2</v>
      </c>
      <c r="G678" s="22">
        <f t="shared" si="205"/>
        <v>8421.6130000000012</v>
      </c>
      <c r="H678" s="22">
        <f>ROUND(G678*(1+$X$14),2)</f>
        <v>10679.45</v>
      </c>
      <c r="I678" s="147">
        <f>ROUND(H678*F678,2)</f>
        <v>21358.9</v>
      </c>
      <c r="J678" s="148"/>
      <c r="K678" s="148"/>
      <c r="L678" s="148"/>
      <c r="M678" s="148">
        <v>12353.6</v>
      </c>
      <c r="N678" s="148">
        <v>15665.6</v>
      </c>
      <c r="O678" s="148">
        <v>31331.200000000001</v>
      </c>
      <c r="P678" s="494"/>
      <c r="Q678" s="148">
        <f>ROUND(P678*N678,2)</f>
        <v>0</v>
      </c>
      <c r="R678" s="148"/>
      <c r="S678" s="148">
        <f>ROUND(R678*P678,2)</f>
        <v>0</v>
      </c>
      <c r="T678" s="148">
        <f>F678+P678-R678</f>
        <v>2</v>
      </c>
      <c r="U678" s="148">
        <f t="shared" si="194"/>
        <v>31331.200000000001</v>
      </c>
      <c r="V678" s="379"/>
      <c r="W678" s="379"/>
      <c r="X678" s="57">
        <f>'COMPOSIÇÃO DE CUSTOS'!G2160</f>
        <v>8421.61</v>
      </c>
      <c r="Y678" s="334">
        <v>9907.7800000000007</v>
      </c>
      <c r="Z678" s="334">
        <f t="shared" si="206"/>
        <v>16843.226000000002</v>
      </c>
      <c r="AA678" s="57"/>
      <c r="AB678" s="58"/>
    </row>
    <row r="679" spans="1:28" s="55" customFormat="1" ht="75">
      <c r="A679" s="36" t="s">
        <v>2207</v>
      </c>
      <c r="B679" s="20">
        <v>11064</v>
      </c>
      <c r="C679" s="19" t="s">
        <v>2208</v>
      </c>
      <c r="D679" s="21" t="s">
        <v>44</v>
      </c>
      <c r="E679" s="21" t="s">
        <v>17</v>
      </c>
      <c r="F679" s="22">
        <v>3</v>
      </c>
      <c r="G679" s="22">
        <f t="shared" si="205"/>
        <v>17600.151000000002</v>
      </c>
      <c r="H679" s="22">
        <f>ROUND(G679*(1+$X$14),2)</f>
        <v>22318.75</v>
      </c>
      <c r="I679" s="147">
        <f>ROUND(H679*F679,2)</f>
        <v>66956.25</v>
      </c>
      <c r="J679" s="148"/>
      <c r="K679" s="148"/>
      <c r="L679" s="148"/>
      <c r="M679" s="148">
        <v>8300</v>
      </c>
      <c r="N679" s="148">
        <v>10525.23</v>
      </c>
      <c r="O679" s="148">
        <v>31575.69</v>
      </c>
      <c r="P679" s="494"/>
      <c r="Q679" s="148">
        <f>ROUND(P679*N679,2)</f>
        <v>0</v>
      </c>
      <c r="R679" s="148"/>
      <c r="S679" s="148">
        <f>ROUND(R679*P679,2)</f>
        <v>0</v>
      </c>
      <c r="T679" s="148">
        <f>F679+P679-R679</f>
        <v>3</v>
      </c>
      <c r="U679" s="148">
        <f t="shared" si="194"/>
        <v>31575.69</v>
      </c>
      <c r="V679" s="379"/>
      <c r="W679" s="379"/>
      <c r="X679" s="57">
        <f>'COMPOSIÇÃO DE CUSTOS'!G2165</f>
        <v>17600.150000000001</v>
      </c>
      <c r="Y679" s="334">
        <v>20706.060000000001</v>
      </c>
      <c r="Z679" s="334">
        <f t="shared" si="206"/>
        <v>52800.453000000009</v>
      </c>
      <c r="AA679" s="57"/>
      <c r="AB679" s="58"/>
    </row>
    <row r="680" spans="1:28" ht="25.5" customHeight="1">
      <c r="A680" s="36"/>
      <c r="B680" s="20"/>
      <c r="C680" s="19"/>
      <c r="D680" s="21"/>
      <c r="E680" s="21"/>
      <c r="F680" s="22"/>
      <c r="G680" s="22"/>
      <c r="H680" s="22"/>
      <c r="I680" s="147"/>
      <c r="J680" s="148"/>
      <c r="K680" s="148"/>
      <c r="L680" s="148"/>
      <c r="M680" s="148"/>
      <c r="N680" s="148"/>
      <c r="O680" s="148"/>
      <c r="P680" s="494"/>
      <c r="Q680" s="148"/>
      <c r="R680" s="148"/>
      <c r="S680" s="148"/>
      <c r="T680" s="148"/>
      <c r="U680" s="148"/>
      <c r="V680" s="379"/>
      <c r="W680" s="379"/>
      <c r="X680" s="30"/>
      <c r="Y680" s="337"/>
      <c r="Z680" s="334">
        <f t="shared" si="206"/>
        <v>0</v>
      </c>
      <c r="AA680" s="30"/>
      <c r="AB680" s="30"/>
    </row>
    <row r="681" spans="1:28" s="38" customFormat="1" ht="15" customHeight="1">
      <c r="A681" s="229" t="s">
        <v>1094</v>
      </c>
      <c r="B681" s="229"/>
      <c r="C681" s="229" t="s">
        <v>237</v>
      </c>
      <c r="D681" s="230"/>
      <c r="E681" s="230"/>
      <c r="F681" s="230"/>
      <c r="G681" s="22"/>
      <c r="H681" s="230"/>
      <c r="I681" s="445">
        <f>ROUND(SUM(I683:I719),2)</f>
        <v>71856.37</v>
      </c>
      <c r="J681" s="440"/>
      <c r="K681" s="440"/>
      <c r="L681" s="440"/>
      <c r="M681" s="440"/>
      <c r="N681" s="440"/>
      <c r="O681" s="440">
        <v>88689.55</v>
      </c>
      <c r="P681" s="492"/>
      <c r="Q681" s="440">
        <f>ROUND(SUM(Q683:Q719),2)</f>
        <v>0</v>
      </c>
      <c r="R681" s="440"/>
      <c r="S681" s="440">
        <f>ROUND(SUM(S683:S719),2)</f>
        <v>0</v>
      </c>
      <c r="T681" s="148"/>
      <c r="U681" s="440">
        <f t="shared" si="194"/>
        <v>88689.55</v>
      </c>
      <c r="V681" s="330"/>
      <c r="W681" s="330"/>
      <c r="X681" s="39"/>
      <c r="Y681" s="336"/>
      <c r="Z681" s="334">
        <f t="shared" si="206"/>
        <v>0</v>
      </c>
      <c r="AA681" s="39"/>
      <c r="AB681" s="39"/>
    </row>
    <row r="682" spans="1:28" s="55" customFormat="1" ht="15" customHeight="1">
      <c r="A682" s="229" t="s">
        <v>1095</v>
      </c>
      <c r="B682" s="229"/>
      <c r="C682" s="229" t="s">
        <v>193</v>
      </c>
      <c r="D682" s="230"/>
      <c r="E682" s="230"/>
      <c r="F682" s="230"/>
      <c r="G682" s="22"/>
      <c r="H682" s="230"/>
      <c r="I682" s="445"/>
      <c r="J682" s="440"/>
      <c r="K682" s="440"/>
      <c r="L682" s="440"/>
      <c r="M682" s="440"/>
      <c r="N682" s="440"/>
      <c r="O682" s="440"/>
      <c r="P682" s="492"/>
      <c r="Q682" s="440"/>
      <c r="R682" s="440"/>
      <c r="S682" s="440"/>
      <c r="T682" s="148"/>
      <c r="U682" s="148"/>
      <c r="V682" s="330"/>
      <c r="W682" s="330"/>
      <c r="X682" s="58"/>
      <c r="Y682" s="334"/>
      <c r="Z682" s="334">
        <f t="shared" si="206"/>
        <v>0</v>
      </c>
      <c r="AA682" s="58"/>
      <c r="AB682" s="58"/>
    </row>
    <row r="683" spans="1:28" s="55" customFormat="1" ht="45">
      <c r="A683" s="19" t="s">
        <v>1096</v>
      </c>
      <c r="B683" s="20">
        <v>91863</v>
      </c>
      <c r="C683" s="19" t="s">
        <v>1692</v>
      </c>
      <c r="D683" s="21" t="s">
        <v>12</v>
      </c>
      <c r="E683" s="21" t="s">
        <v>52</v>
      </c>
      <c r="F683" s="22">
        <v>328</v>
      </c>
      <c r="G683" s="22">
        <f t="shared" si="205"/>
        <v>6.8849999999999998</v>
      </c>
      <c r="H683" s="22">
        <f t="shared" ref="H683:H701" si="210">ROUND(G683*(1+$X$14),2)</f>
        <v>8.73</v>
      </c>
      <c r="I683" s="147">
        <f t="shared" ref="I683:I701" si="211">ROUND(H683*F683,2)</f>
        <v>2863.44</v>
      </c>
      <c r="J683" s="148"/>
      <c r="K683" s="148"/>
      <c r="L683" s="148"/>
      <c r="M683" s="148">
        <v>7.67</v>
      </c>
      <c r="N683" s="148">
        <v>9.73</v>
      </c>
      <c r="O683" s="148">
        <v>3191.44</v>
      </c>
      <c r="P683" s="494"/>
      <c r="Q683" s="148">
        <f t="shared" ref="Q683:Q719" si="212">ROUND(P683*N683,2)</f>
        <v>0</v>
      </c>
      <c r="R683" s="148"/>
      <c r="S683" s="148">
        <f t="shared" ref="S683:S701" si="213">ROUND(R683*P683,2)</f>
        <v>0</v>
      </c>
      <c r="T683" s="148">
        <f t="shared" ref="T683:T719" si="214">F683+P683-R683</f>
        <v>328</v>
      </c>
      <c r="U683" s="148">
        <f t="shared" si="194"/>
        <v>3191.44</v>
      </c>
      <c r="V683" s="379"/>
      <c r="W683" s="379"/>
      <c r="X683" s="57" t="e">
        <f>IF(B683&lt;&gt;0,VLOOKUP(B683,#REF!,4,FALSE),"")</f>
        <v>#REF!</v>
      </c>
      <c r="Y683" s="334" t="s">
        <v>1885</v>
      </c>
      <c r="Z683" s="334">
        <f t="shared" si="206"/>
        <v>2258.2799999999997</v>
      </c>
      <c r="AA683" s="57"/>
      <c r="AB683" s="58" t="e">
        <f>IF(B683&lt;&gt;0,VLOOKUP(B683,#REF!,2,FALSE),"")</f>
        <v>#REF!</v>
      </c>
    </row>
    <row r="684" spans="1:28" s="55" customFormat="1" ht="60">
      <c r="A684" s="19" t="s">
        <v>1097</v>
      </c>
      <c r="B684" s="20">
        <v>91890</v>
      </c>
      <c r="C684" s="19" t="s">
        <v>1693</v>
      </c>
      <c r="D684" s="21" t="s">
        <v>12</v>
      </c>
      <c r="E684" s="21" t="s">
        <v>17</v>
      </c>
      <c r="F684" s="22">
        <v>21</v>
      </c>
      <c r="G684" s="22">
        <f t="shared" si="205"/>
        <v>6.375</v>
      </c>
      <c r="H684" s="22">
        <f t="shared" si="210"/>
        <v>8.08</v>
      </c>
      <c r="I684" s="147">
        <f t="shared" si="211"/>
        <v>169.68</v>
      </c>
      <c r="J684" s="148"/>
      <c r="K684" s="148"/>
      <c r="L684" s="148"/>
      <c r="M684" s="148">
        <v>7.1</v>
      </c>
      <c r="N684" s="148">
        <v>9</v>
      </c>
      <c r="O684" s="148">
        <v>189</v>
      </c>
      <c r="P684" s="494"/>
      <c r="Q684" s="148">
        <f t="shared" si="212"/>
        <v>0</v>
      </c>
      <c r="R684" s="148"/>
      <c r="S684" s="148">
        <f t="shared" si="213"/>
        <v>0</v>
      </c>
      <c r="T684" s="148">
        <f t="shared" si="214"/>
        <v>21</v>
      </c>
      <c r="U684" s="148">
        <f t="shared" si="194"/>
        <v>189</v>
      </c>
      <c r="V684" s="379"/>
      <c r="W684" s="379"/>
      <c r="X684" s="57" t="e">
        <f>IF(B684&lt;&gt;0,VLOOKUP(B684,#REF!,4,FALSE),"")</f>
        <v>#REF!</v>
      </c>
      <c r="Y684" s="334" t="s">
        <v>3222</v>
      </c>
      <c r="Z684" s="334">
        <f t="shared" si="206"/>
        <v>133.875</v>
      </c>
      <c r="AA684" s="57"/>
      <c r="AB684" s="58" t="e">
        <f>IF(B684&lt;&gt;0,VLOOKUP(B684,#REF!,2,FALSE),"")</f>
        <v>#REF!</v>
      </c>
    </row>
    <row r="685" spans="1:28" s="55" customFormat="1" ht="45">
      <c r="A685" s="19" t="s">
        <v>1098</v>
      </c>
      <c r="B685" s="20">
        <v>91875</v>
      </c>
      <c r="C685" s="19" t="s">
        <v>1694</v>
      </c>
      <c r="D685" s="21" t="s">
        <v>12</v>
      </c>
      <c r="E685" s="21" t="s">
        <v>17</v>
      </c>
      <c r="F685" s="22">
        <v>152</v>
      </c>
      <c r="G685" s="22">
        <f t="shared" si="205"/>
        <v>3.7654999999999998</v>
      </c>
      <c r="H685" s="22">
        <f t="shared" si="210"/>
        <v>4.78</v>
      </c>
      <c r="I685" s="147">
        <f t="shared" si="211"/>
        <v>726.56</v>
      </c>
      <c r="J685" s="148"/>
      <c r="K685" s="148"/>
      <c r="L685" s="148"/>
      <c r="M685" s="148">
        <v>4.1900000000000004</v>
      </c>
      <c r="N685" s="148">
        <v>5.31</v>
      </c>
      <c r="O685" s="148">
        <v>807.12</v>
      </c>
      <c r="P685" s="494"/>
      <c r="Q685" s="148">
        <f t="shared" si="212"/>
        <v>0</v>
      </c>
      <c r="R685" s="148"/>
      <c r="S685" s="148">
        <f t="shared" si="213"/>
        <v>0</v>
      </c>
      <c r="T685" s="148">
        <f t="shared" si="214"/>
        <v>152</v>
      </c>
      <c r="U685" s="148">
        <f t="shared" si="194"/>
        <v>807.12</v>
      </c>
      <c r="V685" s="379"/>
      <c r="W685" s="379"/>
      <c r="X685" s="57" t="e">
        <f>IF(B685&lt;&gt;0,VLOOKUP(B685,#REF!,4,FALSE),"")</f>
        <v>#REF!</v>
      </c>
      <c r="Y685" s="334" t="s">
        <v>1864</v>
      </c>
      <c r="Z685" s="334">
        <f t="shared" si="206"/>
        <v>572.35599999999999</v>
      </c>
      <c r="AA685" s="57"/>
      <c r="AB685" s="58" t="e">
        <f>IF(B685&lt;&gt;0,VLOOKUP(B685,#REF!,2,FALSE),"")</f>
        <v>#REF!</v>
      </c>
    </row>
    <row r="686" spans="1:28" s="55" customFormat="1" ht="45">
      <c r="A686" s="19" t="s">
        <v>1099</v>
      </c>
      <c r="B686" s="20">
        <v>91871</v>
      </c>
      <c r="C686" s="19" t="s">
        <v>1695</v>
      </c>
      <c r="D686" s="21" t="s">
        <v>12</v>
      </c>
      <c r="E686" s="21" t="s">
        <v>52</v>
      </c>
      <c r="F686" s="22">
        <v>454</v>
      </c>
      <c r="G686" s="22">
        <f t="shared" si="205"/>
        <v>7.3949999999999996</v>
      </c>
      <c r="H686" s="22">
        <f t="shared" si="210"/>
        <v>9.3800000000000008</v>
      </c>
      <c r="I686" s="147">
        <f t="shared" si="211"/>
        <v>4258.5200000000004</v>
      </c>
      <c r="J686" s="148"/>
      <c r="K686" s="148"/>
      <c r="L686" s="148"/>
      <c r="M686" s="148">
        <v>8.24</v>
      </c>
      <c r="N686" s="148">
        <v>10.45</v>
      </c>
      <c r="O686" s="148">
        <v>4744.3</v>
      </c>
      <c r="P686" s="494"/>
      <c r="Q686" s="148">
        <f t="shared" si="212"/>
        <v>0</v>
      </c>
      <c r="R686" s="148"/>
      <c r="S686" s="148">
        <f t="shared" si="213"/>
        <v>0</v>
      </c>
      <c r="T686" s="148">
        <f t="shared" si="214"/>
        <v>454</v>
      </c>
      <c r="U686" s="148">
        <f t="shared" si="194"/>
        <v>4744.3</v>
      </c>
      <c r="V686" s="379"/>
      <c r="W686" s="379"/>
      <c r="X686" s="57" t="e">
        <f>IF(B686&lt;&gt;0,VLOOKUP(B686,#REF!,4,FALSE),"")</f>
        <v>#REF!</v>
      </c>
      <c r="Y686" s="334" t="s">
        <v>2647</v>
      </c>
      <c r="Z686" s="334">
        <f t="shared" si="206"/>
        <v>3357.33</v>
      </c>
      <c r="AA686" s="57"/>
      <c r="AB686" s="58" t="e">
        <f>IF(B686&lt;&gt;0,VLOOKUP(B686,#REF!,2,FALSE),"")</f>
        <v>#REF!</v>
      </c>
    </row>
    <row r="687" spans="1:28" s="55" customFormat="1" ht="60">
      <c r="A687" s="19" t="s">
        <v>1100</v>
      </c>
      <c r="B687" s="20">
        <v>91914</v>
      </c>
      <c r="C687" s="19" t="s">
        <v>1696</v>
      </c>
      <c r="D687" s="21" t="s">
        <v>12</v>
      </c>
      <c r="E687" s="21" t="s">
        <v>17</v>
      </c>
      <c r="F687" s="22">
        <v>68</v>
      </c>
      <c r="G687" s="22">
        <f t="shared" si="205"/>
        <v>8.5084999999999997</v>
      </c>
      <c r="H687" s="22">
        <f t="shared" si="210"/>
        <v>10.79</v>
      </c>
      <c r="I687" s="147">
        <f t="shared" si="211"/>
        <v>733.72</v>
      </c>
      <c r="J687" s="148"/>
      <c r="K687" s="148"/>
      <c r="L687" s="148"/>
      <c r="M687" s="148">
        <v>9.48</v>
      </c>
      <c r="N687" s="148">
        <v>12.02</v>
      </c>
      <c r="O687" s="148">
        <v>817.36</v>
      </c>
      <c r="P687" s="494"/>
      <c r="Q687" s="148">
        <f t="shared" si="212"/>
        <v>0</v>
      </c>
      <c r="R687" s="148"/>
      <c r="S687" s="148">
        <f t="shared" si="213"/>
        <v>0</v>
      </c>
      <c r="T687" s="148">
        <f t="shared" si="214"/>
        <v>68</v>
      </c>
      <c r="U687" s="148">
        <f t="shared" si="194"/>
        <v>817.36</v>
      </c>
      <c r="V687" s="379"/>
      <c r="W687" s="379"/>
      <c r="X687" s="57" t="e">
        <f>IF(B687&lt;&gt;0,VLOOKUP(B687,#REF!,4,FALSE),"")</f>
        <v>#REF!</v>
      </c>
      <c r="Y687" s="334" t="s">
        <v>1907</v>
      </c>
      <c r="Z687" s="334">
        <f t="shared" si="206"/>
        <v>578.57799999999997</v>
      </c>
      <c r="AA687" s="57"/>
      <c r="AB687" s="58" t="e">
        <f>IF(B687&lt;&gt;0,VLOOKUP(B687,#REF!,2,FALSE),"")</f>
        <v>#REF!</v>
      </c>
    </row>
    <row r="688" spans="1:28" s="55" customFormat="1" ht="45">
      <c r="A688" s="19" t="s">
        <v>1101</v>
      </c>
      <c r="B688" s="20">
        <v>91884</v>
      </c>
      <c r="C688" s="19" t="s">
        <v>1697</v>
      </c>
      <c r="D688" s="21" t="s">
        <v>12</v>
      </c>
      <c r="E688" s="21" t="s">
        <v>17</v>
      </c>
      <c r="F688" s="22">
        <v>288</v>
      </c>
      <c r="G688" s="22">
        <f t="shared" si="205"/>
        <v>5.1849999999999996</v>
      </c>
      <c r="H688" s="22">
        <f t="shared" si="210"/>
        <v>6.58</v>
      </c>
      <c r="I688" s="147">
        <f t="shared" si="211"/>
        <v>1895.04</v>
      </c>
      <c r="J688" s="148"/>
      <c r="K688" s="148"/>
      <c r="L688" s="148"/>
      <c r="M688" s="148">
        <v>5.78</v>
      </c>
      <c r="N688" s="148">
        <v>7.33</v>
      </c>
      <c r="O688" s="148">
        <v>2111.04</v>
      </c>
      <c r="P688" s="494"/>
      <c r="Q688" s="148">
        <f t="shared" si="212"/>
        <v>0</v>
      </c>
      <c r="R688" s="148"/>
      <c r="S688" s="148">
        <f t="shared" si="213"/>
        <v>0</v>
      </c>
      <c r="T688" s="148">
        <f t="shared" si="214"/>
        <v>288</v>
      </c>
      <c r="U688" s="148">
        <f t="shared" si="194"/>
        <v>2111.04</v>
      </c>
      <c r="V688" s="379"/>
      <c r="W688" s="379"/>
      <c r="X688" s="57" t="e">
        <f>IF(B688&lt;&gt;0,VLOOKUP(B688,#REF!,4,FALSE),"")</f>
        <v>#REF!</v>
      </c>
      <c r="Y688" s="334" t="s">
        <v>3138</v>
      </c>
      <c r="Z688" s="334">
        <f t="shared" si="206"/>
        <v>1493.28</v>
      </c>
      <c r="AA688" s="57"/>
      <c r="AB688" s="58" t="e">
        <f>IF(B688&lt;&gt;0,VLOOKUP(B688,#REF!,2,FALSE),"")</f>
        <v>#REF!</v>
      </c>
    </row>
    <row r="689" spans="1:28" s="55" customFormat="1" ht="30">
      <c r="A689" s="19" t="s">
        <v>1102</v>
      </c>
      <c r="B689" s="20">
        <v>723</v>
      </c>
      <c r="C689" s="19" t="s">
        <v>235</v>
      </c>
      <c r="D689" s="21" t="s">
        <v>44</v>
      </c>
      <c r="E689" s="21" t="s">
        <v>17</v>
      </c>
      <c r="F689" s="22">
        <v>65</v>
      </c>
      <c r="G689" s="22">
        <f t="shared" si="205"/>
        <v>3.4085000000000001</v>
      </c>
      <c r="H689" s="22">
        <f t="shared" si="210"/>
        <v>4.32</v>
      </c>
      <c r="I689" s="147">
        <f t="shared" si="211"/>
        <v>280.8</v>
      </c>
      <c r="J689" s="148"/>
      <c r="K689" s="148"/>
      <c r="L689" s="148"/>
      <c r="M689" s="148">
        <v>3.8</v>
      </c>
      <c r="N689" s="148">
        <v>4.82</v>
      </c>
      <c r="O689" s="148">
        <v>313.3</v>
      </c>
      <c r="P689" s="494"/>
      <c r="Q689" s="148">
        <f t="shared" si="212"/>
        <v>0</v>
      </c>
      <c r="R689" s="148"/>
      <c r="S689" s="148">
        <f t="shared" si="213"/>
        <v>0</v>
      </c>
      <c r="T689" s="148">
        <f t="shared" si="214"/>
        <v>65</v>
      </c>
      <c r="U689" s="148">
        <f t="shared" ref="U689:U752" si="215">O689+Q689-S689+L689</f>
        <v>313.3</v>
      </c>
      <c r="V689" s="379"/>
      <c r="W689" s="379"/>
      <c r="X689" s="57">
        <f>'COMPOSIÇÃO DE CUSTOS'!G1307</f>
        <v>3.41</v>
      </c>
      <c r="Y689" s="334">
        <v>4.01</v>
      </c>
      <c r="Z689" s="334">
        <f t="shared" si="206"/>
        <v>221.55250000000001</v>
      </c>
      <c r="AA689" s="57"/>
      <c r="AB689" s="58"/>
    </row>
    <row r="690" spans="1:28" s="55" customFormat="1" ht="38.25" customHeight="1">
      <c r="A690" s="19" t="s">
        <v>1103</v>
      </c>
      <c r="B690" s="20">
        <v>91864</v>
      </c>
      <c r="C690" s="19" t="s">
        <v>194</v>
      </c>
      <c r="D690" s="21" t="s">
        <v>12</v>
      </c>
      <c r="E690" s="21" t="s">
        <v>52</v>
      </c>
      <c r="F690" s="22">
        <v>19</v>
      </c>
      <c r="G690" s="22">
        <f t="shared" si="205"/>
        <v>9.1204999999999998</v>
      </c>
      <c r="H690" s="22">
        <f t="shared" si="210"/>
        <v>11.57</v>
      </c>
      <c r="I690" s="147">
        <f t="shared" si="211"/>
        <v>219.83</v>
      </c>
      <c r="J690" s="148"/>
      <c r="K690" s="148"/>
      <c r="L690" s="148"/>
      <c r="M690" s="148">
        <v>10.16</v>
      </c>
      <c r="N690" s="148">
        <v>12.88</v>
      </c>
      <c r="O690" s="148">
        <v>244.72</v>
      </c>
      <c r="P690" s="494"/>
      <c r="Q690" s="148">
        <f t="shared" si="212"/>
        <v>0</v>
      </c>
      <c r="R690" s="148"/>
      <c r="S690" s="148">
        <f t="shared" si="213"/>
        <v>0</v>
      </c>
      <c r="T690" s="148">
        <f t="shared" si="214"/>
        <v>19</v>
      </c>
      <c r="U690" s="148">
        <f t="shared" si="215"/>
        <v>244.72</v>
      </c>
      <c r="V690" s="379"/>
      <c r="W690" s="379"/>
      <c r="X690" s="57" t="e">
        <f>IF(B690&lt;&gt;0,VLOOKUP(B690,#REF!,4,FALSE),"")</f>
        <v>#REF!</v>
      </c>
      <c r="Y690" s="334" t="s">
        <v>1836</v>
      </c>
      <c r="Z690" s="334">
        <f t="shared" si="206"/>
        <v>173.2895</v>
      </c>
      <c r="AA690" s="57"/>
      <c r="AB690" s="58" t="e">
        <f>IF(B690&lt;&gt;0,VLOOKUP(B690,#REF!,2,FALSE),"")</f>
        <v>#REF!</v>
      </c>
    </row>
    <row r="691" spans="1:28" s="55" customFormat="1" ht="32.25" customHeight="1">
      <c r="A691" s="19" t="s">
        <v>1104</v>
      </c>
      <c r="B691" s="20">
        <v>91876</v>
      </c>
      <c r="C691" s="19" t="s">
        <v>195</v>
      </c>
      <c r="D691" s="21" t="s">
        <v>12</v>
      </c>
      <c r="E691" s="21" t="s">
        <v>17</v>
      </c>
      <c r="F691" s="22">
        <v>6</v>
      </c>
      <c r="G691" s="22">
        <f t="shared" si="205"/>
        <v>4.9980000000000002</v>
      </c>
      <c r="H691" s="22">
        <f t="shared" si="210"/>
        <v>6.34</v>
      </c>
      <c r="I691" s="147">
        <f t="shared" si="211"/>
        <v>38.04</v>
      </c>
      <c r="J691" s="148"/>
      <c r="K691" s="148"/>
      <c r="L691" s="148"/>
      <c r="M691" s="148">
        <v>5.57</v>
      </c>
      <c r="N691" s="148">
        <v>7.06</v>
      </c>
      <c r="O691" s="148">
        <v>42.36</v>
      </c>
      <c r="P691" s="494"/>
      <c r="Q691" s="148">
        <f t="shared" si="212"/>
        <v>0</v>
      </c>
      <c r="R691" s="148"/>
      <c r="S691" s="148">
        <f t="shared" si="213"/>
        <v>0</v>
      </c>
      <c r="T691" s="148">
        <f t="shared" si="214"/>
        <v>6</v>
      </c>
      <c r="U691" s="148">
        <f t="shared" si="215"/>
        <v>42.36</v>
      </c>
      <c r="V691" s="379"/>
      <c r="W691" s="379"/>
      <c r="X691" s="57" t="e">
        <f>IF(B691&lt;&gt;0,VLOOKUP(B691,#REF!,4,FALSE),"")</f>
        <v>#REF!</v>
      </c>
      <c r="Y691" s="334" t="s">
        <v>3191</v>
      </c>
      <c r="Z691" s="334">
        <f t="shared" si="206"/>
        <v>29.988</v>
      </c>
      <c r="AA691" s="57"/>
      <c r="AB691" s="58" t="e">
        <f>IF(B691&lt;&gt;0,VLOOKUP(B691,#REF!,2,FALSE),"")</f>
        <v>#REF!</v>
      </c>
    </row>
    <row r="692" spans="1:28" s="55" customFormat="1" ht="30">
      <c r="A692" s="19" t="s">
        <v>1105</v>
      </c>
      <c r="B692" s="20">
        <v>63988</v>
      </c>
      <c r="C692" s="19" t="s">
        <v>2241</v>
      </c>
      <c r="D692" s="21" t="s">
        <v>1914</v>
      </c>
      <c r="E692" s="21" t="s">
        <v>17</v>
      </c>
      <c r="F692" s="22">
        <v>2</v>
      </c>
      <c r="G692" s="22">
        <f t="shared" si="205"/>
        <v>82.212000000000003</v>
      </c>
      <c r="H692" s="22">
        <f t="shared" si="210"/>
        <v>104.25</v>
      </c>
      <c r="I692" s="147">
        <f t="shared" si="211"/>
        <v>208.5</v>
      </c>
      <c r="J692" s="148"/>
      <c r="K692" s="148"/>
      <c r="L692" s="148"/>
      <c r="M692" s="148">
        <v>91.58</v>
      </c>
      <c r="N692" s="148">
        <v>116.13</v>
      </c>
      <c r="O692" s="148">
        <v>232.26</v>
      </c>
      <c r="P692" s="494"/>
      <c r="Q692" s="148">
        <f t="shared" si="212"/>
        <v>0</v>
      </c>
      <c r="R692" s="148"/>
      <c r="S692" s="148">
        <f t="shared" si="213"/>
        <v>0</v>
      </c>
      <c r="T692" s="148">
        <f t="shared" si="214"/>
        <v>2</v>
      </c>
      <c r="U692" s="148">
        <f t="shared" si="215"/>
        <v>232.26</v>
      </c>
      <c r="V692" s="379"/>
      <c r="W692" s="379"/>
      <c r="X692" s="57">
        <f>'COMPOSIÇÃO DE CUSTOS'!G1123</f>
        <v>82.21</v>
      </c>
      <c r="Y692" s="334">
        <v>96.72</v>
      </c>
      <c r="Z692" s="334">
        <f t="shared" si="206"/>
        <v>164.42400000000001</v>
      </c>
      <c r="AA692" s="57"/>
      <c r="AB692" s="58"/>
    </row>
    <row r="693" spans="1:28" s="55" customFormat="1" ht="30">
      <c r="A693" s="19" t="s">
        <v>1106</v>
      </c>
      <c r="B693" s="21" t="s">
        <v>2239</v>
      </c>
      <c r="C693" s="19" t="s">
        <v>2292</v>
      </c>
      <c r="D693" s="21" t="s">
        <v>1914</v>
      </c>
      <c r="E693" s="21" t="s">
        <v>17</v>
      </c>
      <c r="F693" s="22">
        <v>2</v>
      </c>
      <c r="G693" s="22">
        <f t="shared" si="205"/>
        <v>73.5505</v>
      </c>
      <c r="H693" s="22">
        <f t="shared" si="210"/>
        <v>93.27</v>
      </c>
      <c r="I693" s="147">
        <f t="shared" si="211"/>
        <v>186.54</v>
      </c>
      <c r="J693" s="148"/>
      <c r="K693" s="148"/>
      <c r="L693" s="148"/>
      <c r="M693" s="148">
        <v>81.94</v>
      </c>
      <c r="N693" s="148">
        <v>103.91</v>
      </c>
      <c r="O693" s="148">
        <v>207.82</v>
      </c>
      <c r="P693" s="494"/>
      <c r="Q693" s="148">
        <f t="shared" si="212"/>
        <v>0</v>
      </c>
      <c r="R693" s="148"/>
      <c r="S693" s="148">
        <f t="shared" si="213"/>
        <v>0</v>
      </c>
      <c r="T693" s="148">
        <f t="shared" si="214"/>
        <v>2</v>
      </c>
      <c r="U693" s="148">
        <f t="shared" si="215"/>
        <v>207.82</v>
      </c>
      <c r="V693" s="379"/>
      <c r="W693" s="379"/>
      <c r="X693" s="57">
        <f>'COMPOSIÇÃO DE CUSTOS'!G1130</f>
        <v>73.55</v>
      </c>
      <c r="Y693" s="334">
        <v>86.53</v>
      </c>
      <c r="Z693" s="334">
        <f t="shared" si="206"/>
        <v>147.101</v>
      </c>
      <c r="AA693" s="57"/>
      <c r="AB693" s="58"/>
    </row>
    <row r="694" spans="1:28" s="55" customFormat="1" ht="30">
      <c r="A694" s="19" t="s">
        <v>1107</v>
      </c>
      <c r="B694" s="20">
        <v>8112</v>
      </c>
      <c r="C694" s="19" t="str">
        <f>'PLANILHA ORÇA - CORREGEDORIA'!C615</f>
        <v>TÊ HORIZONTAL 400 X 50 MM COM BASE LISA PERFURADA PARA ELETROCALHA METÁLICA</v>
      </c>
      <c r="D694" s="21" t="str">
        <f>'PLANILHA ORÇA - CORREGEDORIA'!D615</f>
        <v>ORSE</v>
      </c>
      <c r="E694" s="21" t="s">
        <v>17</v>
      </c>
      <c r="F694" s="22">
        <v>2</v>
      </c>
      <c r="G694" s="22">
        <f t="shared" si="205"/>
        <v>141.4145</v>
      </c>
      <c r="H694" s="22">
        <f t="shared" si="210"/>
        <v>179.33</v>
      </c>
      <c r="I694" s="147">
        <f t="shared" si="211"/>
        <v>358.66</v>
      </c>
      <c r="J694" s="148"/>
      <c r="K694" s="148"/>
      <c r="L694" s="148"/>
      <c r="M694" s="148">
        <v>157.54</v>
      </c>
      <c r="N694" s="148">
        <v>199.78</v>
      </c>
      <c r="O694" s="148">
        <v>399.56</v>
      </c>
      <c r="P694" s="494"/>
      <c r="Q694" s="148">
        <f t="shared" si="212"/>
        <v>0</v>
      </c>
      <c r="R694" s="148"/>
      <c r="S694" s="148">
        <f t="shared" si="213"/>
        <v>0</v>
      </c>
      <c r="T694" s="148">
        <f t="shared" si="214"/>
        <v>2</v>
      </c>
      <c r="U694" s="148">
        <f t="shared" si="215"/>
        <v>399.56</v>
      </c>
      <c r="V694" s="379"/>
      <c r="W694" s="379"/>
      <c r="X694" s="57">
        <f>'PLANILHA ORÇA - CORREGEDORIA'!X615</f>
        <v>141.41</v>
      </c>
      <c r="Y694" s="334">
        <v>166.37</v>
      </c>
      <c r="Z694" s="334">
        <f t="shared" si="206"/>
        <v>282.82900000000001</v>
      </c>
      <c r="AA694" s="57"/>
      <c r="AB694" s="58"/>
    </row>
    <row r="695" spans="1:28" s="55" customFormat="1" ht="30">
      <c r="A695" s="19" t="s">
        <v>1108</v>
      </c>
      <c r="B695" s="20">
        <v>4109</v>
      </c>
      <c r="C695" s="19" t="str">
        <f>'PLANILHA ORÇA - CORREGEDORIA'!C616</f>
        <v xml:space="preserve">FLANGE DE LIGAÇÃO 400X50MM PARA ELETROCALHA METÁLICA </v>
      </c>
      <c r="D695" s="21" t="str">
        <f>'PLANILHA ORÇA - CORREGEDORIA'!D616</f>
        <v>ORSE</v>
      </c>
      <c r="E695" s="21" t="s">
        <v>17</v>
      </c>
      <c r="F695" s="22">
        <v>2</v>
      </c>
      <c r="G695" s="22">
        <f t="shared" si="205"/>
        <v>26.749499999999998</v>
      </c>
      <c r="H695" s="22">
        <f t="shared" si="210"/>
        <v>33.92</v>
      </c>
      <c r="I695" s="147">
        <f t="shared" si="211"/>
        <v>67.84</v>
      </c>
      <c r="J695" s="148"/>
      <c r="K695" s="148"/>
      <c r="L695" s="148"/>
      <c r="M695" s="148">
        <v>29.8</v>
      </c>
      <c r="N695" s="148">
        <v>37.79</v>
      </c>
      <c r="O695" s="148">
        <v>75.58</v>
      </c>
      <c r="P695" s="494"/>
      <c r="Q695" s="148">
        <f t="shared" si="212"/>
        <v>0</v>
      </c>
      <c r="R695" s="148"/>
      <c r="S695" s="148">
        <f t="shared" si="213"/>
        <v>0</v>
      </c>
      <c r="T695" s="148">
        <f t="shared" si="214"/>
        <v>2</v>
      </c>
      <c r="U695" s="148">
        <f t="shared" si="215"/>
        <v>75.58</v>
      </c>
      <c r="V695" s="379"/>
      <c r="W695" s="379"/>
      <c r="X695" s="57">
        <f>'PLANILHA ORÇA - CORREGEDORIA'!X616</f>
        <v>26.75</v>
      </c>
      <c r="Y695" s="334">
        <v>31.47</v>
      </c>
      <c r="Z695" s="334">
        <f t="shared" si="206"/>
        <v>53.498999999999995</v>
      </c>
      <c r="AA695" s="57"/>
      <c r="AB695" s="58"/>
    </row>
    <row r="696" spans="1:28" s="55" customFormat="1" ht="30">
      <c r="A696" s="19" t="s">
        <v>1109</v>
      </c>
      <c r="B696" s="20">
        <v>748</v>
      </c>
      <c r="C696" s="19" t="s">
        <v>201</v>
      </c>
      <c r="D696" s="21" t="s">
        <v>44</v>
      </c>
      <c r="E696" s="21" t="s">
        <v>17</v>
      </c>
      <c r="F696" s="22">
        <v>22</v>
      </c>
      <c r="G696" s="22">
        <f t="shared" si="205"/>
        <v>70.473500000000001</v>
      </c>
      <c r="H696" s="22">
        <f t="shared" si="210"/>
        <v>89.37</v>
      </c>
      <c r="I696" s="147">
        <f t="shared" si="211"/>
        <v>1966.14</v>
      </c>
      <c r="J696" s="148"/>
      <c r="K696" s="148"/>
      <c r="L696" s="148"/>
      <c r="M696" s="148">
        <v>78.510000000000005</v>
      </c>
      <c r="N696" s="148">
        <v>99.56</v>
      </c>
      <c r="O696" s="148">
        <v>2190.3200000000002</v>
      </c>
      <c r="P696" s="494"/>
      <c r="Q696" s="148">
        <f t="shared" si="212"/>
        <v>0</v>
      </c>
      <c r="R696" s="148"/>
      <c r="S696" s="148">
        <f t="shared" si="213"/>
        <v>0</v>
      </c>
      <c r="T696" s="148">
        <f t="shared" si="214"/>
        <v>22</v>
      </c>
      <c r="U696" s="148">
        <f t="shared" si="215"/>
        <v>2190.3200000000002</v>
      </c>
      <c r="V696" s="379"/>
      <c r="W696" s="379"/>
      <c r="X696" s="57">
        <f>'COMPOSIÇÃO DE CUSTOS'!G1053</f>
        <v>70.47</v>
      </c>
      <c r="Y696" s="334">
        <v>82.91</v>
      </c>
      <c r="Z696" s="334">
        <f t="shared" si="206"/>
        <v>1550.4169999999999</v>
      </c>
      <c r="AA696" s="57"/>
      <c r="AB696" s="58"/>
    </row>
    <row r="697" spans="1:28" s="55" customFormat="1" ht="30">
      <c r="A697" s="19" t="s">
        <v>1110</v>
      </c>
      <c r="B697" s="20">
        <v>4533</v>
      </c>
      <c r="C697" s="19" t="s">
        <v>203</v>
      </c>
      <c r="D697" s="21" t="s">
        <v>44</v>
      </c>
      <c r="E697" s="21" t="s">
        <v>17</v>
      </c>
      <c r="F697" s="22">
        <v>1</v>
      </c>
      <c r="G697" s="22">
        <f t="shared" si="205"/>
        <v>114.5205</v>
      </c>
      <c r="H697" s="22">
        <f t="shared" si="210"/>
        <v>145.22</v>
      </c>
      <c r="I697" s="147">
        <f t="shared" si="211"/>
        <v>145.22</v>
      </c>
      <c r="J697" s="148"/>
      <c r="K697" s="148"/>
      <c r="L697" s="148"/>
      <c r="M697" s="148">
        <v>127.58</v>
      </c>
      <c r="N697" s="148">
        <v>161.78</v>
      </c>
      <c r="O697" s="148">
        <v>161.78</v>
      </c>
      <c r="P697" s="494"/>
      <c r="Q697" s="148">
        <f t="shared" si="212"/>
        <v>0</v>
      </c>
      <c r="R697" s="148"/>
      <c r="S697" s="148">
        <f t="shared" si="213"/>
        <v>0</v>
      </c>
      <c r="T697" s="148">
        <f t="shared" si="214"/>
        <v>1</v>
      </c>
      <c r="U697" s="148">
        <f t="shared" si="215"/>
        <v>161.78</v>
      </c>
      <c r="V697" s="379"/>
      <c r="W697" s="379"/>
      <c r="X697" s="57">
        <f>'COMPOSIÇÃO DE CUSTOS'!G1088</f>
        <v>114.52</v>
      </c>
      <c r="Y697" s="334">
        <v>134.72999999999999</v>
      </c>
      <c r="Z697" s="334">
        <f t="shared" si="206"/>
        <v>114.5205</v>
      </c>
      <c r="AA697" s="57"/>
      <c r="AB697" s="58"/>
    </row>
    <row r="698" spans="1:28" s="55" customFormat="1" ht="30">
      <c r="A698" s="19" t="s">
        <v>1111</v>
      </c>
      <c r="B698" s="20">
        <v>10849</v>
      </c>
      <c r="C698" s="19" t="s">
        <v>2291</v>
      </c>
      <c r="D698" s="21" t="s">
        <v>44</v>
      </c>
      <c r="E698" s="21" t="s">
        <v>17</v>
      </c>
      <c r="F698" s="22">
        <v>1</v>
      </c>
      <c r="G698" s="22">
        <f t="shared" si="205"/>
        <v>42.814499999999995</v>
      </c>
      <c r="H698" s="22">
        <f t="shared" si="210"/>
        <v>54.29</v>
      </c>
      <c r="I698" s="147">
        <f t="shared" si="211"/>
        <v>54.29</v>
      </c>
      <c r="J698" s="148"/>
      <c r="K698" s="148"/>
      <c r="L698" s="148"/>
      <c r="M698" s="148">
        <v>47.7</v>
      </c>
      <c r="N698" s="148">
        <v>60.49</v>
      </c>
      <c r="O698" s="148">
        <v>60.49</v>
      </c>
      <c r="P698" s="494"/>
      <c r="Q698" s="148">
        <f t="shared" si="212"/>
        <v>0</v>
      </c>
      <c r="R698" s="148"/>
      <c r="S698" s="148">
        <f t="shared" si="213"/>
        <v>0</v>
      </c>
      <c r="T698" s="148">
        <f t="shared" si="214"/>
        <v>1</v>
      </c>
      <c r="U698" s="148">
        <f t="shared" si="215"/>
        <v>60.49</v>
      </c>
      <c r="V698" s="379"/>
      <c r="W698" s="379"/>
      <c r="X698" s="57">
        <f>'COMPOSIÇÃO DE CUSTOS'!G1095</f>
        <v>42.81</v>
      </c>
      <c r="Y698" s="334">
        <v>50.37</v>
      </c>
      <c r="Z698" s="334">
        <f t="shared" si="206"/>
        <v>42.814499999999995</v>
      </c>
      <c r="AA698" s="57"/>
      <c r="AB698" s="58"/>
    </row>
    <row r="699" spans="1:28" s="55" customFormat="1" ht="30">
      <c r="A699" s="19" t="s">
        <v>1112</v>
      </c>
      <c r="B699" s="20">
        <v>7143</v>
      </c>
      <c r="C699" s="19" t="s">
        <v>1753</v>
      </c>
      <c r="D699" s="21" t="s">
        <v>44</v>
      </c>
      <c r="E699" s="21" t="s">
        <v>17</v>
      </c>
      <c r="F699" s="22">
        <v>1</v>
      </c>
      <c r="G699" s="22">
        <f t="shared" si="205"/>
        <v>65.764499999999998</v>
      </c>
      <c r="H699" s="22">
        <f t="shared" si="210"/>
        <v>83.4</v>
      </c>
      <c r="I699" s="147">
        <f t="shared" si="211"/>
        <v>83.4</v>
      </c>
      <c r="J699" s="148"/>
      <c r="K699" s="148"/>
      <c r="L699" s="148"/>
      <c r="M699" s="148">
        <v>73.260000000000005</v>
      </c>
      <c r="N699" s="148">
        <v>92.9</v>
      </c>
      <c r="O699" s="148">
        <v>92.9</v>
      </c>
      <c r="P699" s="494"/>
      <c r="Q699" s="148">
        <f t="shared" si="212"/>
        <v>0</v>
      </c>
      <c r="R699" s="148"/>
      <c r="S699" s="148">
        <f t="shared" si="213"/>
        <v>0</v>
      </c>
      <c r="T699" s="148">
        <f t="shared" si="214"/>
        <v>1</v>
      </c>
      <c r="U699" s="148">
        <f t="shared" si="215"/>
        <v>92.9</v>
      </c>
      <c r="V699" s="379"/>
      <c r="W699" s="379"/>
      <c r="X699" s="57">
        <f>'COMPOSIÇÃO DE CUSTOS'!G1109</f>
        <v>65.760000000000005</v>
      </c>
      <c r="Y699" s="334">
        <v>77.37</v>
      </c>
      <c r="Z699" s="334">
        <f t="shared" si="206"/>
        <v>65.764499999999998</v>
      </c>
      <c r="AA699" s="57"/>
      <c r="AB699" s="58"/>
    </row>
    <row r="700" spans="1:28" s="55" customFormat="1" ht="30">
      <c r="A700" s="19" t="s">
        <v>1113</v>
      </c>
      <c r="B700" s="20">
        <v>12924</v>
      </c>
      <c r="C700" s="19" t="s">
        <v>1746</v>
      </c>
      <c r="D700" s="21" t="s">
        <v>44</v>
      </c>
      <c r="E700" s="21" t="s">
        <v>17</v>
      </c>
      <c r="F700" s="22">
        <v>2</v>
      </c>
      <c r="G700" s="22">
        <f t="shared" si="205"/>
        <v>11.279499999999999</v>
      </c>
      <c r="H700" s="22">
        <f t="shared" si="210"/>
        <v>14.3</v>
      </c>
      <c r="I700" s="147">
        <f t="shared" si="211"/>
        <v>28.6</v>
      </c>
      <c r="J700" s="148"/>
      <c r="K700" s="148"/>
      <c r="L700" s="148"/>
      <c r="M700" s="148">
        <v>12.57</v>
      </c>
      <c r="N700" s="148">
        <v>15.94</v>
      </c>
      <c r="O700" s="148">
        <v>31.88</v>
      </c>
      <c r="P700" s="494"/>
      <c r="Q700" s="148">
        <f t="shared" si="212"/>
        <v>0</v>
      </c>
      <c r="R700" s="148"/>
      <c r="S700" s="148">
        <f t="shared" si="213"/>
        <v>0</v>
      </c>
      <c r="T700" s="148">
        <f t="shared" si="214"/>
        <v>2</v>
      </c>
      <c r="U700" s="148">
        <f t="shared" si="215"/>
        <v>31.88</v>
      </c>
      <c r="V700" s="379"/>
      <c r="W700" s="379"/>
      <c r="X700" s="57">
        <f>'COMPOSIÇÃO DE CUSTOS'!G1116</f>
        <v>11.28</v>
      </c>
      <c r="Y700" s="334">
        <v>13.27</v>
      </c>
      <c r="Z700" s="334">
        <f t="shared" si="206"/>
        <v>22.558999999999997</v>
      </c>
      <c r="AA700" s="57"/>
      <c r="AB700" s="58"/>
    </row>
    <row r="701" spans="1:28" s="55" customFormat="1" ht="30">
      <c r="A701" s="19" t="s">
        <v>1114</v>
      </c>
      <c r="B701" s="20">
        <v>762</v>
      </c>
      <c r="C701" s="19" t="s">
        <v>1749</v>
      </c>
      <c r="D701" s="21" t="s">
        <v>44</v>
      </c>
      <c r="E701" s="21" t="s">
        <v>17</v>
      </c>
      <c r="F701" s="22">
        <v>66</v>
      </c>
      <c r="G701" s="22">
        <f t="shared" si="205"/>
        <v>57.230499999999999</v>
      </c>
      <c r="H701" s="22">
        <f t="shared" si="210"/>
        <v>72.569999999999993</v>
      </c>
      <c r="I701" s="147">
        <f t="shared" si="211"/>
        <v>4789.62</v>
      </c>
      <c r="J701" s="148"/>
      <c r="K701" s="148"/>
      <c r="L701" s="148"/>
      <c r="M701" s="148">
        <v>63.76</v>
      </c>
      <c r="N701" s="148">
        <v>80.849999999999994</v>
      </c>
      <c r="O701" s="148">
        <v>5336.1</v>
      </c>
      <c r="P701" s="494"/>
      <c r="Q701" s="148">
        <f t="shared" si="212"/>
        <v>0</v>
      </c>
      <c r="R701" s="148"/>
      <c r="S701" s="148">
        <f t="shared" si="213"/>
        <v>0</v>
      </c>
      <c r="T701" s="148">
        <f t="shared" si="214"/>
        <v>66</v>
      </c>
      <c r="U701" s="148">
        <f t="shared" si="215"/>
        <v>5336.1</v>
      </c>
      <c r="V701" s="379"/>
      <c r="W701" s="379"/>
      <c r="X701" s="57">
        <f>'COMPOSIÇÃO DE CUSTOS'!G1265</f>
        <v>57.23</v>
      </c>
      <c r="Y701" s="334">
        <v>67.33</v>
      </c>
      <c r="Z701" s="334">
        <f t="shared" si="206"/>
        <v>3777.2129999999997</v>
      </c>
      <c r="AA701" s="57"/>
      <c r="AB701" s="58"/>
    </row>
    <row r="702" spans="1:28" s="55" customFormat="1" ht="15" customHeight="1">
      <c r="A702" s="229" t="s">
        <v>1115</v>
      </c>
      <c r="B702" s="229"/>
      <c r="C702" s="229" t="s">
        <v>239</v>
      </c>
      <c r="D702" s="230"/>
      <c r="E702" s="230"/>
      <c r="F702" s="230"/>
      <c r="G702" s="22"/>
      <c r="H702" s="230"/>
      <c r="I702" s="445"/>
      <c r="J702" s="440"/>
      <c r="K702" s="440"/>
      <c r="L702" s="440"/>
      <c r="M702" s="440"/>
      <c r="N702" s="440"/>
      <c r="O702" s="440"/>
      <c r="P702" s="492"/>
      <c r="Q702" s="148">
        <f t="shared" si="212"/>
        <v>0</v>
      </c>
      <c r="R702" s="440"/>
      <c r="S702" s="440"/>
      <c r="T702" s="148"/>
      <c r="U702" s="148"/>
      <c r="V702" s="330"/>
      <c r="W702" s="330"/>
      <c r="X702" s="57"/>
      <c r="Y702" s="334"/>
      <c r="Z702" s="334">
        <f t="shared" si="206"/>
        <v>0</v>
      </c>
      <c r="AA702" s="57"/>
      <c r="AB702" s="58"/>
    </row>
    <row r="703" spans="1:28" s="55" customFormat="1" ht="30">
      <c r="A703" s="19" t="s">
        <v>1116</v>
      </c>
      <c r="B703" s="20">
        <f>B640</f>
        <v>7384</v>
      </c>
      <c r="C703" s="19" t="s">
        <v>229</v>
      </c>
      <c r="D703" s="21" t="s">
        <v>44</v>
      </c>
      <c r="E703" s="21" t="s">
        <v>52</v>
      </c>
      <c r="F703" s="22">
        <v>28</v>
      </c>
      <c r="G703" s="22">
        <f t="shared" si="205"/>
        <v>19.244</v>
      </c>
      <c r="H703" s="22">
        <f>ROUND(G703*(1+$X$14),2)</f>
        <v>24.4</v>
      </c>
      <c r="I703" s="147">
        <f>ROUND(H703*F703,2)</f>
        <v>683.2</v>
      </c>
      <c r="J703" s="148"/>
      <c r="K703" s="148"/>
      <c r="L703" s="148"/>
      <c r="M703" s="148">
        <v>21.44</v>
      </c>
      <c r="N703" s="148">
        <v>27.19</v>
      </c>
      <c r="O703" s="148">
        <v>761.32</v>
      </c>
      <c r="P703" s="494"/>
      <c r="Q703" s="148">
        <f t="shared" si="212"/>
        <v>0</v>
      </c>
      <c r="R703" s="148"/>
      <c r="S703" s="148">
        <f>ROUND(R703*P703,2)</f>
        <v>0</v>
      </c>
      <c r="T703" s="148">
        <f t="shared" si="214"/>
        <v>28</v>
      </c>
      <c r="U703" s="148">
        <f t="shared" si="215"/>
        <v>761.32</v>
      </c>
      <c r="V703" s="379"/>
      <c r="W703" s="379"/>
      <c r="X703" s="57">
        <f>X640</f>
        <v>19.25</v>
      </c>
      <c r="Y703" s="334">
        <v>22.64</v>
      </c>
      <c r="Z703" s="334">
        <f t="shared" si="206"/>
        <v>538.83199999999999</v>
      </c>
      <c r="AA703" s="57"/>
      <c r="AB703" s="58"/>
    </row>
    <row r="704" spans="1:28" s="55" customFormat="1" ht="30">
      <c r="A704" s="19" t="s">
        <v>1117</v>
      </c>
      <c r="B704" s="20">
        <f>B641</f>
        <v>7879</v>
      </c>
      <c r="C704" s="19" t="s">
        <v>1764</v>
      </c>
      <c r="D704" s="21" t="str">
        <f>D641</f>
        <v>ORSE</v>
      </c>
      <c r="E704" s="21" t="s">
        <v>17</v>
      </c>
      <c r="F704" s="22">
        <v>44</v>
      </c>
      <c r="G704" s="22">
        <f t="shared" si="205"/>
        <v>9.4945000000000004</v>
      </c>
      <c r="H704" s="22">
        <f>ROUND(G704*(1+$X$14),2)</f>
        <v>12.04</v>
      </c>
      <c r="I704" s="147">
        <f>ROUND(H704*F704,2)</f>
        <v>529.76</v>
      </c>
      <c r="J704" s="148"/>
      <c r="K704" s="148"/>
      <c r="L704" s="148"/>
      <c r="M704" s="148">
        <v>10.58</v>
      </c>
      <c r="N704" s="148">
        <v>13.42</v>
      </c>
      <c r="O704" s="148">
        <v>590.48</v>
      </c>
      <c r="P704" s="494"/>
      <c r="Q704" s="148">
        <f t="shared" si="212"/>
        <v>0</v>
      </c>
      <c r="R704" s="148"/>
      <c r="S704" s="148">
        <f>ROUND(R704*P704,2)</f>
        <v>0</v>
      </c>
      <c r="T704" s="148">
        <f t="shared" si="214"/>
        <v>44</v>
      </c>
      <c r="U704" s="148">
        <f t="shared" si="215"/>
        <v>590.48</v>
      </c>
      <c r="V704" s="379"/>
      <c r="W704" s="379"/>
      <c r="X704" s="57">
        <f>X641</f>
        <v>9.49</v>
      </c>
      <c r="Y704" s="334">
        <v>11.17</v>
      </c>
      <c r="Z704" s="334">
        <f t="shared" si="206"/>
        <v>417.75800000000004</v>
      </c>
      <c r="AA704" s="57"/>
      <c r="AB704" s="58"/>
    </row>
    <row r="705" spans="1:28" s="55" customFormat="1" ht="30">
      <c r="A705" s="19" t="s">
        <v>1118</v>
      </c>
      <c r="B705" s="20">
        <f>B642</f>
        <v>12573</v>
      </c>
      <c r="C705" s="19" t="s">
        <v>1760</v>
      </c>
      <c r="D705" s="21" t="str">
        <f>D642</f>
        <v>ORSE</v>
      </c>
      <c r="E705" s="21" t="s">
        <v>17</v>
      </c>
      <c r="F705" s="22">
        <v>44</v>
      </c>
      <c r="G705" s="22">
        <f t="shared" si="205"/>
        <v>9.5794999999999995</v>
      </c>
      <c r="H705" s="22">
        <f>ROUND(G705*(1+$X$14),2)</f>
        <v>12.15</v>
      </c>
      <c r="I705" s="147">
        <f>ROUND(H705*F705,2)</f>
        <v>534.6</v>
      </c>
      <c r="J705" s="148"/>
      <c r="K705" s="148"/>
      <c r="L705" s="148"/>
      <c r="M705" s="148">
        <v>10.67</v>
      </c>
      <c r="N705" s="148">
        <v>13.53</v>
      </c>
      <c r="O705" s="148">
        <v>595.32000000000005</v>
      </c>
      <c r="P705" s="494"/>
      <c r="Q705" s="148">
        <f t="shared" si="212"/>
        <v>0</v>
      </c>
      <c r="R705" s="148"/>
      <c r="S705" s="148">
        <f>ROUND(R705*P705,2)</f>
        <v>0</v>
      </c>
      <c r="T705" s="148">
        <f t="shared" si="214"/>
        <v>44</v>
      </c>
      <c r="U705" s="148">
        <f t="shared" si="215"/>
        <v>595.32000000000005</v>
      </c>
      <c r="V705" s="379"/>
      <c r="W705" s="379"/>
      <c r="X705" s="57">
        <f>X642</f>
        <v>9.58</v>
      </c>
      <c r="Y705" s="334">
        <v>11.27</v>
      </c>
      <c r="Z705" s="334">
        <f t="shared" si="206"/>
        <v>421.49799999999999</v>
      </c>
      <c r="AA705" s="57"/>
      <c r="AB705" s="58"/>
    </row>
    <row r="706" spans="1:28" s="55" customFormat="1" ht="30">
      <c r="A706" s="19" t="s">
        <v>1119</v>
      </c>
      <c r="B706" s="20">
        <f>B643</f>
        <v>12976</v>
      </c>
      <c r="C706" s="19" t="s">
        <v>211</v>
      </c>
      <c r="D706" s="21" t="str">
        <f>D643</f>
        <v>ORSE</v>
      </c>
      <c r="E706" s="21" t="s">
        <v>17</v>
      </c>
      <c r="F706" s="22">
        <v>2</v>
      </c>
      <c r="G706" s="22">
        <f t="shared" si="205"/>
        <v>11.662000000000001</v>
      </c>
      <c r="H706" s="22">
        <f>ROUND(G706*(1+$X$14),2)</f>
        <v>14.79</v>
      </c>
      <c r="I706" s="147">
        <f>ROUND(H706*F706,2)</f>
        <v>29.58</v>
      </c>
      <c r="J706" s="148"/>
      <c r="K706" s="148"/>
      <c r="L706" s="148"/>
      <c r="M706" s="148">
        <v>12.99</v>
      </c>
      <c r="N706" s="148">
        <v>16.47</v>
      </c>
      <c r="O706" s="148">
        <v>32.94</v>
      </c>
      <c r="P706" s="494"/>
      <c r="Q706" s="148">
        <f t="shared" si="212"/>
        <v>0</v>
      </c>
      <c r="R706" s="148"/>
      <c r="S706" s="148">
        <f>ROUND(R706*P706,2)</f>
        <v>0</v>
      </c>
      <c r="T706" s="148">
        <f t="shared" si="214"/>
        <v>2</v>
      </c>
      <c r="U706" s="148">
        <f t="shared" si="215"/>
        <v>32.94</v>
      </c>
      <c r="V706" s="379"/>
      <c r="W706" s="379"/>
      <c r="X706" s="57">
        <f>X643</f>
        <v>11.66</v>
      </c>
      <c r="Y706" s="334">
        <v>13.72</v>
      </c>
      <c r="Z706" s="334">
        <f t="shared" si="206"/>
        <v>23.324000000000002</v>
      </c>
      <c r="AA706" s="57"/>
      <c r="AB706" s="58"/>
    </row>
    <row r="707" spans="1:28" s="55" customFormat="1" ht="30">
      <c r="A707" s="19" t="s">
        <v>1120</v>
      </c>
      <c r="B707" s="20">
        <f>B644</f>
        <v>12977</v>
      </c>
      <c r="C707" s="30" t="str">
        <f>C644</f>
        <v>SUPORTE VERTICAL 400 X 50 MM PARA FIXAÇÃO DE ELETROCALHA METÁLICA</v>
      </c>
      <c r="D707" s="21" t="str">
        <f>D644</f>
        <v>ORSE</v>
      </c>
      <c r="E707" s="21" t="s">
        <v>17</v>
      </c>
      <c r="F707" s="22">
        <v>3</v>
      </c>
      <c r="G707" s="22">
        <f t="shared" si="205"/>
        <v>13.5745</v>
      </c>
      <c r="H707" s="22">
        <f>ROUND(G707*(1+$X$14),2)</f>
        <v>17.21</v>
      </c>
      <c r="I707" s="147">
        <f>ROUND(H707*F707,2)</f>
        <v>51.63</v>
      </c>
      <c r="J707" s="148"/>
      <c r="K707" s="148"/>
      <c r="L707" s="148"/>
      <c r="M707" s="148">
        <v>15.12</v>
      </c>
      <c r="N707" s="148">
        <v>19.170000000000002</v>
      </c>
      <c r="O707" s="148">
        <v>57.51</v>
      </c>
      <c r="P707" s="494"/>
      <c r="Q707" s="148">
        <f t="shared" si="212"/>
        <v>0</v>
      </c>
      <c r="R707" s="148"/>
      <c r="S707" s="148">
        <f>ROUND(R707*P707,2)</f>
        <v>0</v>
      </c>
      <c r="T707" s="148">
        <f t="shared" si="214"/>
        <v>3</v>
      </c>
      <c r="U707" s="148">
        <f t="shared" si="215"/>
        <v>57.51</v>
      </c>
      <c r="V707" s="379"/>
      <c r="W707" s="379"/>
      <c r="X707" s="57">
        <f>X644</f>
        <v>13.57</v>
      </c>
      <c r="Y707" s="334">
        <v>15.97</v>
      </c>
      <c r="Z707" s="334">
        <f t="shared" si="206"/>
        <v>40.723500000000001</v>
      </c>
      <c r="AA707" s="57"/>
      <c r="AB707" s="58"/>
    </row>
    <row r="708" spans="1:28" ht="15" customHeight="1">
      <c r="A708" s="229" t="s">
        <v>1121</v>
      </c>
      <c r="B708" s="229"/>
      <c r="C708" s="229" t="s">
        <v>240</v>
      </c>
      <c r="D708" s="230"/>
      <c r="E708" s="230"/>
      <c r="F708" s="230"/>
      <c r="G708" s="22"/>
      <c r="H708" s="230"/>
      <c r="I708" s="445"/>
      <c r="J708" s="440"/>
      <c r="K708" s="440"/>
      <c r="L708" s="440"/>
      <c r="M708" s="440"/>
      <c r="N708" s="440"/>
      <c r="O708" s="440"/>
      <c r="P708" s="492"/>
      <c r="Q708" s="148">
        <f t="shared" si="212"/>
        <v>0</v>
      </c>
      <c r="R708" s="440"/>
      <c r="S708" s="440"/>
      <c r="T708" s="148"/>
      <c r="U708" s="148"/>
      <c r="V708" s="330"/>
      <c r="W708" s="330"/>
      <c r="X708" s="30"/>
      <c r="Y708" s="337"/>
      <c r="Z708" s="334">
        <f t="shared" si="206"/>
        <v>0</v>
      </c>
      <c r="AA708" s="30"/>
      <c r="AB708" s="30"/>
    </row>
    <row r="709" spans="1:28" ht="45">
      <c r="A709" s="19" t="s">
        <v>1122</v>
      </c>
      <c r="B709" s="20">
        <v>92008</v>
      </c>
      <c r="C709" s="19" t="s">
        <v>1711</v>
      </c>
      <c r="D709" s="21" t="s">
        <v>12</v>
      </c>
      <c r="E709" s="21" t="s">
        <v>17</v>
      </c>
      <c r="F709" s="22">
        <v>172</v>
      </c>
      <c r="G709" s="22">
        <f t="shared" si="205"/>
        <v>29.6905</v>
      </c>
      <c r="H709" s="22">
        <f>ROUND(G709*(1+$X$14),2)</f>
        <v>37.65</v>
      </c>
      <c r="I709" s="147">
        <f>ROUND(H709*F709,2)</f>
        <v>6475.8</v>
      </c>
      <c r="J709" s="148"/>
      <c r="K709" s="148"/>
      <c r="L709" s="148"/>
      <c r="M709" s="148">
        <v>33.08</v>
      </c>
      <c r="N709" s="148">
        <v>41.95</v>
      </c>
      <c r="O709" s="148">
        <v>7215.4</v>
      </c>
      <c r="P709" s="494"/>
      <c r="Q709" s="148">
        <f t="shared" si="212"/>
        <v>0</v>
      </c>
      <c r="R709" s="148"/>
      <c r="S709" s="148">
        <f>ROUND(R709*P709,2)</f>
        <v>0</v>
      </c>
      <c r="T709" s="148">
        <f t="shared" si="214"/>
        <v>172</v>
      </c>
      <c r="U709" s="148">
        <f t="shared" si="215"/>
        <v>7215.4</v>
      </c>
      <c r="V709" s="379"/>
      <c r="W709" s="379"/>
      <c r="X709" s="31" t="e">
        <f>IF(B709&lt;&gt;0,VLOOKUP(B709,#REF!,4,FALSE),"")</f>
        <v>#REF!</v>
      </c>
      <c r="Y709" s="346" t="s">
        <v>3163</v>
      </c>
      <c r="Z709" s="334">
        <f t="shared" si="206"/>
        <v>5106.7659999999996</v>
      </c>
      <c r="AA709" s="31"/>
      <c r="AB709" s="32" t="e">
        <f>IF(B709&lt;&gt;0,VLOOKUP(B709,#REF!,2,FALSE),"")</f>
        <v>#REF!</v>
      </c>
    </row>
    <row r="710" spans="1:28" ht="45">
      <c r="A710" s="19" t="s">
        <v>1123</v>
      </c>
      <c r="B710" s="20">
        <v>91992</v>
      </c>
      <c r="C710" s="19" t="s">
        <v>1712</v>
      </c>
      <c r="D710" s="21" t="s">
        <v>12</v>
      </c>
      <c r="E710" s="21" t="s">
        <v>17</v>
      </c>
      <c r="F710" s="22">
        <v>4</v>
      </c>
      <c r="G710" s="22">
        <f t="shared" si="205"/>
        <v>25.533999999999999</v>
      </c>
      <c r="H710" s="22">
        <f>ROUND(G710*(1+$X$14),2)</f>
        <v>32.380000000000003</v>
      </c>
      <c r="I710" s="147">
        <f>ROUND(H710*F710,2)</f>
        <v>129.52000000000001</v>
      </c>
      <c r="J710" s="148"/>
      <c r="K710" s="148"/>
      <c r="L710" s="148"/>
      <c r="M710" s="148">
        <v>28.45</v>
      </c>
      <c r="N710" s="148">
        <v>36.08</v>
      </c>
      <c r="O710" s="148">
        <v>144.32</v>
      </c>
      <c r="P710" s="494"/>
      <c r="Q710" s="148">
        <f t="shared" si="212"/>
        <v>0</v>
      </c>
      <c r="R710" s="148"/>
      <c r="S710" s="148">
        <f>ROUND(R710*P710,2)</f>
        <v>0</v>
      </c>
      <c r="T710" s="148">
        <f t="shared" si="214"/>
        <v>4</v>
      </c>
      <c r="U710" s="148">
        <f t="shared" si="215"/>
        <v>144.32</v>
      </c>
      <c r="V710" s="379"/>
      <c r="W710" s="379"/>
      <c r="X710" s="31" t="e">
        <f>IF(B710&lt;&gt;0,VLOOKUP(B710,#REF!,4,FALSE),"")</f>
        <v>#REF!</v>
      </c>
      <c r="Y710" s="346" t="s">
        <v>3161</v>
      </c>
      <c r="Z710" s="334">
        <f t="shared" si="206"/>
        <v>102.136</v>
      </c>
      <c r="AA710" s="31"/>
      <c r="AB710" s="32" t="e">
        <f>IF(B710&lt;&gt;0,VLOOKUP(B710,#REF!,2,FALSE),"")</f>
        <v>#REF!</v>
      </c>
    </row>
    <row r="711" spans="1:28" s="55" customFormat="1" ht="30">
      <c r="A711" s="19" t="s">
        <v>2306</v>
      </c>
      <c r="B711" s="20">
        <v>780</v>
      </c>
      <c r="C711" s="19" t="s">
        <v>1937</v>
      </c>
      <c r="D711" s="21" t="s">
        <v>44</v>
      </c>
      <c r="E711" s="21" t="s">
        <v>17</v>
      </c>
      <c r="F711" s="22">
        <v>17</v>
      </c>
      <c r="G711" s="22">
        <f t="shared" si="205"/>
        <v>57.239000000000004</v>
      </c>
      <c r="H711" s="22">
        <f>ROUND(G711*(1+$X$14),2)</f>
        <v>72.58</v>
      </c>
      <c r="I711" s="147">
        <f>ROUND(H711*F711,2)</f>
        <v>1233.8599999999999</v>
      </c>
      <c r="J711" s="148"/>
      <c r="K711" s="148"/>
      <c r="L711" s="148"/>
      <c r="M711" s="148">
        <v>63.76</v>
      </c>
      <c r="N711" s="148">
        <v>80.849999999999994</v>
      </c>
      <c r="O711" s="148">
        <v>1374.45</v>
      </c>
      <c r="P711" s="494"/>
      <c r="Q711" s="148">
        <f t="shared" si="212"/>
        <v>0</v>
      </c>
      <c r="R711" s="148"/>
      <c r="S711" s="148">
        <f>ROUND(R711*P711,2)</f>
        <v>0</v>
      </c>
      <c r="T711" s="148">
        <f t="shared" si="214"/>
        <v>17</v>
      </c>
      <c r="U711" s="148">
        <f t="shared" si="215"/>
        <v>1374.45</v>
      </c>
      <c r="V711" s="379"/>
      <c r="W711" s="379"/>
      <c r="X711" s="57">
        <f>'COMPOSIÇÃO DE CUSTOS'!G1903</f>
        <v>57.23</v>
      </c>
      <c r="Y711" s="334">
        <v>67.34</v>
      </c>
      <c r="Z711" s="334">
        <f t="shared" si="206"/>
        <v>973.0630000000001</v>
      </c>
      <c r="AA711" s="57"/>
      <c r="AB711" s="58"/>
    </row>
    <row r="712" spans="1:28" s="55" customFormat="1" ht="30">
      <c r="A712" s="19" t="s">
        <v>2307</v>
      </c>
      <c r="B712" s="20">
        <v>12397</v>
      </c>
      <c r="C712" s="19" t="s">
        <v>1973</v>
      </c>
      <c r="D712" s="21" t="s">
        <v>44</v>
      </c>
      <c r="E712" s="21" t="s">
        <v>17</v>
      </c>
      <c r="F712" s="22">
        <v>17</v>
      </c>
      <c r="G712" s="22">
        <f t="shared" si="205"/>
        <v>49.291499999999999</v>
      </c>
      <c r="H712" s="22">
        <f>ROUND(G712*(1+$X$14),2)</f>
        <v>62.51</v>
      </c>
      <c r="I712" s="147">
        <f>ROUND(H712*F712,2)</f>
        <v>1062.67</v>
      </c>
      <c r="J712" s="148"/>
      <c r="K712" s="148"/>
      <c r="L712" s="148"/>
      <c r="M712" s="148">
        <v>54.91</v>
      </c>
      <c r="N712" s="148">
        <v>69.63</v>
      </c>
      <c r="O712" s="148">
        <v>1183.71</v>
      </c>
      <c r="P712" s="494"/>
      <c r="Q712" s="148">
        <f t="shared" si="212"/>
        <v>0</v>
      </c>
      <c r="R712" s="148"/>
      <c r="S712" s="148">
        <f>ROUND(R712*P712,2)</f>
        <v>0</v>
      </c>
      <c r="T712" s="148">
        <f t="shared" si="214"/>
        <v>17</v>
      </c>
      <c r="U712" s="148">
        <f t="shared" si="215"/>
        <v>1183.71</v>
      </c>
      <c r="V712" s="379"/>
      <c r="W712" s="379"/>
      <c r="X712" s="57">
        <f>'COMPOSIÇÃO DE CUSTOS'!G2025</f>
        <v>49.28</v>
      </c>
      <c r="Y712" s="334">
        <v>57.99</v>
      </c>
      <c r="Z712" s="334">
        <f t="shared" si="206"/>
        <v>837.95550000000003</v>
      </c>
      <c r="AA712" s="57"/>
      <c r="AB712" s="58"/>
    </row>
    <row r="713" spans="1:28" s="55" customFormat="1">
      <c r="A713" s="229" t="s">
        <v>1124</v>
      </c>
      <c r="B713" s="229"/>
      <c r="C713" s="229" t="s">
        <v>214</v>
      </c>
      <c r="D713" s="230"/>
      <c r="E713" s="230"/>
      <c r="F713" s="230"/>
      <c r="G713" s="22"/>
      <c r="H713" s="230"/>
      <c r="I713" s="445"/>
      <c r="J713" s="440"/>
      <c r="K713" s="440"/>
      <c r="L713" s="440"/>
      <c r="M713" s="440"/>
      <c r="N713" s="440"/>
      <c r="O713" s="440"/>
      <c r="P713" s="492"/>
      <c r="Q713" s="148">
        <f t="shared" si="212"/>
        <v>0</v>
      </c>
      <c r="R713" s="440"/>
      <c r="S713" s="440"/>
      <c r="T713" s="148"/>
      <c r="U713" s="148"/>
      <c r="V713" s="330"/>
      <c r="W713" s="330"/>
      <c r="X713" s="58"/>
      <c r="Y713" s="334"/>
      <c r="Z713" s="334">
        <f t="shared" si="206"/>
        <v>0</v>
      </c>
      <c r="AA713" s="58"/>
      <c r="AB713" s="58"/>
    </row>
    <row r="714" spans="1:28" s="55" customFormat="1" ht="45">
      <c r="A714" s="19" t="s">
        <v>1125</v>
      </c>
      <c r="B714" s="20">
        <v>91926</v>
      </c>
      <c r="C714" s="19" t="s">
        <v>1713</v>
      </c>
      <c r="D714" s="21" t="s">
        <v>12</v>
      </c>
      <c r="E714" s="21" t="s">
        <v>52</v>
      </c>
      <c r="F714" s="22">
        <v>2737</v>
      </c>
      <c r="G714" s="22">
        <f t="shared" si="205"/>
        <v>3.0684999999999998</v>
      </c>
      <c r="H714" s="22">
        <f>ROUND(G714*(1+$X$14),2)</f>
        <v>3.89</v>
      </c>
      <c r="I714" s="147">
        <f>ROUND(H714*F714,2)</f>
        <v>10646.93</v>
      </c>
      <c r="J714" s="148"/>
      <c r="K714" s="148"/>
      <c r="L714" s="148"/>
      <c r="M714" s="148">
        <v>4.33</v>
      </c>
      <c r="N714" s="148">
        <v>5.49</v>
      </c>
      <c r="O714" s="148">
        <v>15026.13</v>
      </c>
      <c r="P714" s="494"/>
      <c r="Q714" s="148">
        <f t="shared" si="212"/>
        <v>0</v>
      </c>
      <c r="R714" s="148"/>
      <c r="S714" s="148">
        <f>ROUND(R714*P714,2)</f>
        <v>0</v>
      </c>
      <c r="T714" s="148">
        <f t="shared" si="214"/>
        <v>2737</v>
      </c>
      <c r="U714" s="148">
        <f t="shared" si="215"/>
        <v>15026.13</v>
      </c>
      <c r="V714" s="379"/>
      <c r="W714" s="379"/>
      <c r="X714" s="57" t="e">
        <f>IF(B714&lt;&gt;0,VLOOKUP(B714,#REF!,4,FALSE),"")</f>
        <v>#REF!</v>
      </c>
      <c r="Y714" s="334" t="s">
        <v>3104</v>
      </c>
      <c r="Z714" s="334">
        <f t="shared" si="206"/>
        <v>8398.4844999999987</v>
      </c>
      <c r="AA714" s="57"/>
      <c r="AB714" s="58" t="e">
        <f>IF(B714&lt;&gt;0,VLOOKUP(B714,#REF!,2,FALSE),"")</f>
        <v>#REF!</v>
      </c>
    </row>
    <row r="715" spans="1:28" s="55" customFormat="1" ht="45">
      <c r="A715" s="19" t="s">
        <v>1126</v>
      </c>
      <c r="B715" s="20">
        <v>91928</v>
      </c>
      <c r="C715" s="19" t="s">
        <v>1903</v>
      </c>
      <c r="D715" s="21" t="s">
        <v>12</v>
      </c>
      <c r="E715" s="21" t="s">
        <v>52</v>
      </c>
      <c r="F715" s="22">
        <v>4450</v>
      </c>
      <c r="G715" s="22">
        <f t="shared" si="205"/>
        <v>5.117</v>
      </c>
      <c r="H715" s="22">
        <f>ROUND(G715*(1+$X$14),2)</f>
        <v>6.49</v>
      </c>
      <c r="I715" s="147">
        <f>ROUND(H715*F715,2)</f>
        <v>28880.5</v>
      </c>
      <c r="J715" s="148"/>
      <c r="K715" s="148"/>
      <c r="L715" s="148"/>
      <c r="M715" s="148">
        <v>6.67</v>
      </c>
      <c r="N715" s="148">
        <v>8.4600000000000009</v>
      </c>
      <c r="O715" s="148">
        <v>37647</v>
      </c>
      <c r="P715" s="494"/>
      <c r="Q715" s="148">
        <f t="shared" si="212"/>
        <v>0</v>
      </c>
      <c r="R715" s="148"/>
      <c r="S715" s="148">
        <f>ROUND(R715*P715,2)</f>
        <v>0</v>
      </c>
      <c r="T715" s="148">
        <f t="shared" si="214"/>
        <v>4450</v>
      </c>
      <c r="U715" s="148">
        <f t="shared" si="215"/>
        <v>37647</v>
      </c>
      <c r="V715" s="379"/>
      <c r="W715" s="379"/>
      <c r="X715" s="57" t="e">
        <f>IF(B715&lt;&gt;0,VLOOKUP(B715,#REF!,4,FALSE),"")</f>
        <v>#REF!</v>
      </c>
      <c r="Y715" s="334" t="s">
        <v>1863</v>
      </c>
      <c r="Z715" s="334">
        <f t="shared" si="206"/>
        <v>22770.65</v>
      </c>
      <c r="AA715" s="57"/>
      <c r="AB715" s="58" t="e">
        <f>IF(B715&lt;&gt;0,VLOOKUP(B715,#REF!,2,FALSE),"")</f>
        <v>#REF!</v>
      </c>
    </row>
    <row r="716" spans="1:28" s="55" customFormat="1" ht="15" customHeight="1">
      <c r="A716" s="229" t="s">
        <v>1127</v>
      </c>
      <c r="B716" s="229"/>
      <c r="C716" s="229" t="s">
        <v>216</v>
      </c>
      <c r="D716" s="230"/>
      <c r="E716" s="230"/>
      <c r="F716" s="230"/>
      <c r="G716" s="22"/>
      <c r="H716" s="230"/>
      <c r="I716" s="445"/>
      <c r="J716" s="440"/>
      <c r="K716" s="440"/>
      <c r="L716" s="440"/>
      <c r="M716" s="440"/>
      <c r="N716" s="440"/>
      <c r="O716" s="440"/>
      <c r="P716" s="492"/>
      <c r="Q716" s="148">
        <f t="shared" si="212"/>
        <v>0</v>
      </c>
      <c r="R716" s="440"/>
      <c r="S716" s="440"/>
      <c r="T716" s="148"/>
      <c r="U716" s="148"/>
      <c r="V716" s="330"/>
      <c r="W716" s="330"/>
      <c r="X716" s="58"/>
      <c r="Y716" s="334"/>
      <c r="Z716" s="334">
        <f t="shared" si="206"/>
        <v>0</v>
      </c>
      <c r="AA716" s="58"/>
      <c r="AB716" s="58"/>
    </row>
    <row r="717" spans="1:28" s="55" customFormat="1" ht="30">
      <c r="A717" s="19" t="s">
        <v>1128</v>
      </c>
      <c r="B717" s="21" t="s">
        <v>2284</v>
      </c>
      <c r="C717" s="19" t="s">
        <v>228</v>
      </c>
      <c r="D717" s="21" t="s">
        <v>70</v>
      </c>
      <c r="E717" s="21" t="s">
        <v>17</v>
      </c>
      <c r="F717" s="22">
        <v>20</v>
      </c>
      <c r="G717" s="22">
        <f t="shared" si="205"/>
        <v>43.978999999999999</v>
      </c>
      <c r="H717" s="22">
        <f>ROUND(G717*(1+$X$14),2)</f>
        <v>55.77</v>
      </c>
      <c r="I717" s="147">
        <f>ROUND(H717*F717,2)</f>
        <v>1115.4000000000001</v>
      </c>
      <c r="J717" s="148"/>
      <c r="K717" s="148"/>
      <c r="L717" s="148"/>
      <c r="M717" s="148">
        <v>48.99</v>
      </c>
      <c r="N717" s="148">
        <v>62.12</v>
      </c>
      <c r="O717" s="148">
        <v>1242.4000000000001</v>
      </c>
      <c r="P717" s="494"/>
      <c r="Q717" s="148">
        <f t="shared" si="212"/>
        <v>0</v>
      </c>
      <c r="R717" s="148"/>
      <c r="S717" s="148">
        <f>ROUND(R717*P717,2)</f>
        <v>0</v>
      </c>
      <c r="T717" s="148">
        <f t="shared" si="214"/>
        <v>20</v>
      </c>
      <c r="U717" s="148">
        <f t="shared" si="215"/>
        <v>1242.4000000000001</v>
      </c>
      <c r="V717" s="379"/>
      <c r="W717" s="379"/>
      <c r="X717" s="57">
        <f>'COMPOSIÇÃO DE CUSTOS'!G1314</f>
        <v>43.97</v>
      </c>
      <c r="Y717" s="334">
        <v>51.74</v>
      </c>
      <c r="Z717" s="334">
        <f t="shared" si="206"/>
        <v>879.57999999999993</v>
      </c>
      <c r="AA717" s="57"/>
      <c r="AB717" s="58"/>
    </row>
    <row r="718" spans="1:28" ht="45">
      <c r="A718" s="19" t="s">
        <v>1129</v>
      </c>
      <c r="B718" s="20">
        <v>91939</v>
      </c>
      <c r="C718" s="19" t="s">
        <v>1715</v>
      </c>
      <c r="D718" s="21" t="s">
        <v>12</v>
      </c>
      <c r="E718" s="21" t="s">
        <v>17</v>
      </c>
      <c r="F718" s="22">
        <v>4</v>
      </c>
      <c r="G718" s="22">
        <f t="shared" si="205"/>
        <v>16.234999999999999</v>
      </c>
      <c r="H718" s="22">
        <f>ROUND(G718*(1+$X$14),2)</f>
        <v>20.59</v>
      </c>
      <c r="I718" s="147">
        <f>ROUND(H718*F718,2)</f>
        <v>82.36</v>
      </c>
      <c r="J718" s="148"/>
      <c r="K718" s="148"/>
      <c r="L718" s="148"/>
      <c r="M718" s="148">
        <v>18.09</v>
      </c>
      <c r="N718" s="148">
        <v>22.94</v>
      </c>
      <c r="O718" s="148">
        <v>91.76</v>
      </c>
      <c r="P718" s="494"/>
      <c r="Q718" s="148">
        <f t="shared" si="212"/>
        <v>0</v>
      </c>
      <c r="R718" s="148"/>
      <c r="S718" s="148">
        <f>ROUND(R718*P718,2)</f>
        <v>0</v>
      </c>
      <c r="T718" s="148">
        <f t="shared" si="214"/>
        <v>4</v>
      </c>
      <c r="U718" s="148">
        <f t="shared" si="215"/>
        <v>91.76</v>
      </c>
      <c r="V718" s="379"/>
      <c r="W718" s="379"/>
      <c r="X718" s="31" t="e">
        <f>IF(B718&lt;&gt;0,VLOOKUP(B718,#REF!,4,FALSE),"")</f>
        <v>#REF!</v>
      </c>
      <c r="Y718" s="346" t="s">
        <v>3233</v>
      </c>
      <c r="Z718" s="334">
        <f t="shared" si="206"/>
        <v>64.94</v>
      </c>
      <c r="AA718" s="31"/>
      <c r="AB718" s="32" t="e">
        <f>IF(B718&lt;&gt;0,VLOOKUP(B718,#REF!,2,FALSE),"")</f>
        <v>#REF!</v>
      </c>
    </row>
    <row r="719" spans="1:28" ht="45">
      <c r="A719" s="19" t="s">
        <v>1130</v>
      </c>
      <c r="B719" s="20">
        <v>91941</v>
      </c>
      <c r="C719" s="19" t="s">
        <v>1716</v>
      </c>
      <c r="D719" s="21" t="s">
        <v>12</v>
      </c>
      <c r="E719" s="21" t="s">
        <v>17</v>
      </c>
      <c r="F719" s="22">
        <v>172</v>
      </c>
      <c r="G719" s="22">
        <f t="shared" si="205"/>
        <v>6.0775000000000006</v>
      </c>
      <c r="H719" s="22">
        <f>ROUND(G719*(1+$X$14),2)</f>
        <v>7.71</v>
      </c>
      <c r="I719" s="147">
        <f>ROUND(H719*F719,2)</f>
        <v>1326.12</v>
      </c>
      <c r="J719" s="148"/>
      <c r="K719" s="148"/>
      <c r="L719" s="148"/>
      <c r="M719" s="148">
        <v>6.77</v>
      </c>
      <c r="N719" s="148">
        <v>8.59</v>
      </c>
      <c r="O719" s="148">
        <v>1477.48</v>
      </c>
      <c r="P719" s="494"/>
      <c r="Q719" s="148">
        <f t="shared" si="212"/>
        <v>0</v>
      </c>
      <c r="R719" s="148"/>
      <c r="S719" s="148">
        <f>ROUND(R719*P719,2)</f>
        <v>0</v>
      </c>
      <c r="T719" s="148">
        <f t="shared" si="214"/>
        <v>172</v>
      </c>
      <c r="U719" s="148">
        <f t="shared" si="215"/>
        <v>1477.48</v>
      </c>
      <c r="V719" s="379"/>
      <c r="W719" s="379"/>
      <c r="X719" s="31" t="e">
        <f>IF(B719&lt;&gt;0,VLOOKUP(B719,#REF!,4,FALSE),"")</f>
        <v>#REF!</v>
      </c>
      <c r="Y719" s="346" t="s">
        <v>3125</v>
      </c>
      <c r="Z719" s="334">
        <f t="shared" si="206"/>
        <v>1045.3300000000002</v>
      </c>
      <c r="AA719" s="31"/>
      <c r="AB719" s="32" t="e">
        <f>IF(B719&lt;&gt;0,VLOOKUP(B719,#REF!,2,FALSE),"")</f>
        <v>#REF!</v>
      </c>
    </row>
    <row r="720" spans="1:28" ht="27" customHeight="1">
      <c r="A720" s="19"/>
      <c r="B720" s="20"/>
      <c r="C720" s="19"/>
      <c r="D720" s="21"/>
      <c r="E720" s="21"/>
      <c r="F720" s="22"/>
      <c r="G720" s="22"/>
      <c r="H720" s="22"/>
      <c r="I720" s="147"/>
      <c r="J720" s="148"/>
      <c r="K720" s="148"/>
      <c r="L720" s="148"/>
      <c r="M720" s="148"/>
      <c r="N720" s="148"/>
      <c r="O720" s="148"/>
      <c r="P720" s="494"/>
      <c r="Q720" s="148"/>
      <c r="R720" s="148"/>
      <c r="S720" s="148"/>
      <c r="T720" s="148"/>
      <c r="U720" s="148"/>
      <c r="V720" s="379"/>
      <c r="W720" s="379"/>
      <c r="X720" s="33"/>
      <c r="Y720" s="337"/>
      <c r="Z720" s="334">
        <f t="shared" si="206"/>
        <v>0</v>
      </c>
      <c r="AA720" s="33"/>
      <c r="AB720" s="30"/>
    </row>
    <row r="721" spans="1:28" s="38" customFormat="1" ht="15" customHeight="1">
      <c r="A721" s="229" t="s">
        <v>1131</v>
      </c>
      <c r="B721" s="229"/>
      <c r="C721" s="229" t="s">
        <v>241</v>
      </c>
      <c r="D721" s="230"/>
      <c r="E721" s="230"/>
      <c r="F721" s="230"/>
      <c r="G721" s="22"/>
      <c r="H721" s="230"/>
      <c r="I721" s="445">
        <f>ROUND(SUM(I723:I743),2)</f>
        <v>196411.29</v>
      </c>
      <c r="J721" s="440"/>
      <c r="K721" s="440"/>
      <c r="L721" s="440"/>
      <c r="M721" s="440"/>
      <c r="N721" s="440"/>
      <c r="O721" s="440">
        <v>282593.43</v>
      </c>
      <c r="P721" s="492"/>
      <c r="Q721" s="440">
        <f>ROUND(SUM(Q723:Q743),2)</f>
        <v>0</v>
      </c>
      <c r="R721" s="440"/>
      <c r="S721" s="440">
        <f>ROUND(SUM(S723:S743),2)</f>
        <v>15294.42</v>
      </c>
      <c r="T721" s="440"/>
      <c r="U721" s="440">
        <f t="shared" si="215"/>
        <v>267299.01</v>
      </c>
      <c r="V721" s="330"/>
      <c r="W721" s="330"/>
      <c r="X721" s="39"/>
      <c r="Y721" s="336"/>
      <c r="Z721" s="334">
        <f t="shared" si="206"/>
        <v>0</v>
      </c>
      <c r="AA721" s="39"/>
      <c r="AB721" s="39"/>
    </row>
    <row r="722" spans="1:28" s="55" customFormat="1" ht="15" customHeight="1">
      <c r="A722" s="229" t="s">
        <v>1132</v>
      </c>
      <c r="B722" s="229"/>
      <c r="C722" s="229" t="s">
        <v>242</v>
      </c>
      <c r="D722" s="230"/>
      <c r="E722" s="230"/>
      <c r="F722" s="230"/>
      <c r="G722" s="22"/>
      <c r="H722" s="230"/>
      <c r="I722" s="445"/>
      <c r="J722" s="440"/>
      <c r="K722" s="440"/>
      <c r="L722" s="440"/>
      <c r="M722" s="440"/>
      <c r="N722" s="440"/>
      <c r="O722" s="440"/>
      <c r="P722" s="492"/>
      <c r="Q722" s="440"/>
      <c r="R722" s="440"/>
      <c r="S722" s="440"/>
      <c r="T722" s="148"/>
      <c r="U722" s="148"/>
      <c r="V722" s="330"/>
      <c r="W722" s="330"/>
      <c r="X722" s="58"/>
      <c r="Y722" s="334"/>
      <c r="Z722" s="334">
        <f t="shared" si="206"/>
        <v>0</v>
      </c>
      <c r="AA722" s="58"/>
      <c r="AB722" s="58"/>
    </row>
    <row r="723" spans="1:28" s="55" customFormat="1" ht="45">
      <c r="A723" s="19" t="s">
        <v>1133</v>
      </c>
      <c r="B723" s="21" t="s">
        <v>2406</v>
      </c>
      <c r="C723" s="19" t="s">
        <v>243</v>
      </c>
      <c r="D723" s="21" t="s">
        <v>1914</v>
      </c>
      <c r="E723" s="21" t="s">
        <v>17</v>
      </c>
      <c r="F723" s="22">
        <v>1</v>
      </c>
      <c r="G723" s="22">
        <f t="shared" si="205"/>
        <v>140118.14800000002</v>
      </c>
      <c r="H723" s="22">
        <f>ROUND(G723*(1+$X$14),2)</f>
        <v>177683.82</v>
      </c>
      <c r="I723" s="147">
        <f>ROUND(H723*F723,2)</f>
        <v>177683.82</v>
      </c>
      <c r="J723" s="148"/>
      <c r="K723" s="148"/>
      <c r="L723" s="148"/>
      <c r="M723" s="148">
        <v>203892.08</v>
      </c>
      <c r="N723" s="148">
        <v>258555.55</v>
      </c>
      <c r="O723" s="148">
        <v>258555.55</v>
      </c>
      <c r="P723" s="494"/>
      <c r="Q723" s="148">
        <f t="shared" ref="Q723:Q743" si="216">ROUND(P723*N723,2)</f>
        <v>0</v>
      </c>
      <c r="R723" s="148"/>
      <c r="S723" s="148">
        <f>ROUND(R723*P723,2)</f>
        <v>0</v>
      </c>
      <c r="T723" s="148">
        <f t="shared" ref="T723:T743" si="217">F723+P723-R723</f>
        <v>1</v>
      </c>
      <c r="U723" s="148">
        <f t="shared" si="215"/>
        <v>258555.55</v>
      </c>
      <c r="V723" s="379"/>
      <c r="W723" s="379"/>
      <c r="X723" s="57">
        <f>'COMPOSIÇÃO DE CUSTOS'!H1349</f>
        <v>140118.14800000002</v>
      </c>
      <c r="Y723" s="334">
        <v>164844.88</v>
      </c>
      <c r="Z723" s="334">
        <f t="shared" si="206"/>
        <v>140118.14800000002</v>
      </c>
      <c r="AA723" s="57"/>
      <c r="AB723" s="58"/>
    </row>
    <row r="724" spans="1:28" s="55" customFormat="1" ht="15" customHeight="1">
      <c r="A724" s="229" t="s">
        <v>1134</v>
      </c>
      <c r="B724" s="229"/>
      <c r="C724" s="229" t="s">
        <v>224</v>
      </c>
      <c r="D724" s="230"/>
      <c r="E724" s="230"/>
      <c r="F724" s="230"/>
      <c r="G724" s="22"/>
      <c r="H724" s="230"/>
      <c r="I724" s="445"/>
      <c r="J724" s="440"/>
      <c r="K724" s="440"/>
      <c r="L724" s="440"/>
      <c r="M724" s="440"/>
      <c r="N724" s="440"/>
      <c r="O724" s="440"/>
      <c r="P724" s="492"/>
      <c r="Q724" s="148">
        <f t="shared" si="216"/>
        <v>0</v>
      </c>
      <c r="R724" s="440"/>
      <c r="S724" s="440"/>
      <c r="T724" s="148"/>
      <c r="U724" s="148"/>
      <c r="V724" s="330"/>
      <c r="W724" s="330"/>
      <c r="X724" s="58"/>
      <c r="Y724" s="334"/>
      <c r="Z724" s="334">
        <f t="shared" si="206"/>
        <v>0</v>
      </c>
      <c r="AA724" s="58"/>
      <c r="AB724" s="58"/>
    </row>
    <row r="725" spans="1:28" s="55" customFormat="1" ht="30">
      <c r="A725" s="19" t="s">
        <v>1135</v>
      </c>
      <c r="B725" s="21" t="s">
        <v>2310</v>
      </c>
      <c r="C725" s="19" t="s">
        <v>244</v>
      </c>
      <c r="D725" s="21" t="s">
        <v>70</v>
      </c>
      <c r="E725" s="21" t="s">
        <v>52</v>
      </c>
      <c r="F725" s="22">
        <v>263</v>
      </c>
      <c r="G725" s="22">
        <f t="shared" ref="G725:G788" si="218">Y725-(Y725*$Y$15)</f>
        <v>17.425000000000001</v>
      </c>
      <c r="H725" s="22">
        <f t="shared" ref="H725:H731" si="219">ROUND(G725*(1+$X$14),2)</f>
        <v>22.1</v>
      </c>
      <c r="I725" s="147">
        <f t="shared" ref="I725:I731" si="220">ROUND(H725*F725,2)</f>
        <v>5812.3</v>
      </c>
      <c r="J725" s="148"/>
      <c r="K725" s="148"/>
      <c r="L725" s="148"/>
      <c r="M725" s="148">
        <v>19.41</v>
      </c>
      <c r="N725" s="148">
        <v>24.61</v>
      </c>
      <c r="O725" s="148">
        <v>6472.43</v>
      </c>
      <c r="P725" s="494"/>
      <c r="Q725" s="148">
        <f t="shared" si="216"/>
        <v>0</v>
      </c>
      <c r="R725" s="148"/>
      <c r="S725" s="148">
        <f t="shared" ref="S725:S731" si="221">ROUND(R725*P725,2)</f>
        <v>0</v>
      </c>
      <c r="T725" s="148">
        <f t="shared" si="217"/>
        <v>263</v>
      </c>
      <c r="U725" s="148">
        <f t="shared" si="215"/>
        <v>6472.43</v>
      </c>
      <c r="V725" s="379"/>
      <c r="W725" s="379"/>
      <c r="X725" s="57">
        <f>'COMPOSIÇÃO DE CUSTOS'!G1357</f>
        <v>19.059999999999999</v>
      </c>
      <c r="Y725" s="334">
        <v>20.5</v>
      </c>
      <c r="Z725" s="334">
        <f t="shared" ref="Z725:Z788" si="222">F725*G725</f>
        <v>4582.7750000000005</v>
      </c>
      <c r="AA725" s="57"/>
      <c r="AB725" s="58"/>
    </row>
    <row r="726" spans="1:28" s="55" customFormat="1" ht="30">
      <c r="A726" s="19" t="s">
        <v>1136</v>
      </c>
      <c r="B726" s="21" t="s">
        <v>2311</v>
      </c>
      <c r="C726" s="19" t="s">
        <v>245</v>
      </c>
      <c r="D726" s="21" t="s">
        <v>70</v>
      </c>
      <c r="E726" s="21" t="s">
        <v>52</v>
      </c>
      <c r="F726" s="22">
        <v>13</v>
      </c>
      <c r="G726" s="22">
        <f t="shared" si="218"/>
        <v>21.5305</v>
      </c>
      <c r="H726" s="22">
        <f t="shared" si="219"/>
        <v>27.3</v>
      </c>
      <c r="I726" s="147">
        <f t="shared" si="220"/>
        <v>354.9</v>
      </c>
      <c r="J726" s="148"/>
      <c r="K726" s="148"/>
      <c r="L726" s="148"/>
      <c r="M726" s="148">
        <v>23.99</v>
      </c>
      <c r="N726" s="148">
        <v>30.42</v>
      </c>
      <c r="O726" s="148">
        <v>395.46</v>
      </c>
      <c r="P726" s="494"/>
      <c r="Q726" s="148">
        <f t="shared" si="216"/>
        <v>0</v>
      </c>
      <c r="R726" s="148"/>
      <c r="S726" s="148">
        <f t="shared" si="221"/>
        <v>0</v>
      </c>
      <c r="T726" s="148">
        <f t="shared" si="217"/>
        <v>13</v>
      </c>
      <c r="U726" s="148">
        <f t="shared" si="215"/>
        <v>395.46</v>
      </c>
      <c r="V726" s="379"/>
      <c r="W726" s="379"/>
      <c r="X726" s="57">
        <f>'COMPOSIÇÃO DE CUSTOS'!G1364</f>
        <v>23.41</v>
      </c>
      <c r="Y726" s="334">
        <v>25.33</v>
      </c>
      <c r="Z726" s="334">
        <f t="shared" si="222"/>
        <v>279.8965</v>
      </c>
      <c r="AA726" s="57"/>
      <c r="AB726" s="58"/>
    </row>
    <row r="727" spans="1:28" s="55" customFormat="1" ht="30">
      <c r="A727" s="19" t="s">
        <v>1137</v>
      </c>
      <c r="B727" s="20">
        <v>749</v>
      </c>
      <c r="C727" s="19" t="s">
        <v>198</v>
      </c>
      <c r="D727" s="21" t="s">
        <v>44</v>
      </c>
      <c r="E727" s="21" t="s">
        <v>17</v>
      </c>
      <c r="F727" s="22">
        <v>2</v>
      </c>
      <c r="G727" s="22">
        <f t="shared" si="218"/>
        <v>55.385999999999996</v>
      </c>
      <c r="H727" s="22">
        <f t="shared" si="219"/>
        <v>70.23</v>
      </c>
      <c r="I727" s="147">
        <f t="shared" si="220"/>
        <v>140.46</v>
      </c>
      <c r="J727" s="148"/>
      <c r="K727" s="148"/>
      <c r="L727" s="148"/>
      <c r="M727" s="148">
        <v>61.7</v>
      </c>
      <c r="N727" s="148">
        <v>78.239999999999995</v>
      </c>
      <c r="O727" s="148">
        <v>156.47999999999999</v>
      </c>
      <c r="P727" s="494"/>
      <c r="Q727" s="148">
        <f t="shared" si="216"/>
        <v>0</v>
      </c>
      <c r="R727" s="148"/>
      <c r="S727" s="148">
        <f t="shared" si="221"/>
        <v>0</v>
      </c>
      <c r="T727" s="148">
        <f t="shared" si="217"/>
        <v>2</v>
      </c>
      <c r="U727" s="148">
        <f t="shared" si="215"/>
        <v>156.47999999999999</v>
      </c>
      <c r="V727" s="379"/>
      <c r="W727" s="379"/>
      <c r="X727" s="57">
        <f>'COMPOSIÇÃO DE CUSTOS'!G1032</f>
        <v>55.39</v>
      </c>
      <c r="Y727" s="334">
        <v>65.16</v>
      </c>
      <c r="Z727" s="334">
        <f t="shared" si="222"/>
        <v>110.77199999999999</v>
      </c>
      <c r="AA727" s="57"/>
      <c r="AB727" s="58"/>
    </row>
    <row r="728" spans="1:28" s="55" customFormat="1" ht="30">
      <c r="A728" s="19" t="s">
        <v>1138</v>
      </c>
      <c r="B728" s="20">
        <v>11286</v>
      </c>
      <c r="C728" s="19" t="s">
        <v>199</v>
      </c>
      <c r="D728" s="21" t="s">
        <v>44</v>
      </c>
      <c r="E728" s="21" t="s">
        <v>17</v>
      </c>
      <c r="F728" s="22">
        <v>2</v>
      </c>
      <c r="G728" s="22">
        <f t="shared" si="218"/>
        <v>63.231499999999997</v>
      </c>
      <c r="H728" s="22">
        <f t="shared" si="219"/>
        <v>80.180000000000007</v>
      </c>
      <c r="I728" s="147">
        <f t="shared" si="220"/>
        <v>160.36000000000001</v>
      </c>
      <c r="J728" s="148"/>
      <c r="K728" s="148"/>
      <c r="L728" s="148"/>
      <c r="M728" s="148">
        <v>70.44</v>
      </c>
      <c r="N728" s="148">
        <v>89.32</v>
      </c>
      <c r="O728" s="148">
        <v>178.64</v>
      </c>
      <c r="P728" s="494"/>
      <c r="Q728" s="148">
        <f t="shared" si="216"/>
        <v>0</v>
      </c>
      <c r="R728" s="148"/>
      <c r="S728" s="148">
        <f t="shared" si="221"/>
        <v>0</v>
      </c>
      <c r="T728" s="148">
        <f t="shared" si="217"/>
        <v>2</v>
      </c>
      <c r="U728" s="148">
        <f t="shared" si="215"/>
        <v>178.64</v>
      </c>
      <c r="V728" s="379"/>
      <c r="W728" s="379"/>
      <c r="X728" s="57">
        <f>'COMPOSIÇÃO DE CUSTOS'!G1039</f>
        <v>63.23</v>
      </c>
      <c r="Y728" s="334">
        <v>74.39</v>
      </c>
      <c r="Z728" s="334">
        <f t="shared" si="222"/>
        <v>126.46299999999999</v>
      </c>
      <c r="AA728" s="57"/>
      <c r="AB728" s="58"/>
    </row>
    <row r="729" spans="1:28" s="55" customFormat="1">
      <c r="A729" s="19" t="s">
        <v>1139</v>
      </c>
      <c r="B729" s="20">
        <v>9426</v>
      </c>
      <c r="C729" s="19" t="s">
        <v>246</v>
      </c>
      <c r="D729" s="21" t="s">
        <v>44</v>
      </c>
      <c r="E729" s="21" t="s">
        <v>17</v>
      </c>
      <c r="F729" s="22">
        <v>1</v>
      </c>
      <c r="G729" s="22">
        <f t="shared" si="218"/>
        <v>24.667000000000002</v>
      </c>
      <c r="H729" s="22">
        <f t="shared" si="219"/>
        <v>31.28</v>
      </c>
      <c r="I729" s="147">
        <f t="shared" si="220"/>
        <v>31.28</v>
      </c>
      <c r="J729" s="148"/>
      <c r="K729" s="148"/>
      <c r="L729" s="148"/>
      <c r="M729" s="148">
        <v>27.48</v>
      </c>
      <c r="N729" s="148">
        <v>34.85</v>
      </c>
      <c r="O729" s="148">
        <v>34.85</v>
      </c>
      <c r="P729" s="494"/>
      <c r="Q729" s="148">
        <f t="shared" si="216"/>
        <v>0</v>
      </c>
      <c r="R729" s="148"/>
      <c r="S729" s="148">
        <f t="shared" si="221"/>
        <v>0</v>
      </c>
      <c r="T729" s="148">
        <f t="shared" si="217"/>
        <v>1</v>
      </c>
      <c r="U729" s="148">
        <f t="shared" si="215"/>
        <v>34.85</v>
      </c>
      <c r="V729" s="379"/>
      <c r="W729" s="379"/>
      <c r="X729" s="57">
        <f>'COMPOSIÇÃO DE CUSTOS'!G1371</f>
        <v>24.66</v>
      </c>
      <c r="Y729" s="334">
        <v>29.02</v>
      </c>
      <c r="Z729" s="334">
        <f t="shared" si="222"/>
        <v>24.667000000000002</v>
      </c>
      <c r="AA729" s="57"/>
      <c r="AB729" s="58"/>
    </row>
    <row r="730" spans="1:28" s="55" customFormat="1" ht="30">
      <c r="A730" s="19" t="s">
        <v>1140</v>
      </c>
      <c r="B730" s="20">
        <v>11522</v>
      </c>
      <c r="C730" s="19" t="s">
        <v>200</v>
      </c>
      <c r="D730" s="21" t="s">
        <v>44</v>
      </c>
      <c r="E730" s="21" t="s">
        <v>17</v>
      </c>
      <c r="F730" s="22">
        <v>3</v>
      </c>
      <c r="G730" s="22">
        <f t="shared" si="218"/>
        <v>28.814999999999998</v>
      </c>
      <c r="H730" s="22">
        <f t="shared" si="219"/>
        <v>36.54</v>
      </c>
      <c r="I730" s="147">
        <f t="shared" si="220"/>
        <v>109.62</v>
      </c>
      <c r="J730" s="148"/>
      <c r="K730" s="148"/>
      <c r="L730" s="148"/>
      <c r="M730" s="148">
        <v>32.1</v>
      </c>
      <c r="N730" s="148">
        <v>40.71</v>
      </c>
      <c r="O730" s="148">
        <v>122.13</v>
      </c>
      <c r="P730" s="494"/>
      <c r="Q730" s="148">
        <f t="shared" si="216"/>
        <v>0</v>
      </c>
      <c r="R730" s="148"/>
      <c r="S730" s="148">
        <f t="shared" si="221"/>
        <v>0</v>
      </c>
      <c r="T730" s="148">
        <f t="shared" si="217"/>
        <v>3</v>
      </c>
      <c r="U730" s="148">
        <f t="shared" si="215"/>
        <v>122.13</v>
      </c>
      <c r="V730" s="379"/>
      <c r="W730" s="379"/>
      <c r="X730" s="57">
        <f>'COMPOSIÇÃO DE CUSTOS'!G1046</f>
        <v>28.81</v>
      </c>
      <c r="Y730" s="334">
        <v>33.9</v>
      </c>
      <c r="Z730" s="334">
        <f t="shared" si="222"/>
        <v>86.444999999999993</v>
      </c>
      <c r="AA730" s="57"/>
      <c r="AB730" s="58"/>
    </row>
    <row r="731" spans="1:28" s="55" customFormat="1" ht="30">
      <c r="A731" s="19" t="s">
        <v>1141</v>
      </c>
      <c r="B731" s="20">
        <v>6913</v>
      </c>
      <c r="C731" s="19" t="s">
        <v>2314</v>
      </c>
      <c r="D731" s="21" t="s">
        <v>44</v>
      </c>
      <c r="E731" s="21" t="s">
        <v>17</v>
      </c>
      <c r="F731" s="22">
        <v>3</v>
      </c>
      <c r="G731" s="22">
        <f t="shared" si="218"/>
        <v>12.1295</v>
      </c>
      <c r="H731" s="22">
        <f t="shared" si="219"/>
        <v>15.38</v>
      </c>
      <c r="I731" s="147">
        <f t="shared" si="220"/>
        <v>46.14</v>
      </c>
      <c r="J731" s="148"/>
      <c r="K731" s="148"/>
      <c r="L731" s="148"/>
      <c r="M731" s="148">
        <v>13.51</v>
      </c>
      <c r="N731" s="148">
        <v>17.13</v>
      </c>
      <c r="O731" s="148">
        <v>51.39</v>
      </c>
      <c r="P731" s="494"/>
      <c r="Q731" s="148">
        <f t="shared" si="216"/>
        <v>0</v>
      </c>
      <c r="R731" s="148"/>
      <c r="S731" s="148">
        <f t="shared" si="221"/>
        <v>0</v>
      </c>
      <c r="T731" s="148">
        <f t="shared" si="217"/>
        <v>3</v>
      </c>
      <c r="U731" s="148">
        <f t="shared" si="215"/>
        <v>51.39</v>
      </c>
      <c r="V731" s="379"/>
      <c r="W731" s="379"/>
      <c r="X731" s="57">
        <f>'COMPOSIÇÃO DE CUSTOS'!G1378</f>
        <v>12.13</v>
      </c>
      <c r="Y731" s="334">
        <v>14.27</v>
      </c>
      <c r="Z731" s="334">
        <f t="shared" si="222"/>
        <v>36.388500000000001</v>
      </c>
      <c r="AA731" s="57"/>
      <c r="AB731" s="58"/>
    </row>
    <row r="732" spans="1:28" s="55" customFormat="1">
      <c r="A732" s="229" t="s">
        <v>1142</v>
      </c>
      <c r="B732" s="229"/>
      <c r="C732" s="229" t="s">
        <v>214</v>
      </c>
      <c r="D732" s="230"/>
      <c r="E732" s="230"/>
      <c r="F732" s="230"/>
      <c r="G732" s="22"/>
      <c r="H732" s="230"/>
      <c r="I732" s="445"/>
      <c r="J732" s="440"/>
      <c r="K732" s="440"/>
      <c r="L732" s="440"/>
      <c r="M732" s="440"/>
      <c r="N732" s="440"/>
      <c r="O732" s="440"/>
      <c r="P732" s="492"/>
      <c r="Q732" s="148">
        <f t="shared" si="216"/>
        <v>0</v>
      </c>
      <c r="R732" s="440"/>
      <c r="S732" s="440"/>
      <c r="T732" s="148"/>
      <c r="U732" s="148"/>
      <c r="V732" s="330"/>
      <c r="W732" s="330"/>
      <c r="X732" s="58"/>
      <c r="Y732" s="334"/>
      <c r="Z732" s="334">
        <f t="shared" si="222"/>
        <v>0</v>
      </c>
      <c r="AA732" s="58"/>
      <c r="AB732" s="58"/>
    </row>
    <row r="733" spans="1:28" s="38" customFormat="1" ht="45">
      <c r="A733" s="449" t="s">
        <v>1143</v>
      </c>
      <c r="B733" s="448">
        <v>91929</v>
      </c>
      <c r="C733" s="449" t="s">
        <v>1714</v>
      </c>
      <c r="D733" s="447" t="s">
        <v>12</v>
      </c>
      <c r="E733" s="447" t="s">
        <v>52</v>
      </c>
      <c r="F733" s="450">
        <v>1458</v>
      </c>
      <c r="G733" s="450">
        <f t="shared" si="218"/>
        <v>5.8819999999999997</v>
      </c>
      <c r="H733" s="450">
        <f>ROUND(G733*(1+$X$14),2)</f>
        <v>7.46</v>
      </c>
      <c r="I733" s="451">
        <f>ROUND(H733*F733,2)</f>
        <v>10876.68</v>
      </c>
      <c r="J733" s="452"/>
      <c r="K733" s="452"/>
      <c r="L733" s="452"/>
      <c r="M733" s="452">
        <v>8.27</v>
      </c>
      <c r="N733" s="452">
        <v>10.49</v>
      </c>
      <c r="O733" s="452">
        <v>15294.42</v>
      </c>
      <c r="P733" s="493"/>
      <c r="Q733" s="452">
        <f t="shared" si="216"/>
        <v>0</v>
      </c>
      <c r="R733" s="452">
        <f>F733</f>
        <v>1458</v>
      </c>
      <c r="S733" s="452">
        <f>ROUND(R733*N733,2)</f>
        <v>15294.42</v>
      </c>
      <c r="T733" s="452">
        <f t="shared" si="217"/>
        <v>0</v>
      </c>
      <c r="U733" s="452">
        <f t="shared" si="215"/>
        <v>0</v>
      </c>
      <c r="V733" s="453"/>
      <c r="W733" s="453"/>
      <c r="X733" s="42" t="e">
        <f>IF(B733&lt;&gt;0,VLOOKUP(B733,#REF!,4,FALSE),"")</f>
        <v>#REF!</v>
      </c>
      <c r="Y733" s="336" t="s">
        <v>1859</v>
      </c>
      <c r="Z733" s="336">
        <f t="shared" si="222"/>
        <v>8575.9560000000001</v>
      </c>
      <c r="AA733" s="42"/>
      <c r="AB733" s="39" t="e">
        <f>IF(B733&lt;&gt;0,VLOOKUP(B733,#REF!,2,FALSE),"")</f>
        <v>#REF!</v>
      </c>
    </row>
    <row r="734" spans="1:28" s="55" customFormat="1" ht="15" customHeight="1">
      <c r="A734" s="229" t="s">
        <v>1144</v>
      </c>
      <c r="B734" s="229"/>
      <c r="C734" s="229" t="s">
        <v>216</v>
      </c>
      <c r="D734" s="230"/>
      <c r="E734" s="230"/>
      <c r="F734" s="230"/>
      <c r="G734" s="22"/>
      <c r="H734" s="230"/>
      <c r="I734" s="445"/>
      <c r="J734" s="440"/>
      <c r="K734" s="440"/>
      <c r="L734" s="440"/>
      <c r="M734" s="440"/>
      <c r="N734" s="440"/>
      <c r="O734" s="440"/>
      <c r="P734" s="492"/>
      <c r="Q734" s="148">
        <f t="shared" si="216"/>
        <v>0</v>
      </c>
      <c r="R734" s="440"/>
      <c r="S734" s="440"/>
      <c r="T734" s="148"/>
      <c r="U734" s="148"/>
      <c r="V734" s="330"/>
      <c r="W734" s="330"/>
      <c r="X734" s="58"/>
      <c r="Y734" s="334"/>
      <c r="Z734" s="334">
        <f t="shared" si="222"/>
        <v>0</v>
      </c>
      <c r="AA734" s="58"/>
      <c r="AB734" s="58"/>
    </row>
    <row r="735" spans="1:28" s="55" customFormat="1" ht="45">
      <c r="A735" s="19" t="s">
        <v>1145</v>
      </c>
      <c r="B735" s="20">
        <v>95795</v>
      </c>
      <c r="C735" s="19" t="s">
        <v>1707</v>
      </c>
      <c r="D735" s="21" t="s">
        <v>12</v>
      </c>
      <c r="E735" s="21" t="s">
        <v>17</v>
      </c>
      <c r="F735" s="22">
        <v>8</v>
      </c>
      <c r="G735" s="22">
        <f t="shared" si="218"/>
        <v>21.488</v>
      </c>
      <c r="H735" s="22">
        <f t="shared" ref="H735:H740" si="223">ROUND(G735*(1+$X$14),2)</f>
        <v>27.25</v>
      </c>
      <c r="I735" s="147">
        <f t="shared" ref="I735:I740" si="224">ROUND(H735*F735,2)</f>
        <v>218</v>
      </c>
      <c r="J735" s="148"/>
      <c r="K735" s="148"/>
      <c r="L735" s="148"/>
      <c r="M735" s="148">
        <v>23.94</v>
      </c>
      <c r="N735" s="148">
        <v>30.36</v>
      </c>
      <c r="O735" s="148">
        <v>242.88</v>
      </c>
      <c r="P735" s="494"/>
      <c r="Q735" s="148">
        <f t="shared" si="216"/>
        <v>0</v>
      </c>
      <c r="R735" s="148"/>
      <c r="S735" s="148">
        <f t="shared" ref="S735:S740" si="225">ROUND(R735*P735,2)</f>
        <v>0</v>
      </c>
      <c r="T735" s="148">
        <f t="shared" si="217"/>
        <v>8</v>
      </c>
      <c r="U735" s="148">
        <f t="shared" si="215"/>
        <v>242.88</v>
      </c>
      <c r="V735" s="379"/>
      <c r="W735" s="379"/>
      <c r="X735" s="57" t="e">
        <f>IF(B735&lt;&gt;0,VLOOKUP(B735,#REF!,4,FALSE),"")</f>
        <v>#REF!</v>
      </c>
      <c r="Y735" s="334" t="s">
        <v>3235</v>
      </c>
      <c r="Z735" s="334">
        <f t="shared" si="222"/>
        <v>171.904</v>
      </c>
      <c r="AA735" s="57"/>
      <c r="AB735" s="58" t="e">
        <f>IF(B735&lt;&gt;0,VLOOKUP(B735,#REF!,2,FALSE),"")</f>
        <v>#REF!</v>
      </c>
    </row>
    <row r="736" spans="1:28" s="55" customFormat="1" ht="45">
      <c r="A736" s="19" t="s">
        <v>1146</v>
      </c>
      <c r="B736" s="20">
        <v>95787</v>
      </c>
      <c r="C736" s="19" t="s">
        <v>1708</v>
      </c>
      <c r="D736" s="21" t="s">
        <v>12</v>
      </c>
      <c r="E736" s="21" t="s">
        <v>17</v>
      </c>
      <c r="F736" s="22">
        <v>17</v>
      </c>
      <c r="G736" s="22">
        <f t="shared" si="218"/>
        <v>18.614999999999998</v>
      </c>
      <c r="H736" s="22">
        <f t="shared" si="223"/>
        <v>23.61</v>
      </c>
      <c r="I736" s="147">
        <f t="shared" si="224"/>
        <v>401.37</v>
      </c>
      <c r="J736" s="148"/>
      <c r="K736" s="148"/>
      <c r="L736" s="148"/>
      <c r="M736" s="148">
        <v>20.74</v>
      </c>
      <c r="N736" s="148">
        <v>26.3</v>
      </c>
      <c r="O736" s="148">
        <v>447.1</v>
      </c>
      <c r="P736" s="494"/>
      <c r="Q736" s="148">
        <f t="shared" si="216"/>
        <v>0</v>
      </c>
      <c r="R736" s="148"/>
      <c r="S736" s="148">
        <f t="shared" si="225"/>
        <v>0</v>
      </c>
      <c r="T736" s="148">
        <f t="shared" si="217"/>
        <v>17</v>
      </c>
      <c r="U736" s="148">
        <f t="shared" si="215"/>
        <v>447.1</v>
      </c>
      <c r="V736" s="379"/>
      <c r="W736" s="379"/>
      <c r="X736" s="57" t="e">
        <f>IF(B736&lt;&gt;0,VLOOKUP(B736,#REF!,4,FALSE),"")</f>
        <v>#REF!</v>
      </c>
      <c r="Y736" s="334" t="s">
        <v>1887</v>
      </c>
      <c r="Z736" s="334">
        <f t="shared" si="222"/>
        <v>316.45499999999998</v>
      </c>
      <c r="AA736" s="57"/>
      <c r="AB736" s="58" t="e">
        <f>IF(B736&lt;&gt;0,VLOOKUP(B736,#REF!,2,FALSE),"")</f>
        <v>#REF!</v>
      </c>
    </row>
    <row r="737" spans="1:28" s="55" customFormat="1" ht="45">
      <c r="A737" s="19" t="s">
        <v>1147</v>
      </c>
      <c r="B737" s="20">
        <v>95779</v>
      </c>
      <c r="C737" s="19" t="s">
        <v>1710</v>
      </c>
      <c r="D737" s="21" t="s">
        <v>12</v>
      </c>
      <c r="E737" s="21" t="s">
        <v>17</v>
      </c>
      <c r="F737" s="22">
        <v>7</v>
      </c>
      <c r="G737" s="22">
        <f t="shared" si="218"/>
        <v>17.442</v>
      </c>
      <c r="H737" s="22">
        <f t="shared" si="223"/>
        <v>22.12</v>
      </c>
      <c r="I737" s="147">
        <f t="shared" si="224"/>
        <v>154.84</v>
      </c>
      <c r="J737" s="148"/>
      <c r="K737" s="148"/>
      <c r="L737" s="148"/>
      <c r="M737" s="148">
        <v>19.43</v>
      </c>
      <c r="N737" s="148">
        <v>24.64</v>
      </c>
      <c r="O737" s="148">
        <v>172.48</v>
      </c>
      <c r="P737" s="494"/>
      <c r="Q737" s="148">
        <f t="shared" si="216"/>
        <v>0</v>
      </c>
      <c r="R737" s="148"/>
      <c r="S737" s="148">
        <f t="shared" si="225"/>
        <v>0</v>
      </c>
      <c r="T737" s="148">
        <f t="shared" si="217"/>
        <v>7</v>
      </c>
      <c r="U737" s="148">
        <f t="shared" si="215"/>
        <v>172.48</v>
      </c>
      <c r="V737" s="379"/>
      <c r="W737" s="379"/>
      <c r="X737" s="57" t="e">
        <f>IF(B737&lt;&gt;0,VLOOKUP(B737,#REF!,4,FALSE),"")</f>
        <v>#REF!</v>
      </c>
      <c r="Y737" s="334" t="s">
        <v>1899</v>
      </c>
      <c r="Z737" s="334">
        <f t="shared" si="222"/>
        <v>122.09399999999999</v>
      </c>
      <c r="AA737" s="57"/>
      <c r="AB737" s="58" t="e">
        <f>IF(B737&lt;&gt;0,VLOOKUP(B737,#REF!,2,FALSE),"")</f>
        <v>#REF!</v>
      </c>
    </row>
    <row r="738" spans="1:28" s="55" customFormat="1" ht="45">
      <c r="A738" s="19" t="s">
        <v>1148</v>
      </c>
      <c r="B738" s="20">
        <v>95801</v>
      </c>
      <c r="C738" s="19" t="s">
        <v>1717</v>
      </c>
      <c r="D738" s="21" t="s">
        <v>12</v>
      </c>
      <c r="E738" s="21" t="s">
        <v>17</v>
      </c>
      <c r="F738" s="22">
        <v>2</v>
      </c>
      <c r="G738" s="22">
        <f t="shared" si="218"/>
        <v>26.137499999999999</v>
      </c>
      <c r="H738" s="22">
        <f t="shared" si="223"/>
        <v>33.14</v>
      </c>
      <c r="I738" s="147">
        <f t="shared" si="224"/>
        <v>66.28</v>
      </c>
      <c r="J738" s="148"/>
      <c r="K738" s="148"/>
      <c r="L738" s="148"/>
      <c r="M738" s="148">
        <v>29.12</v>
      </c>
      <c r="N738" s="148">
        <v>36.93</v>
      </c>
      <c r="O738" s="148">
        <v>73.86</v>
      </c>
      <c r="P738" s="494"/>
      <c r="Q738" s="148">
        <f t="shared" si="216"/>
        <v>0</v>
      </c>
      <c r="R738" s="148"/>
      <c r="S738" s="148">
        <f t="shared" si="225"/>
        <v>0</v>
      </c>
      <c r="T738" s="148">
        <f t="shared" si="217"/>
        <v>2</v>
      </c>
      <c r="U738" s="148">
        <f t="shared" si="215"/>
        <v>73.86</v>
      </c>
      <c r="V738" s="379"/>
      <c r="W738" s="379"/>
      <c r="X738" s="57" t="e">
        <f>IF(B738&lt;&gt;0,VLOOKUP(B738,#REF!,4,FALSE),"")</f>
        <v>#REF!</v>
      </c>
      <c r="Y738" s="334" t="s">
        <v>3027</v>
      </c>
      <c r="Z738" s="334">
        <f t="shared" si="222"/>
        <v>52.274999999999999</v>
      </c>
      <c r="AA738" s="57"/>
      <c r="AB738" s="58" t="e">
        <f>IF(B738&lt;&gt;0,VLOOKUP(B738,#REF!,2,FALSE),"")</f>
        <v>#REF!</v>
      </c>
    </row>
    <row r="739" spans="1:28" s="55" customFormat="1" ht="45">
      <c r="A739" s="19" t="s">
        <v>1149</v>
      </c>
      <c r="B739" s="20">
        <v>95778</v>
      </c>
      <c r="C739" s="19" t="s">
        <v>1709</v>
      </c>
      <c r="D739" s="21" t="s">
        <v>12</v>
      </c>
      <c r="E739" s="21" t="s">
        <v>17</v>
      </c>
      <c r="F739" s="22">
        <v>5</v>
      </c>
      <c r="G739" s="22">
        <f t="shared" si="218"/>
        <v>19.3035</v>
      </c>
      <c r="H739" s="22">
        <f t="shared" si="223"/>
        <v>24.48</v>
      </c>
      <c r="I739" s="147">
        <f t="shared" si="224"/>
        <v>122.4</v>
      </c>
      <c r="J739" s="148"/>
      <c r="K739" s="148"/>
      <c r="L739" s="148"/>
      <c r="M739" s="148">
        <v>21.5</v>
      </c>
      <c r="N739" s="148">
        <v>27.26</v>
      </c>
      <c r="O739" s="148">
        <v>136.30000000000001</v>
      </c>
      <c r="P739" s="494"/>
      <c r="Q739" s="148">
        <f t="shared" si="216"/>
        <v>0</v>
      </c>
      <c r="R739" s="148"/>
      <c r="S739" s="148">
        <f t="shared" si="225"/>
        <v>0</v>
      </c>
      <c r="T739" s="148">
        <f t="shared" si="217"/>
        <v>5</v>
      </c>
      <c r="U739" s="148">
        <f t="shared" si="215"/>
        <v>136.30000000000001</v>
      </c>
      <c r="V739" s="379"/>
      <c r="W739" s="379"/>
      <c r="X739" s="57" t="e">
        <f>IF(B739&lt;&gt;0,VLOOKUP(B739,#REF!,4,FALSE),"")</f>
        <v>#REF!</v>
      </c>
      <c r="Y739" s="334" t="s">
        <v>3134</v>
      </c>
      <c r="Z739" s="334">
        <f t="shared" si="222"/>
        <v>96.517499999999998</v>
      </c>
      <c r="AA739" s="57"/>
      <c r="AB739" s="58" t="e">
        <f>IF(B739&lt;&gt;0,VLOOKUP(B739,#REF!,2,FALSE),"")</f>
        <v>#REF!</v>
      </c>
    </row>
    <row r="740" spans="1:28" s="55" customFormat="1" ht="45">
      <c r="A740" s="19" t="s">
        <v>1150</v>
      </c>
      <c r="B740" s="20">
        <v>95796</v>
      </c>
      <c r="C740" s="19" t="s">
        <v>1691</v>
      </c>
      <c r="D740" s="21" t="s">
        <v>12</v>
      </c>
      <c r="E740" s="21" t="s">
        <v>17</v>
      </c>
      <c r="F740" s="22">
        <v>4</v>
      </c>
      <c r="G740" s="22">
        <f t="shared" si="218"/>
        <v>28.092499999999998</v>
      </c>
      <c r="H740" s="22">
        <f t="shared" si="223"/>
        <v>35.619999999999997</v>
      </c>
      <c r="I740" s="147">
        <f t="shared" si="224"/>
        <v>142.47999999999999</v>
      </c>
      <c r="J740" s="148"/>
      <c r="K740" s="148"/>
      <c r="L740" s="148"/>
      <c r="M740" s="148">
        <v>31.3</v>
      </c>
      <c r="N740" s="148">
        <v>39.69</v>
      </c>
      <c r="O740" s="148">
        <v>158.76</v>
      </c>
      <c r="P740" s="494"/>
      <c r="Q740" s="148">
        <f t="shared" si="216"/>
        <v>0</v>
      </c>
      <c r="R740" s="148"/>
      <c r="S740" s="148">
        <f t="shared" si="225"/>
        <v>0</v>
      </c>
      <c r="T740" s="148">
        <f t="shared" si="217"/>
        <v>4</v>
      </c>
      <c r="U740" s="148">
        <f t="shared" si="215"/>
        <v>158.76</v>
      </c>
      <c r="V740" s="379"/>
      <c r="W740" s="379"/>
      <c r="X740" s="57" t="e">
        <f>IF(B740&lt;&gt;0,VLOOKUP(B740,#REF!,4,FALSE),"")</f>
        <v>#REF!</v>
      </c>
      <c r="Y740" s="334" t="s">
        <v>3184</v>
      </c>
      <c r="Z740" s="334">
        <f t="shared" si="222"/>
        <v>112.36999999999999</v>
      </c>
      <c r="AA740" s="57"/>
      <c r="AB740" s="58" t="e">
        <f>IF(B740&lt;&gt;0,VLOOKUP(B740,#REF!,2,FALSE),"")</f>
        <v>#REF!</v>
      </c>
    </row>
    <row r="741" spans="1:28" s="55" customFormat="1" ht="15" customHeight="1">
      <c r="A741" s="229" t="s">
        <v>1151</v>
      </c>
      <c r="B741" s="229"/>
      <c r="C741" s="229" t="s">
        <v>209</v>
      </c>
      <c r="D741" s="230"/>
      <c r="E741" s="230"/>
      <c r="F741" s="230"/>
      <c r="G741" s="22"/>
      <c r="H741" s="230"/>
      <c r="I741" s="445"/>
      <c r="J741" s="440"/>
      <c r="K741" s="440"/>
      <c r="L741" s="440"/>
      <c r="M741" s="440"/>
      <c r="N741" s="440"/>
      <c r="O741" s="440"/>
      <c r="P741" s="492"/>
      <c r="Q741" s="148">
        <f t="shared" si="216"/>
        <v>0</v>
      </c>
      <c r="R741" s="440"/>
      <c r="S741" s="440"/>
      <c r="T741" s="148"/>
      <c r="U741" s="148"/>
      <c r="V741" s="330"/>
      <c r="W741" s="330"/>
      <c r="X741" s="58"/>
      <c r="Y741" s="334"/>
      <c r="Z741" s="334">
        <f t="shared" si="222"/>
        <v>0</v>
      </c>
      <c r="AA741" s="58"/>
      <c r="AB741" s="58"/>
    </row>
    <row r="742" spans="1:28" s="55" customFormat="1" ht="30">
      <c r="A742" s="19" t="s">
        <v>1152</v>
      </c>
      <c r="B742" s="20">
        <v>8697</v>
      </c>
      <c r="C742" s="19" t="s">
        <v>1762</v>
      </c>
      <c r="D742" s="21" t="s">
        <v>44</v>
      </c>
      <c r="E742" s="21" t="s">
        <v>17</v>
      </c>
      <c r="F742" s="22">
        <v>4</v>
      </c>
      <c r="G742" s="22">
        <f t="shared" si="218"/>
        <v>8.1940000000000008</v>
      </c>
      <c r="H742" s="22">
        <f>ROUND(G742*(1+$X$14),2)</f>
        <v>10.39</v>
      </c>
      <c r="I742" s="147">
        <f>ROUND(H742*F742,2)</f>
        <v>41.56</v>
      </c>
      <c r="J742" s="148"/>
      <c r="K742" s="148"/>
      <c r="L742" s="148"/>
      <c r="M742" s="148">
        <v>9.1300000000000008</v>
      </c>
      <c r="N742" s="148">
        <v>11.58</v>
      </c>
      <c r="O742" s="148">
        <v>46.32</v>
      </c>
      <c r="P742" s="494"/>
      <c r="Q742" s="148">
        <f t="shared" si="216"/>
        <v>0</v>
      </c>
      <c r="R742" s="148"/>
      <c r="S742" s="148">
        <f>ROUND(R742*P742,2)</f>
        <v>0</v>
      </c>
      <c r="T742" s="148">
        <f t="shared" si="217"/>
        <v>4</v>
      </c>
      <c r="U742" s="148">
        <f t="shared" si="215"/>
        <v>46.32</v>
      </c>
      <c r="V742" s="379"/>
      <c r="W742" s="379"/>
      <c r="X742" s="57">
        <f>'COMPOSIÇÃO DE CUSTOS'!G1202</f>
        <v>8.19</v>
      </c>
      <c r="Y742" s="334">
        <v>9.64</v>
      </c>
      <c r="Z742" s="334">
        <f t="shared" si="222"/>
        <v>32.776000000000003</v>
      </c>
      <c r="AA742" s="57"/>
      <c r="AB742" s="58"/>
    </row>
    <row r="743" spans="1:28" s="55" customFormat="1" ht="30">
      <c r="A743" s="19" t="s">
        <v>1153</v>
      </c>
      <c r="B743" s="20">
        <v>7384</v>
      </c>
      <c r="C743" s="19" t="s">
        <v>229</v>
      </c>
      <c r="D743" s="21" t="s">
        <v>44</v>
      </c>
      <c r="E743" s="21" t="s">
        <v>52</v>
      </c>
      <c r="F743" s="22">
        <v>2</v>
      </c>
      <c r="G743" s="22">
        <f t="shared" si="218"/>
        <v>19.244</v>
      </c>
      <c r="H743" s="22">
        <f>ROUND(G743*(1+$X$14),2)</f>
        <v>24.4</v>
      </c>
      <c r="I743" s="147">
        <f>ROUND(H743*F743,2)</f>
        <v>48.8</v>
      </c>
      <c r="J743" s="148"/>
      <c r="K743" s="148"/>
      <c r="L743" s="148"/>
      <c r="M743" s="148">
        <v>21.44</v>
      </c>
      <c r="N743" s="148">
        <v>27.19</v>
      </c>
      <c r="O743" s="148">
        <v>54.38</v>
      </c>
      <c r="P743" s="494"/>
      <c r="Q743" s="148">
        <f t="shared" si="216"/>
        <v>0</v>
      </c>
      <c r="R743" s="148"/>
      <c r="S743" s="148">
        <f>ROUND(R743*P743,2)</f>
        <v>0</v>
      </c>
      <c r="T743" s="148">
        <f t="shared" si="217"/>
        <v>2</v>
      </c>
      <c r="U743" s="148">
        <f t="shared" si="215"/>
        <v>54.38</v>
      </c>
      <c r="V743" s="379"/>
      <c r="W743" s="379"/>
      <c r="X743" s="57">
        <f>X703</f>
        <v>19.25</v>
      </c>
      <c r="Y743" s="334">
        <v>22.64</v>
      </c>
      <c r="Z743" s="334">
        <f t="shared" si="222"/>
        <v>38.488</v>
      </c>
      <c r="AA743" s="57"/>
      <c r="AB743" s="58"/>
    </row>
    <row r="744" spans="1:28" ht="26.25" customHeight="1">
      <c r="A744" s="19"/>
      <c r="B744" s="21"/>
      <c r="C744" s="19"/>
      <c r="D744" s="21"/>
      <c r="E744" s="21"/>
      <c r="F744" s="22"/>
      <c r="G744" s="22"/>
      <c r="H744" s="22"/>
      <c r="I744" s="446"/>
      <c r="J744" s="148"/>
      <c r="K744" s="148"/>
      <c r="L744" s="148"/>
      <c r="M744" s="148"/>
      <c r="N744" s="148"/>
      <c r="O744" s="148"/>
      <c r="P744" s="494"/>
      <c r="Q744" s="148"/>
      <c r="R744" s="148"/>
      <c r="S744" s="148"/>
      <c r="T744" s="148"/>
      <c r="U744" s="148"/>
      <c r="V744" s="379"/>
      <c r="W744" s="379"/>
      <c r="X744" s="30"/>
      <c r="Y744" s="337"/>
      <c r="Z744" s="334">
        <f t="shared" si="222"/>
        <v>0</v>
      </c>
      <c r="AA744" s="30"/>
      <c r="AB744" s="30"/>
    </row>
    <row r="745" spans="1:28" s="38" customFormat="1" ht="15" customHeight="1">
      <c r="A745" s="229" t="s">
        <v>1154</v>
      </c>
      <c r="B745" s="229"/>
      <c r="C745" s="229" t="s">
        <v>247</v>
      </c>
      <c r="D745" s="230"/>
      <c r="E745" s="230"/>
      <c r="F745" s="230"/>
      <c r="G745" s="22"/>
      <c r="H745" s="146"/>
      <c r="I745" s="472">
        <f>ROUND(SUM(I747:I804),2)</f>
        <v>223040.44</v>
      </c>
      <c r="J745" s="440"/>
      <c r="K745" s="440"/>
      <c r="L745" s="440"/>
      <c r="M745" s="440"/>
      <c r="N745" s="440"/>
      <c r="O745" s="440">
        <v>233829.73</v>
      </c>
      <c r="P745" s="492"/>
      <c r="Q745" s="440">
        <f>ROUND(SUM(Q747:Q804),2)</f>
        <v>0</v>
      </c>
      <c r="R745" s="440"/>
      <c r="S745" s="440">
        <f>ROUND(SUM(S747:S804),2)</f>
        <v>0</v>
      </c>
      <c r="T745" s="148"/>
      <c r="U745" s="440">
        <f t="shared" si="215"/>
        <v>233829.73</v>
      </c>
      <c r="V745" s="330"/>
      <c r="W745" s="330"/>
      <c r="X745" s="44"/>
      <c r="Y745" s="44"/>
      <c r="Z745" s="334">
        <f t="shared" si="222"/>
        <v>0</v>
      </c>
      <c r="AA745" s="44"/>
      <c r="AB745" s="45"/>
    </row>
    <row r="746" spans="1:28" s="55" customFormat="1" ht="15" customHeight="1">
      <c r="A746" s="229" t="s">
        <v>1155</v>
      </c>
      <c r="B746" s="229"/>
      <c r="C746" s="229" t="s">
        <v>248</v>
      </c>
      <c r="D746" s="230"/>
      <c r="E746" s="230"/>
      <c r="F746" s="230"/>
      <c r="G746" s="22"/>
      <c r="H746" s="146"/>
      <c r="I746" s="472"/>
      <c r="J746" s="440"/>
      <c r="K746" s="440"/>
      <c r="L746" s="440"/>
      <c r="M746" s="440"/>
      <c r="N746" s="440"/>
      <c r="O746" s="440"/>
      <c r="P746" s="492"/>
      <c r="Q746" s="440"/>
      <c r="R746" s="440"/>
      <c r="S746" s="440"/>
      <c r="T746" s="148"/>
      <c r="U746" s="148"/>
      <c r="V746" s="330"/>
      <c r="W746" s="330"/>
      <c r="X746" s="60"/>
      <c r="Y746" s="355"/>
      <c r="Z746" s="334">
        <f t="shared" si="222"/>
        <v>0</v>
      </c>
      <c r="AA746" s="60"/>
      <c r="AB746" s="58"/>
    </row>
    <row r="747" spans="1:28" s="55" customFormat="1" ht="49.5" customHeight="1">
      <c r="A747" s="19" t="s">
        <v>1156</v>
      </c>
      <c r="B747" s="20">
        <v>97585</v>
      </c>
      <c r="C747" s="19" t="s">
        <v>2507</v>
      </c>
      <c r="D747" s="21" t="s">
        <v>12</v>
      </c>
      <c r="E747" s="21" t="s">
        <v>17</v>
      </c>
      <c r="F747" s="22">
        <v>6</v>
      </c>
      <c r="G747" s="22">
        <f t="shared" si="218"/>
        <v>59.16</v>
      </c>
      <c r="H747" s="147">
        <f t="shared" ref="H747:H753" si="226">ROUND(G747*(1+$X$14),2)</f>
        <v>75.02</v>
      </c>
      <c r="I747" s="473">
        <f t="shared" ref="I747:I753" si="227">ROUND(H747*F747,2)</f>
        <v>450.12</v>
      </c>
      <c r="J747" s="148"/>
      <c r="K747" s="148"/>
      <c r="L747" s="148"/>
      <c r="M747" s="148">
        <v>65.900000000000006</v>
      </c>
      <c r="N747" s="148">
        <v>83.57</v>
      </c>
      <c r="O747" s="148">
        <v>501.42</v>
      </c>
      <c r="P747" s="494"/>
      <c r="Q747" s="148">
        <f t="shared" ref="Q747:Q804" si="228">ROUND(P747*N747,2)</f>
        <v>0</v>
      </c>
      <c r="R747" s="148"/>
      <c r="S747" s="148">
        <f t="shared" ref="S747:S753" si="229">ROUND(R747*P747,2)</f>
        <v>0</v>
      </c>
      <c r="T747" s="148">
        <f t="shared" ref="T747:T776" si="230">F747+P747-R747</f>
        <v>6</v>
      </c>
      <c r="U747" s="148">
        <f t="shared" si="215"/>
        <v>501.42</v>
      </c>
      <c r="V747" s="379"/>
      <c r="W747" s="379"/>
      <c r="X747" s="59" t="e">
        <f>IF(B747&lt;&gt;0,VLOOKUP(B747,#REF!,4,FALSE),"")</f>
        <v>#REF!</v>
      </c>
      <c r="Y747" s="355" t="s">
        <v>3254</v>
      </c>
      <c r="Z747" s="334">
        <f t="shared" si="222"/>
        <v>354.96</v>
      </c>
      <c r="AA747" s="59"/>
      <c r="AB747" s="58" t="e">
        <f>IF(B747&lt;&gt;0,VLOOKUP(B747,#REF!,2,FALSE),"")</f>
        <v>#REF!</v>
      </c>
    </row>
    <row r="748" spans="1:28" s="55" customFormat="1" ht="30">
      <c r="A748" s="19" t="s">
        <v>1157</v>
      </c>
      <c r="B748" s="20">
        <v>539</v>
      </c>
      <c r="C748" s="19" t="s">
        <v>1930</v>
      </c>
      <c r="D748" s="21" t="s">
        <v>44</v>
      </c>
      <c r="E748" s="21" t="s">
        <v>17</v>
      </c>
      <c r="F748" s="22">
        <v>203</v>
      </c>
      <c r="G748" s="22">
        <f t="shared" si="218"/>
        <v>189.26949999999999</v>
      </c>
      <c r="H748" s="22">
        <f t="shared" si="226"/>
        <v>240.01</v>
      </c>
      <c r="I748" s="474">
        <f t="shared" si="227"/>
        <v>48722.03</v>
      </c>
      <c r="J748" s="148"/>
      <c r="K748" s="148"/>
      <c r="L748" s="148"/>
      <c r="M748" s="148">
        <v>250.63</v>
      </c>
      <c r="N748" s="148">
        <v>317.82</v>
      </c>
      <c r="O748" s="148">
        <v>64517.46</v>
      </c>
      <c r="P748" s="494"/>
      <c r="Q748" s="148">
        <f t="shared" si="228"/>
        <v>0</v>
      </c>
      <c r="R748" s="148"/>
      <c r="S748" s="148">
        <f t="shared" si="229"/>
        <v>0</v>
      </c>
      <c r="T748" s="148">
        <f t="shared" si="230"/>
        <v>203</v>
      </c>
      <c r="U748" s="148">
        <f t="shared" si="215"/>
        <v>64517.46</v>
      </c>
      <c r="V748" s="379"/>
      <c r="W748" s="379"/>
      <c r="X748" s="57">
        <f>'COMPOSIÇÃO DE CUSTOS'!G1886</f>
        <v>189.27</v>
      </c>
      <c r="Y748" s="334">
        <v>222.67</v>
      </c>
      <c r="Z748" s="334">
        <f t="shared" si="222"/>
        <v>38421.708500000001</v>
      </c>
      <c r="AA748" s="57"/>
      <c r="AB748" s="58"/>
    </row>
    <row r="749" spans="1:28" s="55" customFormat="1" ht="30">
      <c r="A749" s="19" t="s">
        <v>1158</v>
      </c>
      <c r="B749" s="20">
        <v>38770</v>
      </c>
      <c r="C749" s="19" t="s">
        <v>2028</v>
      </c>
      <c r="D749" s="21" t="s">
        <v>1914</v>
      </c>
      <c r="E749" s="21" t="s">
        <v>17</v>
      </c>
      <c r="F749" s="22">
        <v>28</v>
      </c>
      <c r="G749" s="22">
        <f t="shared" si="218"/>
        <v>75.267499999999998</v>
      </c>
      <c r="H749" s="22">
        <f t="shared" si="226"/>
        <v>95.45</v>
      </c>
      <c r="I749" s="147">
        <f t="shared" si="227"/>
        <v>2672.6</v>
      </c>
      <c r="J749" s="148"/>
      <c r="K749" s="148"/>
      <c r="L749" s="148"/>
      <c r="M749" s="148">
        <v>83.85</v>
      </c>
      <c r="N749" s="148">
        <v>106.33</v>
      </c>
      <c r="O749" s="148">
        <v>2977.24</v>
      </c>
      <c r="P749" s="494"/>
      <c r="Q749" s="148">
        <f t="shared" si="228"/>
        <v>0</v>
      </c>
      <c r="R749" s="148"/>
      <c r="S749" s="148">
        <f t="shared" si="229"/>
        <v>0</v>
      </c>
      <c r="T749" s="148">
        <f t="shared" si="230"/>
        <v>28</v>
      </c>
      <c r="U749" s="148">
        <f t="shared" si="215"/>
        <v>2977.24</v>
      </c>
      <c r="V749" s="379"/>
      <c r="W749" s="379"/>
      <c r="X749" s="57">
        <f>'COMPOSIÇÃO DE CUSTOS'!G2207</f>
        <v>75.25</v>
      </c>
      <c r="Y749" s="334">
        <v>88.55</v>
      </c>
      <c r="Z749" s="334">
        <f t="shared" si="222"/>
        <v>2107.4899999999998</v>
      </c>
      <c r="AA749" s="57"/>
      <c r="AB749" s="58"/>
    </row>
    <row r="750" spans="1:28" s="55" customFormat="1" ht="30">
      <c r="A750" s="19" t="s">
        <v>1159</v>
      </c>
      <c r="B750" s="20">
        <v>11130</v>
      </c>
      <c r="C750" s="19" t="s">
        <v>249</v>
      </c>
      <c r="D750" s="21" t="s">
        <v>44</v>
      </c>
      <c r="E750" s="21" t="s">
        <v>17</v>
      </c>
      <c r="F750" s="22">
        <v>20</v>
      </c>
      <c r="G750" s="22">
        <f t="shared" si="218"/>
        <v>78.540000000000006</v>
      </c>
      <c r="H750" s="22">
        <f t="shared" si="226"/>
        <v>99.6</v>
      </c>
      <c r="I750" s="147">
        <f t="shared" si="227"/>
        <v>1992</v>
      </c>
      <c r="J750" s="148"/>
      <c r="K750" s="148"/>
      <c r="L750" s="148"/>
      <c r="M750" s="148">
        <v>87.49</v>
      </c>
      <c r="N750" s="148">
        <v>110.95</v>
      </c>
      <c r="O750" s="148">
        <v>2219</v>
      </c>
      <c r="P750" s="494"/>
      <c r="Q750" s="148">
        <f t="shared" si="228"/>
        <v>0</v>
      </c>
      <c r="R750" s="148"/>
      <c r="S750" s="148">
        <f t="shared" si="229"/>
        <v>0</v>
      </c>
      <c r="T750" s="148">
        <f t="shared" si="230"/>
        <v>20</v>
      </c>
      <c r="U750" s="148">
        <f t="shared" si="215"/>
        <v>2219</v>
      </c>
      <c r="V750" s="379"/>
      <c r="W750" s="379"/>
      <c r="X750" s="57">
        <f>'COMPOSIÇÃO DE CUSTOS'!G1385</f>
        <v>78.540000000000006</v>
      </c>
      <c r="Y750" s="334">
        <v>92.4</v>
      </c>
      <c r="Z750" s="334">
        <f t="shared" si="222"/>
        <v>1570.8000000000002</v>
      </c>
      <c r="AA750" s="57"/>
      <c r="AB750" s="58"/>
    </row>
    <row r="751" spans="1:28" s="55" customFormat="1" ht="60">
      <c r="A751" s="19" t="s">
        <v>2545</v>
      </c>
      <c r="B751" s="20">
        <v>10481</v>
      </c>
      <c r="C751" s="19" t="s">
        <v>2560</v>
      </c>
      <c r="D751" s="21" t="s">
        <v>44</v>
      </c>
      <c r="E751" s="21" t="s">
        <v>17</v>
      </c>
      <c r="F751" s="22">
        <v>8</v>
      </c>
      <c r="G751" s="22">
        <f t="shared" si="218"/>
        <v>4385.0479999999998</v>
      </c>
      <c r="H751" s="22">
        <f t="shared" si="226"/>
        <v>5560.68</v>
      </c>
      <c r="I751" s="147">
        <f t="shared" si="227"/>
        <v>44485.440000000002</v>
      </c>
      <c r="J751" s="148"/>
      <c r="K751" s="148"/>
      <c r="L751" s="148"/>
      <c r="M751" s="148">
        <v>960.47</v>
      </c>
      <c r="N751" s="148">
        <v>1217.97</v>
      </c>
      <c r="O751" s="148">
        <v>9743.76</v>
      </c>
      <c r="P751" s="494"/>
      <c r="Q751" s="148">
        <f t="shared" si="228"/>
        <v>0</v>
      </c>
      <c r="R751" s="148"/>
      <c r="S751" s="148">
        <f t="shared" si="229"/>
        <v>0</v>
      </c>
      <c r="T751" s="148">
        <f t="shared" si="230"/>
        <v>8</v>
      </c>
      <c r="U751" s="148">
        <f t="shared" si="215"/>
        <v>9743.76</v>
      </c>
      <c r="V751" s="379"/>
      <c r="W751" s="379"/>
      <c r="X751" s="57">
        <f>'COMPOSIÇÃO DE CUSTOS'!G2272</f>
        <v>4385.05</v>
      </c>
      <c r="Y751" s="334">
        <v>5158.88</v>
      </c>
      <c r="Z751" s="334">
        <f t="shared" si="222"/>
        <v>35080.383999999998</v>
      </c>
      <c r="AA751" s="57"/>
      <c r="AB751" s="58"/>
    </row>
    <row r="752" spans="1:28" s="55" customFormat="1" ht="50.25" customHeight="1">
      <c r="A752" s="19" t="s">
        <v>2546</v>
      </c>
      <c r="B752" s="20">
        <v>97608</v>
      </c>
      <c r="C752" s="19" t="s">
        <v>2577</v>
      </c>
      <c r="D752" s="21" t="s">
        <v>12</v>
      </c>
      <c r="E752" s="21" t="s">
        <v>17</v>
      </c>
      <c r="F752" s="22">
        <v>17</v>
      </c>
      <c r="G752" s="22">
        <f t="shared" si="218"/>
        <v>63.537500000000001</v>
      </c>
      <c r="H752" s="22">
        <f t="shared" si="226"/>
        <v>80.569999999999993</v>
      </c>
      <c r="I752" s="147">
        <f t="shared" si="227"/>
        <v>1369.69</v>
      </c>
      <c r="J752" s="148"/>
      <c r="K752" s="148"/>
      <c r="L752" s="148"/>
      <c r="M752" s="148">
        <v>70.78</v>
      </c>
      <c r="N752" s="148">
        <v>89.76</v>
      </c>
      <c r="O752" s="148">
        <v>1525.92</v>
      </c>
      <c r="P752" s="494"/>
      <c r="Q752" s="148">
        <f t="shared" si="228"/>
        <v>0</v>
      </c>
      <c r="R752" s="148"/>
      <c r="S752" s="148">
        <f t="shared" si="229"/>
        <v>0</v>
      </c>
      <c r="T752" s="148">
        <f t="shared" si="230"/>
        <v>17</v>
      </c>
      <c r="U752" s="148">
        <f t="shared" si="215"/>
        <v>1525.92</v>
      </c>
      <c r="V752" s="379"/>
      <c r="W752" s="379"/>
      <c r="X752" s="57" t="e">
        <f>IF(B752&lt;&gt;0,VLOOKUP(B752,#REF!,4,FALSE),"")</f>
        <v>#REF!</v>
      </c>
      <c r="Y752" s="334" t="s">
        <v>3256</v>
      </c>
      <c r="Z752" s="334">
        <f t="shared" si="222"/>
        <v>1080.1375</v>
      </c>
      <c r="AA752" s="57"/>
      <c r="AB752" s="58" t="e">
        <f>IF(B752&lt;&gt;0,VLOOKUP(B752,#REF!,2,FALSE),"")</f>
        <v>#REF!</v>
      </c>
    </row>
    <row r="753" spans="1:28" s="55" customFormat="1" ht="60">
      <c r="A753" s="19" t="s">
        <v>2547</v>
      </c>
      <c r="B753" s="21" t="s">
        <v>2409</v>
      </c>
      <c r="C753" s="19" t="s">
        <v>250</v>
      </c>
      <c r="D753" s="21" t="s">
        <v>1914</v>
      </c>
      <c r="E753" s="21" t="s">
        <v>17</v>
      </c>
      <c r="F753" s="22">
        <v>14</v>
      </c>
      <c r="G753" s="22">
        <f t="shared" si="218"/>
        <v>585.04649999999992</v>
      </c>
      <c r="H753" s="22">
        <f t="shared" si="226"/>
        <v>741.9</v>
      </c>
      <c r="I753" s="147">
        <f t="shared" si="227"/>
        <v>10386.6</v>
      </c>
      <c r="J753" s="148"/>
      <c r="K753" s="148"/>
      <c r="L753" s="148"/>
      <c r="M753" s="148">
        <v>651.75</v>
      </c>
      <c r="N753" s="148">
        <v>826.48</v>
      </c>
      <c r="O753" s="148">
        <v>11570.72</v>
      </c>
      <c r="P753" s="494"/>
      <c r="Q753" s="148">
        <f t="shared" si="228"/>
        <v>0</v>
      </c>
      <c r="R753" s="148"/>
      <c r="S753" s="148">
        <f t="shared" si="229"/>
        <v>0</v>
      </c>
      <c r="T753" s="148">
        <f t="shared" si="230"/>
        <v>14</v>
      </c>
      <c r="U753" s="148">
        <f t="shared" ref="U753:U816" si="231">O753+Q753-S753+L753</f>
        <v>11570.72</v>
      </c>
      <c r="V753" s="379"/>
      <c r="W753" s="379"/>
      <c r="X753" s="57">
        <f>'COMPOSIÇÃO DE CUSTOS'!G1393</f>
        <v>585.03</v>
      </c>
      <c r="Y753" s="334">
        <v>688.29</v>
      </c>
      <c r="Z753" s="334">
        <f t="shared" si="222"/>
        <v>8190.6509999999989</v>
      </c>
      <c r="AA753" s="57"/>
      <c r="AB753" s="58"/>
    </row>
    <row r="754" spans="1:28" s="55" customFormat="1" ht="15" customHeight="1">
      <c r="A754" s="229" t="s">
        <v>1160</v>
      </c>
      <c r="B754" s="229"/>
      <c r="C754" s="229" t="s">
        <v>193</v>
      </c>
      <c r="D754" s="230"/>
      <c r="E754" s="230"/>
      <c r="F754" s="230"/>
      <c r="G754" s="22"/>
      <c r="H754" s="230"/>
      <c r="I754" s="445"/>
      <c r="J754" s="440"/>
      <c r="K754" s="440"/>
      <c r="L754" s="440"/>
      <c r="M754" s="440"/>
      <c r="N754" s="440"/>
      <c r="O754" s="440"/>
      <c r="P754" s="492"/>
      <c r="Q754" s="148">
        <f t="shared" si="228"/>
        <v>0</v>
      </c>
      <c r="R754" s="440"/>
      <c r="S754" s="440"/>
      <c r="T754" s="148"/>
      <c r="U754" s="148"/>
      <c r="V754" s="330"/>
      <c r="W754" s="330"/>
      <c r="X754" s="58"/>
      <c r="Y754" s="334"/>
      <c r="Z754" s="334">
        <f t="shared" si="222"/>
        <v>0</v>
      </c>
      <c r="AA754" s="58"/>
      <c r="AB754" s="58"/>
    </row>
    <row r="755" spans="1:28" s="55" customFormat="1" ht="45">
      <c r="A755" s="19" t="s">
        <v>1161</v>
      </c>
      <c r="B755" s="20">
        <v>91863</v>
      </c>
      <c r="C755" s="19" t="s">
        <v>1692</v>
      </c>
      <c r="D755" s="21" t="s">
        <v>12</v>
      </c>
      <c r="E755" s="21" t="s">
        <v>52</v>
      </c>
      <c r="F755" s="22">
        <v>1243</v>
      </c>
      <c r="G755" s="22">
        <f t="shared" si="218"/>
        <v>6.8849999999999998</v>
      </c>
      <c r="H755" s="22">
        <f t="shared" ref="H755:H772" si="232">ROUND(G755*(1+$X$14),2)</f>
        <v>8.73</v>
      </c>
      <c r="I755" s="147">
        <f t="shared" ref="I755:I772" si="233">ROUND(H755*F755,2)</f>
        <v>10851.39</v>
      </c>
      <c r="J755" s="148"/>
      <c r="K755" s="148"/>
      <c r="L755" s="148"/>
      <c r="M755" s="148">
        <v>7.67</v>
      </c>
      <c r="N755" s="148">
        <v>9.73</v>
      </c>
      <c r="O755" s="148">
        <v>12094.39</v>
      </c>
      <c r="P755" s="494"/>
      <c r="Q755" s="148">
        <f t="shared" si="228"/>
        <v>0</v>
      </c>
      <c r="R755" s="148"/>
      <c r="S755" s="148">
        <f t="shared" ref="S755:S772" si="234">ROUND(R755*P755,2)</f>
        <v>0</v>
      </c>
      <c r="T755" s="148">
        <f t="shared" si="230"/>
        <v>1243</v>
      </c>
      <c r="U755" s="148">
        <f t="shared" si="231"/>
        <v>12094.39</v>
      </c>
      <c r="V755" s="379"/>
      <c r="W755" s="379"/>
      <c r="X755" s="57" t="e">
        <f>IF(B755&lt;&gt;0,VLOOKUP(B755,#REF!,4,FALSE),"")</f>
        <v>#REF!</v>
      </c>
      <c r="Y755" s="334" t="s">
        <v>1885</v>
      </c>
      <c r="Z755" s="334">
        <f t="shared" si="222"/>
        <v>8558.0550000000003</v>
      </c>
      <c r="AA755" s="57"/>
      <c r="AB755" s="58" t="e">
        <f>IF(B755&lt;&gt;0,VLOOKUP(B755,#REF!,2,FALSE),"")</f>
        <v>#REF!</v>
      </c>
    </row>
    <row r="756" spans="1:28" s="55" customFormat="1" ht="60">
      <c r="A756" s="19" t="s">
        <v>1162</v>
      </c>
      <c r="B756" s="20">
        <v>91890</v>
      </c>
      <c r="C756" s="19" t="s">
        <v>1693</v>
      </c>
      <c r="D756" s="21" t="s">
        <v>12</v>
      </c>
      <c r="E756" s="21" t="s">
        <v>17</v>
      </c>
      <c r="F756" s="22">
        <v>314</v>
      </c>
      <c r="G756" s="22">
        <f t="shared" si="218"/>
        <v>6.375</v>
      </c>
      <c r="H756" s="22">
        <f t="shared" si="232"/>
        <v>8.08</v>
      </c>
      <c r="I756" s="147">
        <f t="shared" si="233"/>
        <v>2537.12</v>
      </c>
      <c r="J756" s="148"/>
      <c r="K756" s="148"/>
      <c r="L756" s="148"/>
      <c r="M756" s="148">
        <v>7.1</v>
      </c>
      <c r="N756" s="148">
        <v>9</v>
      </c>
      <c r="O756" s="148">
        <v>2826</v>
      </c>
      <c r="P756" s="494"/>
      <c r="Q756" s="148">
        <f t="shared" si="228"/>
        <v>0</v>
      </c>
      <c r="R756" s="148"/>
      <c r="S756" s="148">
        <f t="shared" si="234"/>
        <v>0</v>
      </c>
      <c r="T756" s="148">
        <f t="shared" si="230"/>
        <v>314</v>
      </c>
      <c r="U756" s="148">
        <f t="shared" si="231"/>
        <v>2826</v>
      </c>
      <c r="V756" s="379"/>
      <c r="W756" s="379"/>
      <c r="X756" s="57" t="e">
        <f>IF(B756&lt;&gt;0,VLOOKUP(B756,#REF!,4,FALSE),"")</f>
        <v>#REF!</v>
      </c>
      <c r="Y756" s="334" t="s">
        <v>3222</v>
      </c>
      <c r="Z756" s="334">
        <f t="shared" si="222"/>
        <v>2001.75</v>
      </c>
      <c r="AA756" s="57"/>
      <c r="AB756" s="58" t="e">
        <f>IF(B756&lt;&gt;0,VLOOKUP(B756,#REF!,2,FALSE),"")</f>
        <v>#REF!</v>
      </c>
    </row>
    <row r="757" spans="1:28" s="55" customFormat="1" ht="45">
      <c r="A757" s="19" t="s">
        <v>1163</v>
      </c>
      <c r="B757" s="20">
        <v>91875</v>
      </c>
      <c r="C757" s="19" t="s">
        <v>1694</v>
      </c>
      <c r="D757" s="21" t="s">
        <v>12</v>
      </c>
      <c r="E757" s="21" t="s">
        <v>17</v>
      </c>
      <c r="F757" s="22">
        <v>1042</v>
      </c>
      <c r="G757" s="22">
        <f t="shared" si="218"/>
        <v>3.7654999999999998</v>
      </c>
      <c r="H757" s="22">
        <f t="shared" si="232"/>
        <v>4.78</v>
      </c>
      <c r="I757" s="147">
        <f t="shared" si="233"/>
        <v>4980.76</v>
      </c>
      <c r="J757" s="148"/>
      <c r="K757" s="148"/>
      <c r="L757" s="148"/>
      <c r="M757" s="148">
        <v>4.1900000000000004</v>
      </c>
      <c r="N757" s="148">
        <v>5.31</v>
      </c>
      <c r="O757" s="148">
        <v>5533.02</v>
      </c>
      <c r="P757" s="494"/>
      <c r="Q757" s="148">
        <f t="shared" si="228"/>
        <v>0</v>
      </c>
      <c r="R757" s="148"/>
      <c r="S757" s="148">
        <f t="shared" si="234"/>
        <v>0</v>
      </c>
      <c r="T757" s="148">
        <f t="shared" si="230"/>
        <v>1042</v>
      </c>
      <c r="U757" s="148">
        <f t="shared" si="231"/>
        <v>5533.02</v>
      </c>
      <c r="V757" s="379"/>
      <c r="W757" s="379"/>
      <c r="X757" s="57" t="e">
        <f>IF(B757&lt;&gt;0,VLOOKUP(B757,#REF!,4,FALSE),"")</f>
        <v>#REF!</v>
      </c>
      <c r="Y757" s="334" t="s">
        <v>1864</v>
      </c>
      <c r="Z757" s="334">
        <f t="shared" si="222"/>
        <v>3923.6509999999998</v>
      </c>
      <c r="AA757" s="57"/>
      <c r="AB757" s="58" t="e">
        <f>IF(B757&lt;&gt;0,VLOOKUP(B757,#REF!,2,FALSE),"")</f>
        <v>#REF!</v>
      </c>
    </row>
    <row r="758" spans="1:28" s="55" customFormat="1" ht="45">
      <c r="A758" s="19" t="s">
        <v>1164</v>
      </c>
      <c r="B758" s="20">
        <v>91871</v>
      </c>
      <c r="C758" s="19" t="s">
        <v>1695</v>
      </c>
      <c r="D758" s="21" t="s">
        <v>12</v>
      </c>
      <c r="E758" s="21" t="s">
        <v>52</v>
      </c>
      <c r="F758" s="22">
        <v>745</v>
      </c>
      <c r="G758" s="22">
        <f t="shared" si="218"/>
        <v>7.3949999999999996</v>
      </c>
      <c r="H758" s="22">
        <f t="shared" si="232"/>
        <v>9.3800000000000008</v>
      </c>
      <c r="I758" s="147">
        <f t="shared" si="233"/>
        <v>6988.1</v>
      </c>
      <c r="J758" s="148"/>
      <c r="K758" s="148"/>
      <c r="L758" s="148"/>
      <c r="M758" s="148">
        <v>8.24</v>
      </c>
      <c r="N758" s="148">
        <v>10.45</v>
      </c>
      <c r="O758" s="148">
        <v>7785.25</v>
      </c>
      <c r="P758" s="494"/>
      <c r="Q758" s="148">
        <f t="shared" si="228"/>
        <v>0</v>
      </c>
      <c r="R758" s="148"/>
      <c r="S758" s="148">
        <f t="shared" si="234"/>
        <v>0</v>
      </c>
      <c r="T758" s="148">
        <f t="shared" si="230"/>
        <v>745</v>
      </c>
      <c r="U758" s="148">
        <f t="shared" si="231"/>
        <v>7785.25</v>
      </c>
      <c r="V758" s="379"/>
      <c r="W758" s="379"/>
      <c r="X758" s="57" t="e">
        <f>IF(B758&lt;&gt;0,VLOOKUP(B758,#REF!,4,FALSE),"")</f>
        <v>#REF!</v>
      </c>
      <c r="Y758" s="334" t="s">
        <v>2647</v>
      </c>
      <c r="Z758" s="334">
        <f t="shared" si="222"/>
        <v>5509.2749999999996</v>
      </c>
      <c r="AA758" s="57"/>
      <c r="AB758" s="58" t="e">
        <f>IF(B758&lt;&gt;0,VLOOKUP(B758,#REF!,2,FALSE),"")</f>
        <v>#REF!</v>
      </c>
    </row>
    <row r="759" spans="1:28" s="55" customFormat="1" ht="60">
      <c r="A759" s="19" t="s">
        <v>1165</v>
      </c>
      <c r="B759" s="20">
        <v>91914</v>
      </c>
      <c r="C759" s="19" t="s">
        <v>1696</v>
      </c>
      <c r="D759" s="21" t="s">
        <v>12</v>
      </c>
      <c r="E759" s="21" t="s">
        <v>17</v>
      </c>
      <c r="F759" s="22">
        <v>249</v>
      </c>
      <c r="G759" s="22">
        <f t="shared" si="218"/>
        <v>8.5084999999999997</v>
      </c>
      <c r="H759" s="22">
        <f t="shared" si="232"/>
        <v>10.79</v>
      </c>
      <c r="I759" s="147">
        <f t="shared" si="233"/>
        <v>2686.71</v>
      </c>
      <c r="J759" s="148"/>
      <c r="K759" s="148"/>
      <c r="L759" s="148"/>
      <c r="M759" s="148">
        <v>9.48</v>
      </c>
      <c r="N759" s="148">
        <v>12.02</v>
      </c>
      <c r="O759" s="148">
        <v>2992.98</v>
      </c>
      <c r="P759" s="494"/>
      <c r="Q759" s="148">
        <f t="shared" si="228"/>
        <v>0</v>
      </c>
      <c r="R759" s="148"/>
      <c r="S759" s="148">
        <f t="shared" si="234"/>
        <v>0</v>
      </c>
      <c r="T759" s="148">
        <f t="shared" si="230"/>
        <v>249</v>
      </c>
      <c r="U759" s="148">
        <f t="shared" si="231"/>
        <v>2992.98</v>
      </c>
      <c r="V759" s="379"/>
      <c r="W759" s="379"/>
      <c r="X759" s="57" t="e">
        <f>IF(B759&lt;&gt;0,VLOOKUP(B759,#REF!,4,FALSE),"")</f>
        <v>#REF!</v>
      </c>
      <c r="Y759" s="334" t="s">
        <v>1907</v>
      </c>
      <c r="Z759" s="334">
        <f t="shared" si="222"/>
        <v>2118.6165000000001</v>
      </c>
      <c r="AA759" s="57"/>
      <c r="AB759" s="58" t="e">
        <f>IF(B759&lt;&gt;0,VLOOKUP(B759,#REF!,2,FALSE),"")</f>
        <v>#REF!</v>
      </c>
    </row>
    <row r="760" spans="1:28" s="55" customFormat="1" ht="45">
      <c r="A760" s="19" t="s">
        <v>1166</v>
      </c>
      <c r="B760" s="20">
        <v>91884</v>
      </c>
      <c r="C760" s="19" t="s">
        <v>1697</v>
      </c>
      <c r="D760" s="21" t="s">
        <v>12</v>
      </c>
      <c r="E760" s="21" t="s">
        <v>17</v>
      </c>
      <c r="F760" s="22">
        <v>747</v>
      </c>
      <c r="G760" s="22">
        <f t="shared" si="218"/>
        <v>5.1849999999999996</v>
      </c>
      <c r="H760" s="22">
        <f t="shared" si="232"/>
        <v>6.58</v>
      </c>
      <c r="I760" s="147">
        <f t="shared" si="233"/>
        <v>4915.26</v>
      </c>
      <c r="J760" s="148"/>
      <c r="K760" s="148"/>
      <c r="L760" s="148"/>
      <c r="M760" s="148">
        <v>5.78</v>
      </c>
      <c r="N760" s="148">
        <v>7.33</v>
      </c>
      <c r="O760" s="148">
        <v>5475.51</v>
      </c>
      <c r="P760" s="494"/>
      <c r="Q760" s="148">
        <f t="shared" si="228"/>
        <v>0</v>
      </c>
      <c r="R760" s="148"/>
      <c r="S760" s="148">
        <f t="shared" si="234"/>
        <v>0</v>
      </c>
      <c r="T760" s="148">
        <f t="shared" si="230"/>
        <v>747</v>
      </c>
      <c r="U760" s="148">
        <f t="shared" si="231"/>
        <v>5475.51</v>
      </c>
      <c r="V760" s="379"/>
      <c r="W760" s="379"/>
      <c r="X760" s="57" t="e">
        <f>IF(B760&lt;&gt;0,VLOOKUP(B760,#REF!,4,FALSE),"")</f>
        <v>#REF!</v>
      </c>
      <c r="Y760" s="334" t="s">
        <v>3138</v>
      </c>
      <c r="Z760" s="334">
        <f t="shared" si="222"/>
        <v>3873.1949999999997</v>
      </c>
      <c r="AA760" s="57"/>
      <c r="AB760" s="58" t="e">
        <f>IF(B760&lt;&gt;0,VLOOKUP(B760,#REF!,2,FALSE),"")</f>
        <v>#REF!</v>
      </c>
    </row>
    <row r="761" spans="1:28" s="55" customFormat="1" ht="30">
      <c r="A761" s="19" t="s">
        <v>1167</v>
      </c>
      <c r="B761" s="20">
        <v>723</v>
      </c>
      <c r="C761" s="19" t="s">
        <v>235</v>
      </c>
      <c r="D761" s="21" t="s">
        <v>44</v>
      </c>
      <c r="E761" s="21" t="s">
        <v>17</v>
      </c>
      <c r="F761" s="22">
        <v>81</v>
      </c>
      <c r="G761" s="22">
        <f t="shared" si="218"/>
        <v>3.4085000000000001</v>
      </c>
      <c r="H761" s="22">
        <f t="shared" si="232"/>
        <v>4.32</v>
      </c>
      <c r="I761" s="147">
        <f t="shared" si="233"/>
        <v>349.92</v>
      </c>
      <c r="J761" s="148"/>
      <c r="K761" s="148"/>
      <c r="L761" s="148"/>
      <c r="M761" s="148">
        <v>3.8</v>
      </c>
      <c r="N761" s="148">
        <v>4.82</v>
      </c>
      <c r="O761" s="148">
        <v>390.42</v>
      </c>
      <c r="P761" s="494"/>
      <c r="Q761" s="148">
        <f t="shared" si="228"/>
        <v>0</v>
      </c>
      <c r="R761" s="148"/>
      <c r="S761" s="148">
        <f t="shared" si="234"/>
        <v>0</v>
      </c>
      <c r="T761" s="148">
        <f t="shared" si="230"/>
        <v>81</v>
      </c>
      <c r="U761" s="148">
        <f t="shared" si="231"/>
        <v>390.42</v>
      </c>
      <c r="V761" s="379"/>
      <c r="W761" s="379"/>
      <c r="X761" s="57">
        <f>'COMPOSIÇÃO DE CUSTOS'!G1307</f>
        <v>3.41</v>
      </c>
      <c r="Y761" s="334">
        <v>4.01</v>
      </c>
      <c r="Z761" s="334">
        <f t="shared" si="222"/>
        <v>276.08850000000001</v>
      </c>
      <c r="AA761" s="57"/>
      <c r="AB761" s="58"/>
    </row>
    <row r="762" spans="1:28" s="55" customFormat="1" ht="30">
      <c r="A762" s="19" t="s">
        <v>1168</v>
      </c>
      <c r="B762" s="20">
        <v>91864</v>
      </c>
      <c r="C762" s="19" t="s">
        <v>194</v>
      </c>
      <c r="D762" s="21" t="s">
        <v>12</v>
      </c>
      <c r="E762" s="21" t="s">
        <v>52</v>
      </c>
      <c r="F762" s="22">
        <v>72</v>
      </c>
      <c r="G762" s="22">
        <f t="shared" si="218"/>
        <v>9.1204999999999998</v>
      </c>
      <c r="H762" s="22">
        <f t="shared" si="232"/>
        <v>11.57</v>
      </c>
      <c r="I762" s="147">
        <f t="shared" si="233"/>
        <v>833.04</v>
      </c>
      <c r="J762" s="148"/>
      <c r="K762" s="148"/>
      <c r="L762" s="148"/>
      <c r="M762" s="148">
        <v>10.16</v>
      </c>
      <c r="N762" s="148">
        <v>12.88</v>
      </c>
      <c r="O762" s="148">
        <v>927.36</v>
      </c>
      <c r="P762" s="494"/>
      <c r="Q762" s="148">
        <f t="shared" si="228"/>
        <v>0</v>
      </c>
      <c r="R762" s="148"/>
      <c r="S762" s="148">
        <f t="shared" si="234"/>
        <v>0</v>
      </c>
      <c r="T762" s="148">
        <f t="shared" si="230"/>
        <v>72</v>
      </c>
      <c r="U762" s="148">
        <f t="shared" si="231"/>
        <v>927.36</v>
      </c>
      <c r="V762" s="379"/>
      <c r="W762" s="379"/>
      <c r="X762" s="57" t="e">
        <f>IF(B762&lt;&gt;0,VLOOKUP(B762,#REF!,4,FALSE),"")</f>
        <v>#REF!</v>
      </c>
      <c r="Y762" s="334" t="s">
        <v>1836</v>
      </c>
      <c r="Z762" s="334">
        <f t="shared" si="222"/>
        <v>656.67599999999993</v>
      </c>
      <c r="AA762" s="57"/>
      <c r="AB762" s="58" t="e">
        <f>IF(B762&lt;&gt;0,VLOOKUP(B762,#REF!,2,FALSE),"")</f>
        <v>#REF!</v>
      </c>
    </row>
    <row r="763" spans="1:28" s="55" customFormat="1" ht="30">
      <c r="A763" s="19" t="s">
        <v>1169</v>
      </c>
      <c r="B763" s="20">
        <v>91876</v>
      </c>
      <c r="C763" s="19" t="s">
        <v>195</v>
      </c>
      <c r="D763" s="21" t="s">
        <v>12</v>
      </c>
      <c r="E763" s="21" t="s">
        <v>17</v>
      </c>
      <c r="F763" s="22">
        <v>24</v>
      </c>
      <c r="G763" s="22">
        <f t="shared" si="218"/>
        <v>4.9980000000000002</v>
      </c>
      <c r="H763" s="22">
        <f t="shared" si="232"/>
        <v>6.34</v>
      </c>
      <c r="I763" s="147">
        <f t="shared" si="233"/>
        <v>152.16</v>
      </c>
      <c r="J763" s="148"/>
      <c r="K763" s="148"/>
      <c r="L763" s="148"/>
      <c r="M763" s="148">
        <v>5.57</v>
      </c>
      <c r="N763" s="148">
        <v>7.06</v>
      </c>
      <c r="O763" s="148">
        <v>169.44</v>
      </c>
      <c r="P763" s="494"/>
      <c r="Q763" s="148">
        <f t="shared" si="228"/>
        <v>0</v>
      </c>
      <c r="R763" s="148"/>
      <c r="S763" s="148">
        <f t="shared" si="234"/>
        <v>0</v>
      </c>
      <c r="T763" s="148">
        <f t="shared" si="230"/>
        <v>24</v>
      </c>
      <c r="U763" s="148">
        <f t="shared" si="231"/>
        <v>169.44</v>
      </c>
      <c r="V763" s="379"/>
      <c r="W763" s="379"/>
      <c r="X763" s="57" t="e">
        <f>IF(B763&lt;&gt;0,VLOOKUP(B763,#REF!,4,FALSE),"")</f>
        <v>#REF!</v>
      </c>
      <c r="Y763" s="334" t="s">
        <v>3191</v>
      </c>
      <c r="Z763" s="334">
        <f t="shared" si="222"/>
        <v>119.952</v>
      </c>
      <c r="AA763" s="57"/>
      <c r="AB763" s="58" t="e">
        <f>IF(B763&lt;&gt;0,VLOOKUP(B763,#REF!,2,FALSE),"")</f>
        <v>#REF!</v>
      </c>
    </row>
    <row r="764" spans="1:28" s="55" customFormat="1" ht="30">
      <c r="A764" s="19" t="s">
        <v>1170</v>
      </c>
      <c r="B764" s="21" t="s">
        <v>2310</v>
      </c>
      <c r="C764" s="19" t="s">
        <v>244</v>
      </c>
      <c r="D764" s="21" t="s">
        <v>70</v>
      </c>
      <c r="E764" s="21" t="s">
        <v>52</v>
      </c>
      <c r="F764" s="22">
        <v>54</v>
      </c>
      <c r="G764" s="22">
        <f t="shared" si="218"/>
        <v>17.425000000000001</v>
      </c>
      <c r="H764" s="22">
        <f t="shared" si="232"/>
        <v>22.1</v>
      </c>
      <c r="I764" s="147">
        <f t="shared" si="233"/>
        <v>1193.4000000000001</v>
      </c>
      <c r="J764" s="148"/>
      <c r="K764" s="148"/>
      <c r="L764" s="148"/>
      <c r="M764" s="148">
        <v>19.41</v>
      </c>
      <c r="N764" s="148">
        <v>24.61</v>
      </c>
      <c r="O764" s="148">
        <v>1328.94</v>
      </c>
      <c r="P764" s="494"/>
      <c r="Q764" s="148">
        <f t="shared" si="228"/>
        <v>0</v>
      </c>
      <c r="R764" s="148"/>
      <c r="S764" s="148">
        <f t="shared" si="234"/>
        <v>0</v>
      </c>
      <c r="T764" s="148">
        <f t="shared" si="230"/>
        <v>54</v>
      </c>
      <c r="U764" s="148">
        <f t="shared" si="231"/>
        <v>1328.94</v>
      </c>
      <c r="V764" s="379"/>
      <c r="W764" s="379"/>
      <c r="X764" s="57">
        <f>X725</f>
        <v>19.059999999999999</v>
      </c>
      <c r="Y764" s="334">
        <v>20.5</v>
      </c>
      <c r="Z764" s="334">
        <f t="shared" si="222"/>
        <v>940.95</v>
      </c>
      <c r="AA764" s="57"/>
      <c r="AB764" s="58"/>
    </row>
    <row r="765" spans="1:28" s="55" customFormat="1" ht="105">
      <c r="A765" s="19" t="s">
        <v>1171</v>
      </c>
      <c r="B765" s="20">
        <v>90092</v>
      </c>
      <c r="C765" s="19" t="s">
        <v>1679</v>
      </c>
      <c r="D765" s="21" t="s">
        <v>12</v>
      </c>
      <c r="E765" s="21" t="s">
        <v>35</v>
      </c>
      <c r="F765" s="22">
        <v>50</v>
      </c>
      <c r="G765" s="22">
        <f t="shared" si="218"/>
        <v>3.4595000000000002</v>
      </c>
      <c r="H765" s="22">
        <f t="shared" si="232"/>
        <v>4.3899999999999997</v>
      </c>
      <c r="I765" s="147">
        <f t="shared" si="233"/>
        <v>219.5</v>
      </c>
      <c r="J765" s="148"/>
      <c r="K765" s="148"/>
      <c r="L765" s="148"/>
      <c r="M765" s="148">
        <v>3.85</v>
      </c>
      <c r="N765" s="148">
        <v>4.88</v>
      </c>
      <c r="O765" s="148">
        <v>244</v>
      </c>
      <c r="P765" s="494"/>
      <c r="Q765" s="148">
        <f t="shared" si="228"/>
        <v>0</v>
      </c>
      <c r="R765" s="148"/>
      <c r="S765" s="148">
        <f t="shared" si="234"/>
        <v>0</v>
      </c>
      <c r="T765" s="148">
        <f t="shared" si="230"/>
        <v>50</v>
      </c>
      <c r="U765" s="148">
        <f t="shared" si="231"/>
        <v>244</v>
      </c>
      <c r="V765" s="379"/>
      <c r="W765" s="379"/>
      <c r="X765" s="57" t="e">
        <f>IF(B765&lt;&gt;0,VLOOKUP(B765,#REF!,4,FALSE),"")</f>
        <v>#REF!</v>
      </c>
      <c r="Y765" s="334" t="s">
        <v>1854</v>
      </c>
      <c r="Z765" s="334">
        <f t="shared" si="222"/>
        <v>172.97500000000002</v>
      </c>
      <c r="AA765" s="57"/>
      <c r="AB765" s="58" t="e">
        <f>IF(B765&lt;&gt;0,VLOOKUP(B765,#REF!,2,FALSE),"")</f>
        <v>#REF!</v>
      </c>
    </row>
    <row r="766" spans="1:28" s="55" customFormat="1" ht="90">
      <c r="A766" s="19" t="s">
        <v>1172</v>
      </c>
      <c r="B766" s="20">
        <v>93381</v>
      </c>
      <c r="C766" s="19" t="s">
        <v>1680</v>
      </c>
      <c r="D766" s="21" t="s">
        <v>12</v>
      </c>
      <c r="E766" s="21" t="s">
        <v>35</v>
      </c>
      <c r="F766" s="22">
        <v>50</v>
      </c>
      <c r="G766" s="22">
        <f t="shared" si="218"/>
        <v>6.63</v>
      </c>
      <c r="H766" s="22">
        <f t="shared" si="232"/>
        <v>8.41</v>
      </c>
      <c r="I766" s="147">
        <f t="shared" si="233"/>
        <v>420.5</v>
      </c>
      <c r="J766" s="148"/>
      <c r="K766" s="148"/>
      <c r="L766" s="148"/>
      <c r="M766" s="148">
        <v>7.39</v>
      </c>
      <c r="N766" s="148">
        <v>9.3699999999999992</v>
      </c>
      <c r="O766" s="148">
        <v>468.5</v>
      </c>
      <c r="P766" s="494"/>
      <c r="Q766" s="148">
        <f t="shared" si="228"/>
        <v>0</v>
      </c>
      <c r="R766" s="148"/>
      <c r="S766" s="148">
        <f t="shared" si="234"/>
        <v>0</v>
      </c>
      <c r="T766" s="148">
        <f t="shared" si="230"/>
        <v>50</v>
      </c>
      <c r="U766" s="148">
        <f t="shared" si="231"/>
        <v>468.5</v>
      </c>
      <c r="V766" s="379"/>
      <c r="W766" s="379"/>
      <c r="X766" s="57" t="e">
        <f>IF(B766&lt;&gt;0,VLOOKUP(B766,#REF!,4,FALSE),"")</f>
        <v>#REF!</v>
      </c>
      <c r="Y766" s="334" t="s">
        <v>3114</v>
      </c>
      <c r="Z766" s="334">
        <f t="shared" si="222"/>
        <v>331.5</v>
      </c>
      <c r="AA766" s="57"/>
      <c r="AB766" s="58" t="e">
        <f>IF(B766&lt;&gt;0,VLOOKUP(B766,#REF!,2,FALSE),"")</f>
        <v>#REF!</v>
      </c>
    </row>
    <row r="767" spans="1:28" s="55" customFormat="1" ht="30">
      <c r="A767" s="19" t="s">
        <v>1173</v>
      </c>
      <c r="B767" s="20">
        <v>748</v>
      </c>
      <c r="C767" s="19" t="s">
        <v>201</v>
      </c>
      <c r="D767" s="21" t="s">
        <v>44</v>
      </c>
      <c r="E767" s="21" t="s">
        <v>17</v>
      </c>
      <c r="F767" s="22">
        <v>22</v>
      </c>
      <c r="G767" s="22">
        <f t="shared" si="218"/>
        <v>70.473500000000001</v>
      </c>
      <c r="H767" s="22">
        <f t="shared" si="232"/>
        <v>89.37</v>
      </c>
      <c r="I767" s="147">
        <f t="shared" si="233"/>
        <v>1966.14</v>
      </c>
      <c r="J767" s="148"/>
      <c r="K767" s="148"/>
      <c r="L767" s="148"/>
      <c r="M767" s="148">
        <v>78.510000000000005</v>
      </c>
      <c r="N767" s="148">
        <v>99.56</v>
      </c>
      <c r="O767" s="148">
        <v>2190.3200000000002</v>
      </c>
      <c r="P767" s="494"/>
      <c r="Q767" s="148">
        <f t="shared" si="228"/>
        <v>0</v>
      </c>
      <c r="R767" s="148"/>
      <c r="S767" s="148">
        <f t="shared" si="234"/>
        <v>0</v>
      </c>
      <c r="T767" s="148">
        <f t="shared" si="230"/>
        <v>22</v>
      </c>
      <c r="U767" s="148">
        <f t="shared" si="231"/>
        <v>2190.3200000000002</v>
      </c>
      <c r="V767" s="379"/>
      <c r="W767" s="379"/>
      <c r="X767" s="57">
        <f>'COMPOSIÇÃO DE CUSTOS'!G1053</f>
        <v>70.47</v>
      </c>
      <c r="Y767" s="334">
        <v>82.91</v>
      </c>
      <c r="Z767" s="334">
        <f t="shared" si="222"/>
        <v>1550.4169999999999</v>
      </c>
      <c r="AA767" s="57"/>
      <c r="AB767" s="58"/>
    </row>
    <row r="768" spans="1:28" s="55" customFormat="1" ht="30">
      <c r="A768" s="19" t="s">
        <v>1174</v>
      </c>
      <c r="B768" s="20">
        <v>4533</v>
      </c>
      <c r="C768" s="19" t="s">
        <v>1754</v>
      </c>
      <c r="D768" s="21" t="s">
        <v>44</v>
      </c>
      <c r="E768" s="21" t="s">
        <v>17</v>
      </c>
      <c r="F768" s="22">
        <v>26</v>
      </c>
      <c r="G768" s="22">
        <f t="shared" si="218"/>
        <v>114.5205</v>
      </c>
      <c r="H768" s="22">
        <f t="shared" si="232"/>
        <v>145.22</v>
      </c>
      <c r="I768" s="147">
        <f t="shared" si="233"/>
        <v>3775.72</v>
      </c>
      <c r="J768" s="148"/>
      <c r="K768" s="148"/>
      <c r="L768" s="148"/>
      <c r="M768" s="148">
        <v>127.58</v>
      </c>
      <c r="N768" s="148">
        <v>161.78</v>
      </c>
      <c r="O768" s="148">
        <v>4206.28</v>
      </c>
      <c r="P768" s="494"/>
      <c r="Q768" s="148">
        <f t="shared" si="228"/>
        <v>0</v>
      </c>
      <c r="R768" s="148"/>
      <c r="S768" s="148">
        <f t="shared" si="234"/>
        <v>0</v>
      </c>
      <c r="T768" s="148">
        <f t="shared" si="230"/>
        <v>26</v>
      </c>
      <c r="U768" s="148">
        <f t="shared" si="231"/>
        <v>4206.28</v>
      </c>
      <c r="V768" s="379"/>
      <c r="W768" s="379"/>
      <c r="X768" s="57">
        <f>'COMPOSIÇÃO DE CUSTOS'!G1088</f>
        <v>114.52</v>
      </c>
      <c r="Y768" s="334">
        <v>134.72999999999999</v>
      </c>
      <c r="Z768" s="334">
        <f t="shared" si="222"/>
        <v>2977.5329999999999</v>
      </c>
      <c r="AA768" s="57"/>
      <c r="AB768" s="58"/>
    </row>
    <row r="769" spans="1:28" s="55" customFormat="1" ht="30">
      <c r="A769" s="19" t="s">
        <v>1175</v>
      </c>
      <c r="B769" s="20">
        <v>63988</v>
      </c>
      <c r="C769" s="19" t="str">
        <f>C692</f>
        <v>FORNECIMENTO E INSTALAÇÃO DE ELETROCALHA PERFURADA 400 X 50 X 3000 MM  (M)</v>
      </c>
      <c r="D769" s="21" t="str">
        <f>D692</f>
        <v>COMPOSIÇÃO</v>
      </c>
      <c r="E769" s="21" t="s">
        <v>17</v>
      </c>
      <c r="F769" s="22">
        <v>4</v>
      </c>
      <c r="G769" s="22">
        <f t="shared" si="218"/>
        <v>82.212000000000003</v>
      </c>
      <c r="H769" s="22">
        <f t="shared" si="232"/>
        <v>104.25</v>
      </c>
      <c r="I769" s="147">
        <f t="shared" si="233"/>
        <v>417</v>
      </c>
      <c r="J769" s="148"/>
      <c r="K769" s="148"/>
      <c r="L769" s="148"/>
      <c r="M769" s="148">
        <v>91.58</v>
      </c>
      <c r="N769" s="148">
        <v>116.13</v>
      </c>
      <c r="O769" s="148">
        <v>464.52</v>
      </c>
      <c r="P769" s="494"/>
      <c r="Q769" s="148">
        <f t="shared" si="228"/>
        <v>0</v>
      </c>
      <c r="R769" s="148"/>
      <c r="S769" s="148">
        <f t="shared" si="234"/>
        <v>0</v>
      </c>
      <c r="T769" s="148">
        <f t="shared" si="230"/>
        <v>4</v>
      </c>
      <c r="U769" s="148">
        <f t="shared" si="231"/>
        <v>464.52</v>
      </c>
      <c r="V769" s="379"/>
      <c r="W769" s="379"/>
      <c r="X769" s="57">
        <f>X692</f>
        <v>82.21</v>
      </c>
      <c r="Y769" s="334">
        <v>96.72</v>
      </c>
      <c r="Z769" s="334">
        <f t="shared" si="222"/>
        <v>328.84800000000001</v>
      </c>
      <c r="AA769" s="57"/>
      <c r="AB769" s="58"/>
    </row>
    <row r="770" spans="1:28" s="55" customFormat="1" ht="30">
      <c r="A770" s="19" t="s">
        <v>1176</v>
      </c>
      <c r="B770" s="20" t="s">
        <v>2239</v>
      </c>
      <c r="C770" s="19" t="str">
        <f>C693</f>
        <v>CURVA HORIZONTAL LISA P/A ELETROCALHA 400X50MM (UN)</v>
      </c>
      <c r="D770" s="21" t="str">
        <f>D693</f>
        <v>COMPOSIÇÃO</v>
      </c>
      <c r="E770" s="21" t="s">
        <v>17</v>
      </c>
      <c r="F770" s="22">
        <v>2</v>
      </c>
      <c r="G770" s="22">
        <f t="shared" si="218"/>
        <v>73.5505</v>
      </c>
      <c r="H770" s="22">
        <f t="shared" si="232"/>
        <v>93.27</v>
      </c>
      <c r="I770" s="147">
        <f t="shared" si="233"/>
        <v>186.54</v>
      </c>
      <c r="J770" s="148"/>
      <c r="K770" s="148"/>
      <c r="L770" s="148"/>
      <c r="M770" s="148">
        <v>81.94</v>
      </c>
      <c r="N770" s="148">
        <v>103.91</v>
      </c>
      <c r="O770" s="148">
        <v>207.82</v>
      </c>
      <c r="P770" s="494"/>
      <c r="Q770" s="148">
        <f t="shared" si="228"/>
        <v>0</v>
      </c>
      <c r="R770" s="148"/>
      <c r="S770" s="148">
        <f t="shared" si="234"/>
        <v>0</v>
      </c>
      <c r="T770" s="148">
        <f t="shared" si="230"/>
        <v>2</v>
      </c>
      <c r="U770" s="148">
        <f t="shared" si="231"/>
        <v>207.82</v>
      </c>
      <c r="V770" s="379"/>
      <c r="W770" s="379"/>
      <c r="X770" s="57">
        <f>X693</f>
        <v>73.55</v>
      </c>
      <c r="Y770" s="334">
        <v>86.53</v>
      </c>
      <c r="Z770" s="334">
        <f t="shared" si="222"/>
        <v>147.101</v>
      </c>
      <c r="AA770" s="57"/>
      <c r="AB770" s="58"/>
    </row>
    <row r="771" spans="1:28" s="55" customFormat="1" ht="30">
      <c r="A771" s="19" t="s">
        <v>1177</v>
      </c>
      <c r="B771" s="20">
        <v>4109</v>
      </c>
      <c r="C771" s="19" t="str">
        <f>C695</f>
        <v xml:space="preserve">FLANGE DE LIGAÇÃO 400X50MM PARA ELETROCALHA METÁLICA </v>
      </c>
      <c r="D771" s="21" t="str">
        <f>D695</f>
        <v>ORSE</v>
      </c>
      <c r="E771" s="21" t="s">
        <v>17</v>
      </c>
      <c r="F771" s="22">
        <v>2</v>
      </c>
      <c r="G771" s="22">
        <f t="shared" si="218"/>
        <v>26.749499999999998</v>
      </c>
      <c r="H771" s="22">
        <f t="shared" si="232"/>
        <v>33.92</v>
      </c>
      <c r="I771" s="147">
        <f t="shared" si="233"/>
        <v>67.84</v>
      </c>
      <c r="J771" s="148"/>
      <c r="K771" s="148"/>
      <c r="L771" s="148"/>
      <c r="M771" s="148">
        <v>29.8</v>
      </c>
      <c r="N771" s="148">
        <v>37.79</v>
      </c>
      <c r="O771" s="148">
        <v>75.58</v>
      </c>
      <c r="P771" s="494"/>
      <c r="Q771" s="148">
        <f t="shared" si="228"/>
        <v>0</v>
      </c>
      <c r="R771" s="148"/>
      <c r="S771" s="148">
        <f t="shared" si="234"/>
        <v>0</v>
      </c>
      <c r="T771" s="148">
        <f t="shared" si="230"/>
        <v>2</v>
      </c>
      <c r="U771" s="148">
        <f t="shared" si="231"/>
        <v>75.58</v>
      </c>
      <c r="V771" s="379"/>
      <c r="W771" s="379"/>
      <c r="X771" s="57">
        <f>X695</f>
        <v>26.75</v>
      </c>
      <c r="Y771" s="334">
        <v>31.47</v>
      </c>
      <c r="Z771" s="334">
        <f t="shared" si="222"/>
        <v>53.498999999999995</v>
      </c>
      <c r="AA771" s="57"/>
      <c r="AB771" s="58"/>
    </row>
    <row r="772" spans="1:28" s="55" customFormat="1" ht="30">
      <c r="A772" s="19" t="s">
        <v>1178</v>
      </c>
      <c r="B772" s="20">
        <v>8112</v>
      </c>
      <c r="C772" s="19" t="str">
        <f>C694</f>
        <v>TÊ HORIZONTAL 400 X 50 MM COM BASE LISA PERFURADA PARA ELETROCALHA METÁLICA</v>
      </c>
      <c r="D772" s="21" t="str">
        <f>D694</f>
        <v>ORSE</v>
      </c>
      <c r="E772" s="21" t="s">
        <v>17</v>
      </c>
      <c r="F772" s="22">
        <v>2</v>
      </c>
      <c r="G772" s="22">
        <f t="shared" si="218"/>
        <v>141.4145</v>
      </c>
      <c r="H772" s="22">
        <f t="shared" si="232"/>
        <v>179.33</v>
      </c>
      <c r="I772" s="147">
        <f t="shared" si="233"/>
        <v>358.66</v>
      </c>
      <c r="J772" s="148"/>
      <c r="K772" s="148"/>
      <c r="L772" s="148"/>
      <c r="M772" s="148">
        <v>157.54</v>
      </c>
      <c r="N772" s="148">
        <v>199.78</v>
      </c>
      <c r="O772" s="148">
        <v>399.56</v>
      </c>
      <c r="P772" s="494"/>
      <c r="Q772" s="148">
        <f t="shared" si="228"/>
        <v>0</v>
      </c>
      <c r="R772" s="148"/>
      <c r="S772" s="148">
        <f t="shared" si="234"/>
        <v>0</v>
      </c>
      <c r="T772" s="148">
        <f t="shared" si="230"/>
        <v>2</v>
      </c>
      <c r="U772" s="148">
        <f t="shared" si="231"/>
        <v>399.56</v>
      </c>
      <c r="V772" s="379"/>
      <c r="W772" s="379"/>
      <c r="X772" s="57">
        <f>X694</f>
        <v>141.41</v>
      </c>
      <c r="Y772" s="334">
        <v>166.37</v>
      </c>
      <c r="Z772" s="334">
        <f t="shared" si="222"/>
        <v>282.82900000000001</v>
      </c>
      <c r="AA772" s="57"/>
      <c r="AB772" s="58"/>
    </row>
    <row r="773" spans="1:28" ht="15" customHeight="1">
      <c r="A773" s="229" t="s">
        <v>1179</v>
      </c>
      <c r="B773" s="229"/>
      <c r="C773" s="229" t="s">
        <v>239</v>
      </c>
      <c r="D773" s="230"/>
      <c r="E773" s="230"/>
      <c r="F773" s="230"/>
      <c r="G773" s="22"/>
      <c r="H773" s="230"/>
      <c r="I773" s="445"/>
      <c r="J773" s="440"/>
      <c r="K773" s="440"/>
      <c r="L773" s="440"/>
      <c r="M773" s="440"/>
      <c r="N773" s="440"/>
      <c r="O773" s="440"/>
      <c r="P773" s="492"/>
      <c r="Q773" s="148">
        <f t="shared" si="228"/>
        <v>0</v>
      </c>
      <c r="R773" s="440"/>
      <c r="S773" s="440"/>
      <c r="T773" s="148"/>
      <c r="U773" s="148"/>
      <c r="V773" s="330"/>
      <c r="W773" s="330"/>
      <c r="X773" s="33"/>
      <c r="Y773" s="337"/>
      <c r="Z773" s="334">
        <f t="shared" si="222"/>
        <v>0</v>
      </c>
      <c r="AA773" s="33"/>
      <c r="AB773" s="30"/>
    </row>
    <row r="774" spans="1:28" s="55" customFormat="1" ht="30">
      <c r="A774" s="19" t="s">
        <v>1180</v>
      </c>
      <c r="B774" s="20">
        <v>7384</v>
      </c>
      <c r="C774" s="19" t="s">
        <v>229</v>
      </c>
      <c r="D774" s="21" t="s">
        <v>44</v>
      </c>
      <c r="E774" s="21" t="s">
        <v>52</v>
      </c>
      <c r="F774" s="22">
        <v>32</v>
      </c>
      <c r="G774" s="22">
        <f t="shared" si="218"/>
        <v>19.244</v>
      </c>
      <c r="H774" s="22">
        <f>ROUND(G774*(1+$X$14),2)</f>
        <v>24.4</v>
      </c>
      <c r="I774" s="147">
        <f>ROUND(H774*F774,2)</f>
        <v>780.8</v>
      </c>
      <c r="J774" s="148"/>
      <c r="K774" s="148"/>
      <c r="L774" s="148"/>
      <c r="M774" s="148">
        <v>21.44</v>
      </c>
      <c r="N774" s="148">
        <v>27.19</v>
      </c>
      <c r="O774" s="148">
        <v>870.08</v>
      </c>
      <c r="P774" s="494"/>
      <c r="Q774" s="148">
        <f t="shared" si="228"/>
        <v>0</v>
      </c>
      <c r="R774" s="148"/>
      <c r="S774" s="148">
        <f>ROUND(R774*P774,2)</f>
        <v>0</v>
      </c>
      <c r="T774" s="148">
        <f t="shared" si="230"/>
        <v>32</v>
      </c>
      <c r="U774" s="148">
        <f t="shared" si="231"/>
        <v>870.08</v>
      </c>
      <c r="V774" s="379"/>
      <c r="W774" s="379"/>
      <c r="X774" s="57">
        <f>'COMPOSIÇÃO DE CUSTOS'!G1195</f>
        <v>19.25</v>
      </c>
      <c r="Y774" s="334">
        <v>22.64</v>
      </c>
      <c r="Z774" s="334">
        <f t="shared" si="222"/>
        <v>615.80799999999999</v>
      </c>
      <c r="AA774" s="57"/>
      <c r="AB774" s="58"/>
    </row>
    <row r="775" spans="1:28" s="55" customFormat="1" ht="30">
      <c r="A775" s="19" t="s">
        <v>1181</v>
      </c>
      <c r="B775" s="20">
        <v>12573</v>
      </c>
      <c r="C775" s="19" t="s">
        <v>1760</v>
      </c>
      <c r="D775" s="21" t="s">
        <v>44</v>
      </c>
      <c r="E775" s="21" t="s">
        <v>17</v>
      </c>
      <c r="F775" s="22">
        <v>44</v>
      </c>
      <c r="G775" s="22">
        <f t="shared" si="218"/>
        <v>9.5794999999999995</v>
      </c>
      <c r="H775" s="22">
        <f>ROUND(G775*(1+$X$14),2)</f>
        <v>12.15</v>
      </c>
      <c r="I775" s="147">
        <f>ROUND(H775*F775,2)</f>
        <v>534.6</v>
      </c>
      <c r="J775" s="148"/>
      <c r="K775" s="148"/>
      <c r="L775" s="148"/>
      <c r="M775" s="148">
        <v>10.67</v>
      </c>
      <c r="N775" s="148">
        <v>13.53</v>
      </c>
      <c r="O775" s="148">
        <v>595.32000000000005</v>
      </c>
      <c r="P775" s="494"/>
      <c r="Q775" s="148">
        <f t="shared" si="228"/>
        <v>0</v>
      </c>
      <c r="R775" s="148"/>
      <c r="S775" s="148">
        <f>ROUND(R775*P775,2)</f>
        <v>0</v>
      </c>
      <c r="T775" s="148">
        <f t="shared" si="230"/>
        <v>44</v>
      </c>
      <c r="U775" s="148">
        <f t="shared" si="231"/>
        <v>595.32000000000005</v>
      </c>
      <c r="V775" s="379"/>
      <c r="W775" s="379"/>
      <c r="X775" s="57">
        <f>'COMPOSIÇÃO DE CUSTOS'!G1209</f>
        <v>9.58</v>
      </c>
      <c r="Y775" s="334">
        <v>11.27</v>
      </c>
      <c r="Z775" s="334">
        <f t="shared" si="222"/>
        <v>421.49799999999999</v>
      </c>
      <c r="AA775" s="57"/>
      <c r="AB775" s="58"/>
    </row>
    <row r="776" spans="1:28" s="55" customFormat="1" ht="30">
      <c r="A776" s="19" t="s">
        <v>1182</v>
      </c>
      <c r="B776" s="20">
        <v>12976</v>
      </c>
      <c r="C776" s="19" t="s">
        <v>1761</v>
      </c>
      <c r="D776" s="21" t="s">
        <v>44</v>
      </c>
      <c r="E776" s="21" t="s">
        <v>17</v>
      </c>
      <c r="F776" s="22">
        <v>52</v>
      </c>
      <c r="G776" s="22">
        <f t="shared" si="218"/>
        <v>11.662000000000001</v>
      </c>
      <c r="H776" s="22">
        <f>ROUND(G776*(1+$X$14),2)</f>
        <v>14.79</v>
      </c>
      <c r="I776" s="147">
        <f>ROUND(H776*F776,2)</f>
        <v>769.08</v>
      </c>
      <c r="J776" s="148"/>
      <c r="K776" s="148"/>
      <c r="L776" s="148"/>
      <c r="M776" s="148">
        <v>12.99</v>
      </c>
      <c r="N776" s="148">
        <v>16.47</v>
      </c>
      <c r="O776" s="148">
        <v>856.44</v>
      </c>
      <c r="P776" s="494"/>
      <c r="Q776" s="148">
        <f t="shared" si="228"/>
        <v>0</v>
      </c>
      <c r="R776" s="148"/>
      <c r="S776" s="148">
        <f>ROUND(R776*P776,2)</f>
        <v>0</v>
      </c>
      <c r="T776" s="148">
        <f t="shared" si="230"/>
        <v>52</v>
      </c>
      <c r="U776" s="148">
        <f t="shared" si="231"/>
        <v>856.44</v>
      </c>
      <c r="V776" s="379"/>
      <c r="W776" s="379"/>
      <c r="X776" s="57">
        <f>'COMPOSIÇÃO DE CUSTOS'!G1216</f>
        <v>11.66</v>
      </c>
      <c r="Y776" s="334">
        <v>13.72</v>
      </c>
      <c r="Z776" s="334">
        <f t="shared" si="222"/>
        <v>606.42400000000009</v>
      </c>
      <c r="AA776" s="57"/>
      <c r="AB776" s="58"/>
    </row>
    <row r="777" spans="1:28" s="55" customFormat="1" ht="30">
      <c r="A777" s="19" t="s">
        <v>1183</v>
      </c>
      <c r="B777" s="20">
        <f>B707</f>
        <v>12977</v>
      </c>
      <c r="C777" s="19" t="str">
        <f>C707</f>
        <v>SUPORTE VERTICAL 400 X 50 MM PARA FIXAÇÃO DE ELETROCALHA METÁLICA</v>
      </c>
      <c r="D777" s="21" t="str">
        <f>D707</f>
        <v>ORSE</v>
      </c>
      <c r="E777" s="21" t="s">
        <v>17</v>
      </c>
      <c r="F777" s="22">
        <v>7</v>
      </c>
      <c r="G777" s="22">
        <f t="shared" si="218"/>
        <v>13.5745</v>
      </c>
      <c r="H777" s="22">
        <f>ROUND(G777*(1+$X$14),2)</f>
        <v>17.21</v>
      </c>
      <c r="I777" s="147">
        <f>ROUND(H777*F777,2)</f>
        <v>120.47</v>
      </c>
      <c r="J777" s="148"/>
      <c r="K777" s="148"/>
      <c r="L777" s="148"/>
      <c r="M777" s="148">
        <v>15.12</v>
      </c>
      <c r="N777" s="148">
        <v>19.170000000000002</v>
      </c>
      <c r="O777" s="148">
        <v>134.19</v>
      </c>
      <c r="P777" s="494"/>
      <c r="Q777" s="148">
        <f t="shared" si="228"/>
        <v>0</v>
      </c>
      <c r="R777" s="148"/>
      <c r="S777" s="148">
        <f>ROUND(R777*P777,2)</f>
        <v>0</v>
      </c>
      <c r="T777" s="148">
        <f t="shared" ref="T777:T804" si="235">F777+P777-R777</f>
        <v>7</v>
      </c>
      <c r="U777" s="148">
        <f t="shared" si="231"/>
        <v>134.19</v>
      </c>
      <c r="V777" s="379"/>
      <c r="W777" s="379"/>
      <c r="X777" s="57">
        <f>X707</f>
        <v>13.57</v>
      </c>
      <c r="Y777" s="334">
        <v>15.97</v>
      </c>
      <c r="Z777" s="334">
        <f t="shared" si="222"/>
        <v>95.021500000000003</v>
      </c>
      <c r="AA777" s="57"/>
      <c r="AB777" s="58"/>
    </row>
    <row r="778" spans="1:28" s="55" customFormat="1" ht="15" customHeight="1">
      <c r="A778" s="229" t="s">
        <v>1184</v>
      </c>
      <c r="B778" s="229"/>
      <c r="C778" s="229" t="s">
        <v>240</v>
      </c>
      <c r="D778" s="230"/>
      <c r="E778" s="230"/>
      <c r="F778" s="230"/>
      <c r="G778" s="22"/>
      <c r="H778" s="230"/>
      <c r="I778" s="445"/>
      <c r="J778" s="440"/>
      <c r="K778" s="440"/>
      <c r="L778" s="440"/>
      <c r="M778" s="440"/>
      <c r="N778" s="440"/>
      <c r="O778" s="440"/>
      <c r="P778" s="492"/>
      <c r="Q778" s="148">
        <f t="shared" si="228"/>
        <v>0</v>
      </c>
      <c r="R778" s="440"/>
      <c r="S778" s="440"/>
      <c r="T778" s="148"/>
      <c r="U778" s="148"/>
      <c r="V778" s="330"/>
      <c r="W778" s="330"/>
      <c r="X778" s="58"/>
      <c r="Y778" s="334"/>
      <c r="Z778" s="334">
        <f t="shared" si="222"/>
        <v>0</v>
      </c>
      <c r="AA778" s="58"/>
      <c r="AB778" s="58"/>
    </row>
    <row r="779" spans="1:28" s="55" customFormat="1" ht="45">
      <c r="A779" s="19" t="s">
        <v>1185</v>
      </c>
      <c r="B779" s="20">
        <v>92000</v>
      </c>
      <c r="C779" s="19" t="s">
        <v>1718</v>
      </c>
      <c r="D779" s="21" t="s">
        <v>12</v>
      </c>
      <c r="E779" s="21" t="s">
        <v>17</v>
      </c>
      <c r="F779" s="22">
        <v>4</v>
      </c>
      <c r="G779" s="22">
        <f t="shared" si="218"/>
        <v>18.453500000000002</v>
      </c>
      <c r="H779" s="22">
        <f t="shared" ref="H779:H789" si="236">ROUND(G779*(1+$X$14),2)</f>
        <v>23.4</v>
      </c>
      <c r="I779" s="147">
        <f t="shared" ref="I779:I789" si="237">ROUND(H779*F779,2)</f>
        <v>93.6</v>
      </c>
      <c r="J779" s="148"/>
      <c r="K779" s="148"/>
      <c r="L779" s="148"/>
      <c r="M779" s="148">
        <v>20.56</v>
      </c>
      <c r="N779" s="148">
        <v>26.07</v>
      </c>
      <c r="O779" s="148">
        <v>104.28</v>
      </c>
      <c r="P779" s="494"/>
      <c r="Q779" s="148">
        <f t="shared" si="228"/>
        <v>0</v>
      </c>
      <c r="R779" s="148"/>
      <c r="S779" s="148">
        <f t="shared" ref="S779:S789" si="238">ROUND(R779*P779,2)</f>
        <v>0</v>
      </c>
      <c r="T779" s="148">
        <f t="shared" si="235"/>
        <v>4</v>
      </c>
      <c r="U779" s="148">
        <f t="shared" si="231"/>
        <v>104.28</v>
      </c>
      <c r="V779" s="379"/>
      <c r="W779" s="379"/>
      <c r="X779" s="57" t="e">
        <f>IF(B779&lt;&gt;0,VLOOKUP(B779,#REF!,4,FALSE),"")</f>
        <v>#REF!</v>
      </c>
      <c r="Y779" s="334" t="s">
        <v>3116</v>
      </c>
      <c r="Z779" s="334">
        <f t="shared" si="222"/>
        <v>73.814000000000007</v>
      </c>
      <c r="AA779" s="57"/>
      <c r="AB779" s="58" t="e">
        <f>IF(B779&lt;&gt;0,VLOOKUP(B779,#REF!,2,FALSE),"")</f>
        <v>#REF!</v>
      </c>
    </row>
    <row r="780" spans="1:28" s="55" customFormat="1" ht="45">
      <c r="A780" s="19" t="s">
        <v>1186</v>
      </c>
      <c r="B780" s="20">
        <v>92008</v>
      </c>
      <c r="C780" s="19" t="s">
        <v>1711</v>
      </c>
      <c r="D780" s="21" t="s">
        <v>12</v>
      </c>
      <c r="E780" s="21" t="s">
        <v>17</v>
      </c>
      <c r="F780" s="22">
        <v>138</v>
      </c>
      <c r="G780" s="22">
        <f t="shared" si="218"/>
        <v>29.6905</v>
      </c>
      <c r="H780" s="22">
        <f t="shared" si="236"/>
        <v>37.65</v>
      </c>
      <c r="I780" s="147">
        <f t="shared" si="237"/>
        <v>5195.7</v>
      </c>
      <c r="J780" s="148"/>
      <c r="K780" s="148"/>
      <c r="L780" s="148"/>
      <c r="M780" s="148">
        <v>33.08</v>
      </c>
      <c r="N780" s="148">
        <v>41.95</v>
      </c>
      <c r="O780" s="148">
        <v>5789.1</v>
      </c>
      <c r="P780" s="494"/>
      <c r="Q780" s="148">
        <f t="shared" si="228"/>
        <v>0</v>
      </c>
      <c r="R780" s="148"/>
      <c r="S780" s="148">
        <f t="shared" si="238"/>
        <v>0</v>
      </c>
      <c r="T780" s="148">
        <f t="shared" si="235"/>
        <v>138</v>
      </c>
      <c r="U780" s="148">
        <f t="shared" si="231"/>
        <v>5789.1</v>
      </c>
      <c r="V780" s="379"/>
      <c r="W780" s="379"/>
      <c r="X780" s="57" t="e">
        <f>IF(B780&lt;&gt;0,VLOOKUP(B780,#REF!,4,FALSE),"")</f>
        <v>#REF!</v>
      </c>
      <c r="Y780" s="334" t="s">
        <v>3163</v>
      </c>
      <c r="Z780" s="334">
        <f t="shared" si="222"/>
        <v>4097.2889999999998</v>
      </c>
      <c r="AA780" s="57"/>
      <c r="AB780" s="58" t="e">
        <f>IF(B780&lt;&gt;0,VLOOKUP(B780,#REF!,2,FALSE),"")</f>
        <v>#REF!</v>
      </c>
    </row>
    <row r="781" spans="1:28" s="55" customFormat="1" ht="45">
      <c r="A781" s="19" t="s">
        <v>1187</v>
      </c>
      <c r="B781" s="20">
        <v>91996</v>
      </c>
      <c r="C781" s="19" t="s">
        <v>1719</v>
      </c>
      <c r="D781" s="21" t="s">
        <v>12</v>
      </c>
      <c r="E781" s="21" t="s">
        <v>17</v>
      </c>
      <c r="F781" s="22">
        <v>35</v>
      </c>
      <c r="G781" s="22">
        <f t="shared" si="218"/>
        <v>20.433999999999997</v>
      </c>
      <c r="H781" s="22">
        <f t="shared" si="236"/>
        <v>25.91</v>
      </c>
      <c r="I781" s="147">
        <f t="shared" si="237"/>
        <v>906.85</v>
      </c>
      <c r="J781" s="148"/>
      <c r="K781" s="148"/>
      <c r="L781" s="148"/>
      <c r="M781" s="148">
        <v>22.76</v>
      </c>
      <c r="N781" s="148">
        <v>28.86</v>
      </c>
      <c r="O781" s="148">
        <v>1010.1</v>
      </c>
      <c r="P781" s="494"/>
      <c r="Q781" s="148">
        <f t="shared" si="228"/>
        <v>0</v>
      </c>
      <c r="R781" s="148"/>
      <c r="S781" s="148">
        <f t="shared" si="238"/>
        <v>0</v>
      </c>
      <c r="T781" s="148">
        <f t="shared" si="235"/>
        <v>35</v>
      </c>
      <c r="U781" s="148">
        <f t="shared" si="231"/>
        <v>1010.1</v>
      </c>
      <c r="V781" s="379"/>
      <c r="W781" s="379"/>
      <c r="X781" s="57" t="e">
        <f>IF(B781&lt;&gt;0,VLOOKUP(B781,#REF!,4,FALSE),"")</f>
        <v>#REF!</v>
      </c>
      <c r="Y781" s="334" t="s">
        <v>3162</v>
      </c>
      <c r="Z781" s="334">
        <f t="shared" si="222"/>
        <v>715.18999999999994</v>
      </c>
      <c r="AA781" s="57"/>
      <c r="AB781" s="58" t="e">
        <f>IF(B781&lt;&gt;0,VLOOKUP(B781,#REF!,2,FALSE),"")</f>
        <v>#REF!</v>
      </c>
    </row>
    <row r="782" spans="1:28" s="55" customFormat="1" ht="45">
      <c r="A782" s="19" t="s">
        <v>1188</v>
      </c>
      <c r="B782" s="20">
        <v>92004</v>
      </c>
      <c r="C782" s="19" t="s">
        <v>1720</v>
      </c>
      <c r="D782" s="21" t="s">
        <v>12</v>
      </c>
      <c r="E782" s="21" t="s">
        <v>17</v>
      </c>
      <c r="F782" s="22">
        <v>9</v>
      </c>
      <c r="G782" s="22">
        <f t="shared" si="218"/>
        <v>33.651500000000006</v>
      </c>
      <c r="H782" s="22">
        <f t="shared" si="236"/>
        <v>42.67</v>
      </c>
      <c r="I782" s="147">
        <f t="shared" si="237"/>
        <v>384.03</v>
      </c>
      <c r="J782" s="148"/>
      <c r="K782" s="148"/>
      <c r="L782" s="148"/>
      <c r="M782" s="148">
        <v>37.49</v>
      </c>
      <c r="N782" s="148">
        <v>47.54</v>
      </c>
      <c r="O782" s="148">
        <v>427.86</v>
      </c>
      <c r="P782" s="494"/>
      <c r="Q782" s="148">
        <f t="shared" si="228"/>
        <v>0</v>
      </c>
      <c r="R782" s="148"/>
      <c r="S782" s="148">
        <f t="shared" si="238"/>
        <v>0</v>
      </c>
      <c r="T782" s="148">
        <f t="shared" si="235"/>
        <v>9</v>
      </c>
      <c r="U782" s="148">
        <f t="shared" si="231"/>
        <v>427.86</v>
      </c>
      <c r="V782" s="379"/>
      <c r="W782" s="379"/>
      <c r="X782" s="57" t="e">
        <f>IF(B782&lt;&gt;0,VLOOKUP(B782,#REF!,4,FALSE),"")</f>
        <v>#REF!</v>
      </c>
      <c r="Y782" s="334" t="s">
        <v>3105</v>
      </c>
      <c r="Z782" s="334">
        <f t="shared" si="222"/>
        <v>302.86350000000004</v>
      </c>
      <c r="AA782" s="57"/>
      <c r="AB782" s="58" t="e">
        <f>IF(B782&lt;&gt;0,VLOOKUP(B782,#REF!,2,FALSE),"")</f>
        <v>#REF!</v>
      </c>
    </row>
    <row r="783" spans="1:28" s="55" customFormat="1" ht="45">
      <c r="A783" s="19" t="s">
        <v>1189</v>
      </c>
      <c r="B783" s="20">
        <v>91992</v>
      </c>
      <c r="C783" s="19" t="s">
        <v>1712</v>
      </c>
      <c r="D783" s="21" t="s">
        <v>12</v>
      </c>
      <c r="E783" s="21" t="s">
        <v>17</v>
      </c>
      <c r="F783" s="22">
        <v>30</v>
      </c>
      <c r="G783" s="22">
        <f t="shared" si="218"/>
        <v>25.533999999999999</v>
      </c>
      <c r="H783" s="22">
        <f t="shared" si="236"/>
        <v>32.380000000000003</v>
      </c>
      <c r="I783" s="147">
        <f t="shared" si="237"/>
        <v>971.4</v>
      </c>
      <c r="J783" s="148"/>
      <c r="K783" s="148"/>
      <c r="L783" s="148"/>
      <c r="M783" s="148">
        <v>28.45</v>
      </c>
      <c r="N783" s="148">
        <v>36.08</v>
      </c>
      <c r="O783" s="148">
        <v>1082.4000000000001</v>
      </c>
      <c r="P783" s="494"/>
      <c r="Q783" s="148">
        <f t="shared" si="228"/>
        <v>0</v>
      </c>
      <c r="R783" s="148"/>
      <c r="S783" s="148">
        <f t="shared" si="238"/>
        <v>0</v>
      </c>
      <c r="T783" s="148">
        <f t="shared" si="235"/>
        <v>30</v>
      </c>
      <c r="U783" s="148">
        <f t="shared" si="231"/>
        <v>1082.4000000000001</v>
      </c>
      <c r="V783" s="379"/>
      <c r="W783" s="379"/>
      <c r="X783" s="57" t="e">
        <f>IF(B783&lt;&gt;0,VLOOKUP(B783,#REF!,4,FALSE),"")</f>
        <v>#REF!</v>
      </c>
      <c r="Y783" s="334" t="s">
        <v>3161</v>
      </c>
      <c r="Z783" s="334">
        <f t="shared" si="222"/>
        <v>766.02</v>
      </c>
      <c r="AA783" s="57"/>
      <c r="AB783" s="58" t="e">
        <f>IF(B783&lt;&gt;0,VLOOKUP(B783,#REF!,2,FALSE),"")</f>
        <v>#REF!</v>
      </c>
    </row>
    <row r="784" spans="1:28" s="55" customFormat="1" ht="45">
      <c r="A784" s="19" t="s">
        <v>1190</v>
      </c>
      <c r="B784" s="20">
        <v>91953</v>
      </c>
      <c r="C784" s="19" t="s">
        <v>1721</v>
      </c>
      <c r="D784" s="21" t="s">
        <v>12</v>
      </c>
      <c r="E784" s="21" t="s">
        <v>17</v>
      </c>
      <c r="F784" s="22">
        <v>36</v>
      </c>
      <c r="G784" s="22">
        <f t="shared" si="218"/>
        <v>17.391000000000002</v>
      </c>
      <c r="H784" s="22">
        <f t="shared" si="236"/>
        <v>22.05</v>
      </c>
      <c r="I784" s="147">
        <f t="shared" si="237"/>
        <v>793.8</v>
      </c>
      <c r="J784" s="148"/>
      <c r="K784" s="148"/>
      <c r="L784" s="148"/>
      <c r="M784" s="148">
        <v>19.37</v>
      </c>
      <c r="N784" s="148">
        <v>24.56</v>
      </c>
      <c r="O784" s="148">
        <v>884.16</v>
      </c>
      <c r="P784" s="494"/>
      <c r="Q784" s="148">
        <f t="shared" si="228"/>
        <v>0</v>
      </c>
      <c r="R784" s="148"/>
      <c r="S784" s="148">
        <f t="shared" si="238"/>
        <v>0</v>
      </c>
      <c r="T784" s="148">
        <f t="shared" si="235"/>
        <v>36</v>
      </c>
      <c r="U784" s="148">
        <f t="shared" si="231"/>
        <v>884.16</v>
      </c>
      <c r="V784" s="379"/>
      <c r="W784" s="379"/>
      <c r="X784" s="57" t="e">
        <f>IF(B784&lt;&gt;0,VLOOKUP(B784,#REF!,4,FALSE),"")</f>
        <v>#REF!</v>
      </c>
      <c r="Y784" s="334" t="s">
        <v>1879</v>
      </c>
      <c r="Z784" s="334">
        <f t="shared" si="222"/>
        <v>626.07600000000002</v>
      </c>
      <c r="AA784" s="57"/>
      <c r="AB784" s="58" t="e">
        <f>IF(B784&lt;&gt;0,VLOOKUP(B784,#REF!,2,FALSE),"")</f>
        <v>#REF!</v>
      </c>
    </row>
    <row r="785" spans="1:28" s="55" customFormat="1" ht="45">
      <c r="A785" s="19" t="s">
        <v>1191</v>
      </c>
      <c r="B785" s="20">
        <v>91959</v>
      </c>
      <c r="C785" s="19" t="s">
        <v>1722</v>
      </c>
      <c r="D785" s="21" t="s">
        <v>12</v>
      </c>
      <c r="E785" s="21" t="s">
        <v>17</v>
      </c>
      <c r="F785" s="22">
        <v>10</v>
      </c>
      <c r="G785" s="22">
        <f t="shared" si="218"/>
        <v>27.591000000000001</v>
      </c>
      <c r="H785" s="22">
        <f t="shared" si="236"/>
        <v>34.99</v>
      </c>
      <c r="I785" s="147">
        <f t="shared" si="237"/>
        <v>349.9</v>
      </c>
      <c r="J785" s="148"/>
      <c r="K785" s="148"/>
      <c r="L785" s="148"/>
      <c r="M785" s="148">
        <v>30.74</v>
      </c>
      <c r="N785" s="148">
        <v>38.979999999999997</v>
      </c>
      <c r="O785" s="148">
        <v>389.8</v>
      </c>
      <c r="P785" s="494"/>
      <c r="Q785" s="148">
        <f t="shared" si="228"/>
        <v>0</v>
      </c>
      <c r="R785" s="148"/>
      <c r="S785" s="148">
        <f t="shared" si="238"/>
        <v>0</v>
      </c>
      <c r="T785" s="148">
        <f t="shared" si="235"/>
        <v>10</v>
      </c>
      <c r="U785" s="148">
        <f t="shared" si="231"/>
        <v>389.8</v>
      </c>
      <c r="V785" s="379"/>
      <c r="W785" s="379"/>
      <c r="X785" s="57" t="e">
        <f>IF(B785&lt;&gt;0,VLOOKUP(B785,#REF!,4,FALSE),"")</f>
        <v>#REF!</v>
      </c>
      <c r="Y785" s="334" t="s">
        <v>3157</v>
      </c>
      <c r="Z785" s="334">
        <f t="shared" si="222"/>
        <v>275.91000000000003</v>
      </c>
      <c r="AA785" s="57"/>
      <c r="AB785" s="58" t="e">
        <f>IF(B785&lt;&gt;0,VLOOKUP(B785,#REF!,2,FALSE),"")</f>
        <v>#REF!</v>
      </c>
    </row>
    <row r="786" spans="1:28" s="55" customFormat="1" ht="45">
      <c r="A786" s="19" t="s">
        <v>1192</v>
      </c>
      <c r="B786" s="20">
        <v>91967</v>
      </c>
      <c r="C786" s="19" t="s">
        <v>1723</v>
      </c>
      <c r="D786" s="21" t="s">
        <v>12</v>
      </c>
      <c r="E786" s="21" t="s">
        <v>17</v>
      </c>
      <c r="F786" s="22">
        <v>3</v>
      </c>
      <c r="G786" s="22">
        <f t="shared" si="218"/>
        <v>37.791000000000004</v>
      </c>
      <c r="H786" s="22">
        <f t="shared" si="236"/>
        <v>47.92</v>
      </c>
      <c r="I786" s="147">
        <f t="shared" si="237"/>
        <v>143.76</v>
      </c>
      <c r="J786" s="148"/>
      <c r="K786" s="148"/>
      <c r="L786" s="148"/>
      <c r="M786" s="148">
        <v>42.1</v>
      </c>
      <c r="N786" s="148">
        <v>53.39</v>
      </c>
      <c r="O786" s="148">
        <v>160.16999999999999</v>
      </c>
      <c r="P786" s="494"/>
      <c r="Q786" s="148">
        <f t="shared" si="228"/>
        <v>0</v>
      </c>
      <c r="R786" s="148"/>
      <c r="S786" s="148">
        <f t="shared" si="238"/>
        <v>0</v>
      </c>
      <c r="T786" s="148">
        <f t="shared" si="235"/>
        <v>3</v>
      </c>
      <c r="U786" s="148">
        <f t="shared" si="231"/>
        <v>160.16999999999999</v>
      </c>
      <c r="V786" s="379"/>
      <c r="W786" s="379"/>
      <c r="X786" s="57" t="e">
        <f>IF(B786&lt;&gt;0,VLOOKUP(B786,#REF!,4,FALSE),"")</f>
        <v>#REF!</v>
      </c>
      <c r="Y786" s="334" t="s">
        <v>3159</v>
      </c>
      <c r="Z786" s="334">
        <f t="shared" si="222"/>
        <v>113.37300000000002</v>
      </c>
      <c r="AA786" s="57"/>
      <c r="AB786" s="58" t="e">
        <f>IF(B786&lt;&gt;0,VLOOKUP(B786,#REF!,2,FALSE),"")</f>
        <v>#REF!</v>
      </c>
    </row>
    <row r="787" spans="1:28" s="55" customFormat="1" ht="45">
      <c r="A787" s="19" t="s">
        <v>1193</v>
      </c>
      <c r="B787" s="20">
        <v>91955</v>
      </c>
      <c r="C787" s="19" t="s">
        <v>1724</v>
      </c>
      <c r="D787" s="21" t="s">
        <v>12</v>
      </c>
      <c r="E787" s="21" t="s">
        <v>17</v>
      </c>
      <c r="F787" s="22">
        <v>18</v>
      </c>
      <c r="G787" s="22">
        <f t="shared" si="218"/>
        <v>21.369</v>
      </c>
      <c r="H787" s="22">
        <f t="shared" si="236"/>
        <v>27.1</v>
      </c>
      <c r="I787" s="147">
        <f t="shared" si="237"/>
        <v>487.8</v>
      </c>
      <c r="J787" s="148"/>
      <c r="K787" s="148"/>
      <c r="L787" s="148"/>
      <c r="M787" s="148">
        <v>23.81</v>
      </c>
      <c r="N787" s="148">
        <v>30.19</v>
      </c>
      <c r="O787" s="148">
        <v>543.41999999999996</v>
      </c>
      <c r="P787" s="494"/>
      <c r="Q787" s="148">
        <f t="shared" si="228"/>
        <v>0</v>
      </c>
      <c r="R787" s="148"/>
      <c r="S787" s="148">
        <f t="shared" si="238"/>
        <v>0</v>
      </c>
      <c r="T787" s="148">
        <f t="shared" si="235"/>
        <v>18</v>
      </c>
      <c r="U787" s="148">
        <f t="shared" si="231"/>
        <v>543.41999999999996</v>
      </c>
      <c r="V787" s="379"/>
      <c r="W787" s="379"/>
      <c r="X787" s="57" t="e">
        <f>IF(B787&lt;&gt;0,VLOOKUP(B787,#REF!,4,FALSE),"")</f>
        <v>#REF!</v>
      </c>
      <c r="Y787" s="334" t="s">
        <v>1855</v>
      </c>
      <c r="Z787" s="334">
        <f t="shared" si="222"/>
        <v>384.642</v>
      </c>
      <c r="AA787" s="57"/>
      <c r="AB787" s="58" t="e">
        <f>IF(B787&lt;&gt;0,VLOOKUP(B787,#REF!,2,FALSE),"")</f>
        <v>#REF!</v>
      </c>
    </row>
    <row r="788" spans="1:28" s="55" customFormat="1" ht="45">
      <c r="A788" s="19" t="s">
        <v>1194</v>
      </c>
      <c r="B788" s="20">
        <v>91961</v>
      </c>
      <c r="C788" s="19" t="s">
        <v>1725</v>
      </c>
      <c r="D788" s="21" t="s">
        <v>12</v>
      </c>
      <c r="E788" s="21" t="s">
        <v>17</v>
      </c>
      <c r="F788" s="22">
        <v>16</v>
      </c>
      <c r="G788" s="22">
        <f t="shared" si="218"/>
        <v>35.521500000000003</v>
      </c>
      <c r="H788" s="22">
        <f t="shared" si="236"/>
        <v>45.04</v>
      </c>
      <c r="I788" s="147">
        <f t="shared" si="237"/>
        <v>720.64</v>
      </c>
      <c r="J788" s="148"/>
      <c r="K788" s="148"/>
      <c r="L788" s="148"/>
      <c r="M788" s="148">
        <v>39.57</v>
      </c>
      <c r="N788" s="148">
        <v>50.18</v>
      </c>
      <c r="O788" s="148">
        <v>802.88</v>
      </c>
      <c r="P788" s="494"/>
      <c r="Q788" s="148">
        <f t="shared" si="228"/>
        <v>0</v>
      </c>
      <c r="R788" s="148"/>
      <c r="S788" s="148">
        <f t="shared" si="238"/>
        <v>0</v>
      </c>
      <c r="T788" s="148">
        <f t="shared" si="235"/>
        <v>16</v>
      </c>
      <c r="U788" s="148">
        <f t="shared" si="231"/>
        <v>802.88</v>
      </c>
      <c r="V788" s="379"/>
      <c r="W788" s="379"/>
      <c r="X788" s="57" t="e">
        <f>IF(B788&lt;&gt;0,VLOOKUP(B788,#REF!,4,FALSE),"")</f>
        <v>#REF!</v>
      </c>
      <c r="Y788" s="334" t="s">
        <v>3135</v>
      </c>
      <c r="Z788" s="334">
        <f t="shared" si="222"/>
        <v>568.34400000000005</v>
      </c>
      <c r="AA788" s="57"/>
      <c r="AB788" s="58" t="e">
        <f>IF(B788&lt;&gt;0,VLOOKUP(B788,#REF!,2,FALSE),"")</f>
        <v>#REF!</v>
      </c>
    </row>
    <row r="789" spans="1:28" s="55" customFormat="1" ht="30">
      <c r="A789" s="19" t="s">
        <v>1195</v>
      </c>
      <c r="B789" s="20">
        <v>91979</v>
      </c>
      <c r="C789" s="19" t="s">
        <v>251</v>
      </c>
      <c r="D789" s="21" t="s">
        <v>12</v>
      </c>
      <c r="E789" s="21" t="s">
        <v>17</v>
      </c>
      <c r="F789" s="22">
        <v>1</v>
      </c>
      <c r="G789" s="22">
        <f t="shared" ref="G789:G852" si="239">Y789-(Y789*$Y$15)</f>
        <v>31.976999999999997</v>
      </c>
      <c r="H789" s="22">
        <f t="shared" si="236"/>
        <v>40.549999999999997</v>
      </c>
      <c r="I789" s="147">
        <f t="shared" si="237"/>
        <v>40.549999999999997</v>
      </c>
      <c r="J789" s="148"/>
      <c r="K789" s="148"/>
      <c r="L789" s="148"/>
      <c r="M789" s="148">
        <v>35.619999999999997</v>
      </c>
      <c r="N789" s="148">
        <v>45.17</v>
      </c>
      <c r="O789" s="148">
        <v>45.17</v>
      </c>
      <c r="P789" s="494"/>
      <c r="Q789" s="148">
        <f t="shared" si="228"/>
        <v>0</v>
      </c>
      <c r="R789" s="148"/>
      <c r="S789" s="148">
        <f t="shared" si="238"/>
        <v>0</v>
      </c>
      <c r="T789" s="148">
        <f t="shared" si="235"/>
        <v>1</v>
      </c>
      <c r="U789" s="148">
        <f t="shared" si="231"/>
        <v>45.17</v>
      </c>
      <c r="V789" s="379"/>
      <c r="W789" s="379"/>
      <c r="X789" s="57" t="e">
        <f>IF(B789&lt;&gt;0,VLOOKUP(B789,#REF!,4,FALSE),"")</f>
        <v>#REF!</v>
      </c>
      <c r="Y789" s="334" t="s">
        <v>3160</v>
      </c>
      <c r="Z789" s="334">
        <f t="shared" ref="Z789:Z852" si="240">F789*G789</f>
        <v>31.976999999999997</v>
      </c>
      <c r="AA789" s="57"/>
      <c r="AB789" s="58" t="e">
        <f>IF(B789&lt;&gt;0,VLOOKUP(B789,#REF!,2,FALSE),"")</f>
        <v>#REF!</v>
      </c>
    </row>
    <row r="790" spans="1:28" s="55" customFormat="1">
      <c r="A790" s="229" t="s">
        <v>1196</v>
      </c>
      <c r="B790" s="229"/>
      <c r="C790" s="229" t="s">
        <v>214</v>
      </c>
      <c r="D790" s="230"/>
      <c r="E790" s="230"/>
      <c r="F790" s="230"/>
      <c r="G790" s="22"/>
      <c r="H790" s="230"/>
      <c r="I790" s="445"/>
      <c r="J790" s="440"/>
      <c r="K790" s="440"/>
      <c r="L790" s="440"/>
      <c r="M790" s="440"/>
      <c r="N790" s="440"/>
      <c r="O790" s="440"/>
      <c r="P790" s="492"/>
      <c r="Q790" s="148">
        <f t="shared" si="228"/>
        <v>0</v>
      </c>
      <c r="R790" s="440"/>
      <c r="S790" s="440"/>
      <c r="T790" s="148"/>
      <c r="U790" s="148"/>
      <c r="V790" s="330"/>
      <c r="W790" s="330"/>
      <c r="X790" s="58"/>
      <c r="Y790" s="334"/>
      <c r="Z790" s="334">
        <f t="shared" si="240"/>
        <v>0</v>
      </c>
      <c r="AA790" s="58"/>
      <c r="AB790" s="58"/>
    </row>
    <row r="791" spans="1:28" s="55" customFormat="1" ht="45">
      <c r="A791" s="19" t="s">
        <v>1197</v>
      </c>
      <c r="B791" s="20">
        <v>91926</v>
      </c>
      <c r="C791" s="19" t="s">
        <v>1713</v>
      </c>
      <c r="D791" s="21" t="s">
        <v>12</v>
      </c>
      <c r="E791" s="21" t="s">
        <v>52</v>
      </c>
      <c r="F791" s="22">
        <v>12922</v>
      </c>
      <c r="G791" s="22">
        <f t="shared" si="239"/>
        <v>3.0684999999999998</v>
      </c>
      <c r="H791" s="22">
        <f>ROUND(G791*(1+$X$14),2)</f>
        <v>3.89</v>
      </c>
      <c r="I791" s="147">
        <f>ROUND(H791*F791,2)</f>
        <v>50266.58</v>
      </c>
      <c r="J791" s="148"/>
      <c r="K791" s="148"/>
      <c r="L791" s="148"/>
      <c r="M791" s="148">
        <v>4.33</v>
      </c>
      <c r="N791" s="148">
        <v>5.49</v>
      </c>
      <c r="O791" s="148">
        <v>70941.78</v>
      </c>
      <c r="P791" s="494"/>
      <c r="Q791" s="148">
        <f t="shared" si="228"/>
        <v>0</v>
      </c>
      <c r="R791" s="148"/>
      <c r="S791" s="148">
        <f>ROUND(R791*P791,2)</f>
        <v>0</v>
      </c>
      <c r="T791" s="148">
        <f t="shared" si="235"/>
        <v>12922</v>
      </c>
      <c r="U791" s="148">
        <f t="shared" si="231"/>
        <v>70941.78</v>
      </c>
      <c r="V791" s="379"/>
      <c r="W791" s="379"/>
      <c r="X791" s="57" t="e">
        <f>IF(B791&lt;&gt;0,VLOOKUP(B791,#REF!,4,FALSE),"")</f>
        <v>#REF!</v>
      </c>
      <c r="Y791" s="334" t="s">
        <v>3104</v>
      </c>
      <c r="Z791" s="334">
        <f t="shared" si="240"/>
        <v>39651.156999999999</v>
      </c>
      <c r="AA791" s="57"/>
      <c r="AB791" s="58" t="e">
        <f>IF(B791&lt;&gt;0,VLOOKUP(B791,#REF!,2,FALSE),"")</f>
        <v>#REF!</v>
      </c>
    </row>
    <row r="792" spans="1:28" s="55" customFormat="1" ht="15" customHeight="1">
      <c r="A792" s="229" t="s">
        <v>1198</v>
      </c>
      <c r="B792" s="229"/>
      <c r="C792" s="229" t="s">
        <v>216</v>
      </c>
      <c r="D792" s="230"/>
      <c r="E792" s="230"/>
      <c r="F792" s="230"/>
      <c r="G792" s="22"/>
      <c r="H792" s="230"/>
      <c r="I792" s="445"/>
      <c r="J792" s="440"/>
      <c r="K792" s="440"/>
      <c r="L792" s="440"/>
      <c r="M792" s="440"/>
      <c r="N792" s="440"/>
      <c r="O792" s="440"/>
      <c r="P792" s="492"/>
      <c r="Q792" s="148">
        <f t="shared" si="228"/>
        <v>0</v>
      </c>
      <c r="R792" s="440"/>
      <c r="S792" s="440"/>
      <c r="T792" s="148"/>
      <c r="U792" s="148"/>
      <c r="V792" s="330"/>
      <c r="W792" s="330"/>
      <c r="X792" s="58"/>
      <c r="Y792" s="334"/>
      <c r="Z792" s="334">
        <f t="shared" si="240"/>
        <v>0</v>
      </c>
      <c r="AA792" s="58"/>
      <c r="AB792" s="58"/>
    </row>
    <row r="793" spans="1:28" s="55" customFormat="1" ht="45">
      <c r="A793" s="19" t="s">
        <v>1199</v>
      </c>
      <c r="B793" s="20">
        <v>95779</v>
      </c>
      <c r="C793" s="19" t="s">
        <v>1710</v>
      </c>
      <c r="D793" s="21" t="s">
        <v>12</v>
      </c>
      <c r="E793" s="21" t="s">
        <v>17</v>
      </c>
      <c r="F793" s="22">
        <v>6</v>
      </c>
      <c r="G793" s="22">
        <f t="shared" si="239"/>
        <v>17.442</v>
      </c>
      <c r="H793" s="22">
        <f t="shared" ref="H793:H802" si="241">ROUND(G793*(1+$X$14),2)</f>
        <v>22.12</v>
      </c>
      <c r="I793" s="147">
        <f t="shared" ref="I793:I802" si="242">ROUND(H793*F793,2)</f>
        <v>132.72</v>
      </c>
      <c r="J793" s="148"/>
      <c r="K793" s="148"/>
      <c r="L793" s="148"/>
      <c r="M793" s="148">
        <v>19.43</v>
      </c>
      <c r="N793" s="148">
        <v>24.64</v>
      </c>
      <c r="O793" s="148">
        <v>147.84</v>
      </c>
      <c r="P793" s="494"/>
      <c r="Q793" s="148">
        <f t="shared" si="228"/>
        <v>0</v>
      </c>
      <c r="R793" s="148"/>
      <c r="S793" s="148">
        <f t="shared" ref="S793:S802" si="243">ROUND(R793*P793,2)</f>
        <v>0</v>
      </c>
      <c r="T793" s="148">
        <f t="shared" si="235"/>
        <v>6</v>
      </c>
      <c r="U793" s="148">
        <f t="shared" si="231"/>
        <v>147.84</v>
      </c>
      <c r="V793" s="379"/>
      <c r="W793" s="379"/>
      <c r="X793" s="57" t="e">
        <f>IF(B793&lt;&gt;0,VLOOKUP(B793,#REF!,4,FALSE),"")</f>
        <v>#REF!</v>
      </c>
      <c r="Y793" s="334" t="s">
        <v>1899</v>
      </c>
      <c r="Z793" s="334">
        <f t="shared" si="240"/>
        <v>104.652</v>
      </c>
      <c r="AA793" s="57"/>
      <c r="AB793" s="58" t="e">
        <f>IF(B793&lt;&gt;0,VLOOKUP(B793,#REF!,2,FALSE),"")</f>
        <v>#REF!</v>
      </c>
    </row>
    <row r="794" spans="1:28" s="55" customFormat="1" ht="45">
      <c r="A794" s="19" t="s">
        <v>1200</v>
      </c>
      <c r="B794" s="20">
        <v>95795</v>
      </c>
      <c r="C794" s="19" t="s">
        <v>1707</v>
      </c>
      <c r="D794" s="21" t="s">
        <v>12</v>
      </c>
      <c r="E794" s="21" t="s">
        <v>17</v>
      </c>
      <c r="F794" s="22">
        <v>5</v>
      </c>
      <c r="G794" s="22">
        <f t="shared" si="239"/>
        <v>21.488</v>
      </c>
      <c r="H794" s="22">
        <f t="shared" si="241"/>
        <v>27.25</v>
      </c>
      <c r="I794" s="147">
        <f t="shared" si="242"/>
        <v>136.25</v>
      </c>
      <c r="J794" s="148"/>
      <c r="K794" s="148"/>
      <c r="L794" s="148"/>
      <c r="M794" s="148">
        <v>23.94</v>
      </c>
      <c r="N794" s="148">
        <v>30.36</v>
      </c>
      <c r="O794" s="148">
        <v>151.80000000000001</v>
      </c>
      <c r="P794" s="494"/>
      <c r="Q794" s="148">
        <f t="shared" si="228"/>
        <v>0</v>
      </c>
      <c r="R794" s="148"/>
      <c r="S794" s="148">
        <f t="shared" si="243"/>
        <v>0</v>
      </c>
      <c r="T794" s="148">
        <f t="shared" si="235"/>
        <v>5</v>
      </c>
      <c r="U794" s="148">
        <f t="shared" si="231"/>
        <v>151.80000000000001</v>
      </c>
      <c r="V794" s="379"/>
      <c r="W794" s="379"/>
      <c r="X794" s="57" t="e">
        <f>IF(B794&lt;&gt;0,VLOOKUP(B794,#REF!,4,FALSE),"")</f>
        <v>#REF!</v>
      </c>
      <c r="Y794" s="334" t="s">
        <v>3235</v>
      </c>
      <c r="Z794" s="334">
        <f t="shared" si="240"/>
        <v>107.44</v>
      </c>
      <c r="AA794" s="57"/>
      <c r="AB794" s="58" t="e">
        <f>IF(B794&lt;&gt;0,VLOOKUP(B794,#REF!,2,FALSE),"")</f>
        <v>#REF!</v>
      </c>
    </row>
    <row r="795" spans="1:28" s="55" customFormat="1" ht="45">
      <c r="A795" s="19" t="s">
        <v>1201</v>
      </c>
      <c r="B795" s="20">
        <v>95778</v>
      </c>
      <c r="C795" s="19" t="s">
        <v>1709</v>
      </c>
      <c r="D795" s="21" t="s">
        <v>12</v>
      </c>
      <c r="E795" s="21" t="s">
        <v>17</v>
      </c>
      <c r="F795" s="22">
        <v>2</v>
      </c>
      <c r="G795" s="22">
        <f t="shared" si="239"/>
        <v>19.3035</v>
      </c>
      <c r="H795" s="22">
        <f t="shared" si="241"/>
        <v>24.48</v>
      </c>
      <c r="I795" s="147">
        <f t="shared" si="242"/>
        <v>48.96</v>
      </c>
      <c r="J795" s="148"/>
      <c r="K795" s="148"/>
      <c r="L795" s="148"/>
      <c r="M795" s="148">
        <v>21.5</v>
      </c>
      <c r="N795" s="148">
        <v>27.26</v>
      </c>
      <c r="O795" s="148">
        <v>54.52</v>
      </c>
      <c r="P795" s="494"/>
      <c r="Q795" s="148">
        <f t="shared" si="228"/>
        <v>0</v>
      </c>
      <c r="R795" s="148"/>
      <c r="S795" s="148">
        <f t="shared" si="243"/>
        <v>0</v>
      </c>
      <c r="T795" s="148">
        <f t="shared" si="235"/>
        <v>2</v>
      </c>
      <c r="U795" s="148">
        <f t="shared" si="231"/>
        <v>54.52</v>
      </c>
      <c r="V795" s="379"/>
      <c r="W795" s="379"/>
      <c r="X795" s="57" t="e">
        <f>IF(B795&lt;&gt;0,VLOOKUP(B795,#REF!,4,FALSE),"")</f>
        <v>#REF!</v>
      </c>
      <c r="Y795" s="334" t="s">
        <v>3134</v>
      </c>
      <c r="Z795" s="334">
        <f t="shared" si="240"/>
        <v>38.606999999999999</v>
      </c>
      <c r="AA795" s="57"/>
      <c r="AB795" s="58" t="e">
        <f>IF(B795&lt;&gt;0,VLOOKUP(B795,#REF!,2,FALSE),"")</f>
        <v>#REF!</v>
      </c>
    </row>
    <row r="796" spans="1:28" s="55" customFormat="1" ht="45">
      <c r="A796" s="19" t="s">
        <v>1202</v>
      </c>
      <c r="B796" s="20">
        <v>95787</v>
      </c>
      <c r="C796" s="19" t="s">
        <v>1708</v>
      </c>
      <c r="D796" s="21" t="s">
        <v>12</v>
      </c>
      <c r="E796" s="21" t="s">
        <v>17</v>
      </c>
      <c r="F796" s="22">
        <v>8</v>
      </c>
      <c r="G796" s="22">
        <f t="shared" si="239"/>
        <v>18.614999999999998</v>
      </c>
      <c r="H796" s="22">
        <f t="shared" si="241"/>
        <v>23.61</v>
      </c>
      <c r="I796" s="147">
        <f t="shared" si="242"/>
        <v>188.88</v>
      </c>
      <c r="J796" s="148"/>
      <c r="K796" s="148"/>
      <c r="L796" s="148"/>
      <c r="M796" s="148">
        <v>20.74</v>
      </c>
      <c r="N796" s="148">
        <v>26.3</v>
      </c>
      <c r="O796" s="148">
        <v>210.4</v>
      </c>
      <c r="P796" s="494"/>
      <c r="Q796" s="148">
        <f t="shared" si="228"/>
        <v>0</v>
      </c>
      <c r="R796" s="148"/>
      <c r="S796" s="148">
        <f t="shared" si="243"/>
        <v>0</v>
      </c>
      <c r="T796" s="148">
        <f t="shared" si="235"/>
        <v>8</v>
      </c>
      <c r="U796" s="148">
        <f t="shared" si="231"/>
        <v>210.4</v>
      </c>
      <c r="V796" s="379"/>
      <c r="W796" s="379"/>
      <c r="X796" s="57" t="e">
        <f>IF(B796&lt;&gt;0,VLOOKUP(B796,#REF!,4,FALSE),"")</f>
        <v>#REF!</v>
      </c>
      <c r="Y796" s="334" t="s">
        <v>1887</v>
      </c>
      <c r="Z796" s="334">
        <f t="shared" si="240"/>
        <v>148.91999999999999</v>
      </c>
      <c r="AA796" s="57"/>
      <c r="AB796" s="58" t="e">
        <f>IF(B796&lt;&gt;0,VLOOKUP(B796,#REF!,2,FALSE),"")</f>
        <v>#REF!</v>
      </c>
    </row>
    <row r="797" spans="1:28" s="55" customFormat="1" ht="30">
      <c r="A797" s="19" t="s">
        <v>1203</v>
      </c>
      <c r="B797" s="20">
        <v>91936</v>
      </c>
      <c r="C797" s="19" t="s">
        <v>1726</v>
      </c>
      <c r="D797" s="21" t="s">
        <v>12</v>
      </c>
      <c r="E797" s="21" t="s">
        <v>17</v>
      </c>
      <c r="F797" s="22">
        <v>254</v>
      </c>
      <c r="G797" s="22">
        <f t="shared" si="239"/>
        <v>8.4065000000000012</v>
      </c>
      <c r="H797" s="22">
        <f t="shared" si="241"/>
        <v>10.66</v>
      </c>
      <c r="I797" s="147">
        <f t="shared" si="242"/>
        <v>2707.64</v>
      </c>
      <c r="J797" s="148"/>
      <c r="K797" s="148"/>
      <c r="L797" s="148"/>
      <c r="M797" s="148">
        <v>9.36</v>
      </c>
      <c r="N797" s="148">
        <v>11.87</v>
      </c>
      <c r="O797" s="148">
        <v>3014.98</v>
      </c>
      <c r="P797" s="494"/>
      <c r="Q797" s="148">
        <f t="shared" si="228"/>
        <v>0</v>
      </c>
      <c r="R797" s="148"/>
      <c r="S797" s="148">
        <f t="shared" si="243"/>
        <v>0</v>
      </c>
      <c r="T797" s="148">
        <f t="shared" si="235"/>
        <v>254</v>
      </c>
      <c r="U797" s="148">
        <f t="shared" si="231"/>
        <v>3014.98</v>
      </c>
      <c r="V797" s="379"/>
      <c r="W797" s="379"/>
      <c r="X797" s="57" t="e">
        <f>IF(B797&lt;&gt;0,VLOOKUP(B797,#REF!,4,FALSE),"")</f>
        <v>#REF!</v>
      </c>
      <c r="Y797" s="334" t="s">
        <v>1898</v>
      </c>
      <c r="Z797" s="334">
        <f t="shared" si="240"/>
        <v>2135.2510000000002</v>
      </c>
      <c r="AA797" s="57"/>
      <c r="AB797" s="58" t="e">
        <f>IF(B797&lt;&gt;0,VLOOKUP(B797,#REF!,2,FALSE),"")</f>
        <v>#REF!</v>
      </c>
    </row>
    <row r="798" spans="1:28" s="55" customFormat="1" ht="45">
      <c r="A798" s="19" t="s">
        <v>1204</v>
      </c>
      <c r="B798" s="20">
        <v>91941</v>
      </c>
      <c r="C798" s="19" t="s">
        <v>1716</v>
      </c>
      <c r="D798" s="21" t="s">
        <v>12</v>
      </c>
      <c r="E798" s="21" t="s">
        <v>17</v>
      </c>
      <c r="F798" s="22">
        <v>142</v>
      </c>
      <c r="G798" s="22">
        <f t="shared" si="239"/>
        <v>6.0775000000000006</v>
      </c>
      <c r="H798" s="22">
        <f t="shared" si="241"/>
        <v>7.71</v>
      </c>
      <c r="I798" s="147">
        <f t="shared" si="242"/>
        <v>1094.82</v>
      </c>
      <c r="J798" s="148"/>
      <c r="K798" s="148"/>
      <c r="L798" s="148"/>
      <c r="M798" s="148">
        <v>6.77</v>
      </c>
      <c r="N798" s="148">
        <v>8.59</v>
      </c>
      <c r="O798" s="148">
        <v>1219.78</v>
      </c>
      <c r="P798" s="494"/>
      <c r="Q798" s="148">
        <f t="shared" si="228"/>
        <v>0</v>
      </c>
      <c r="R798" s="148"/>
      <c r="S798" s="148">
        <f t="shared" si="243"/>
        <v>0</v>
      </c>
      <c r="T798" s="148">
        <f t="shared" si="235"/>
        <v>142</v>
      </c>
      <c r="U798" s="148">
        <f t="shared" si="231"/>
        <v>1219.78</v>
      </c>
      <c r="V798" s="379"/>
      <c r="W798" s="379"/>
      <c r="X798" s="57" t="e">
        <f>IF(B798&lt;&gt;0,VLOOKUP(B798,#REF!,4,FALSE),"")</f>
        <v>#REF!</v>
      </c>
      <c r="Y798" s="334" t="s">
        <v>3125</v>
      </c>
      <c r="Z798" s="334">
        <f t="shared" si="240"/>
        <v>863.00500000000011</v>
      </c>
      <c r="AA798" s="57"/>
      <c r="AB798" s="58" t="e">
        <f>IF(B798&lt;&gt;0,VLOOKUP(B798,#REF!,2,FALSE),"")</f>
        <v>#REF!</v>
      </c>
    </row>
    <row r="799" spans="1:28" s="55" customFormat="1" ht="45">
      <c r="A799" s="19" t="s">
        <v>1205</v>
      </c>
      <c r="B799" s="20">
        <v>91940</v>
      </c>
      <c r="C799" s="19" t="s">
        <v>1727</v>
      </c>
      <c r="D799" s="21" t="s">
        <v>12</v>
      </c>
      <c r="E799" s="21" t="s">
        <v>17</v>
      </c>
      <c r="F799" s="22">
        <v>128</v>
      </c>
      <c r="G799" s="22">
        <f t="shared" si="239"/>
        <v>8.8484999999999996</v>
      </c>
      <c r="H799" s="22">
        <f t="shared" si="241"/>
        <v>11.22</v>
      </c>
      <c r="I799" s="147">
        <f t="shared" si="242"/>
        <v>1436.16</v>
      </c>
      <c r="J799" s="148"/>
      <c r="K799" s="148"/>
      <c r="L799" s="148"/>
      <c r="M799" s="148">
        <v>9.86</v>
      </c>
      <c r="N799" s="148">
        <v>12.5</v>
      </c>
      <c r="O799" s="148">
        <v>1600</v>
      </c>
      <c r="P799" s="494"/>
      <c r="Q799" s="148">
        <f t="shared" si="228"/>
        <v>0</v>
      </c>
      <c r="R799" s="148"/>
      <c r="S799" s="148">
        <f t="shared" si="243"/>
        <v>0</v>
      </c>
      <c r="T799" s="148">
        <f t="shared" si="235"/>
        <v>128</v>
      </c>
      <c r="U799" s="148">
        <f t="shared" si="231"/>
        <v>1600</v>
      </c>
      <c r="V799" s="379"/>
      <c r="W799" s="379"/>
      <c r="X799" s="57" t="e">
        <f>IF(B799&lt;&gt;0,VLOOKUP(B799,#REF!,4,FALSE),"")</f>
        <v>#REF!</v>
      </c>
      <c r="Y799" s="334" t="s">
        <v>3190</v>
      </c>
      <c r="Z799" s="334">
        <f t="shared" si="240"/>
        <v>1132.6079999999999</v>
      </c>
      <c r="AA799" s="57"/>
      <c r="AB799" s="58" t="e">
        <f>IF(B799&lt;&gt;0,VLOOKUP(B799,#REF!,2,FALSE),"")</f>
        <v>#REF!</v>
      </c>
    </row>
    <row r="800" spans="1:28" s="55" customFormat="1" ht="45">
      <c r="A800" s="19" t="s">
        <v>1206</v>
      </c>
      <c r="B800" s="20">
        <v>91939</v>
      </c>
      <c r="C800" s="19" t="s">
        <v>1715</v>
      </c>
      <c r="D800" s="21" t="s">
        <v>12</v>
      </c>
      <c r="E800" s="21" t="s">
        <v>17</v>
      </c>
      <c r="F800" s="22">
        <v>30</v>
      </c>
      <c r="G800" s="22">
        <f t="shared" si="239"/>
        <v>16.234999999999999</v>
      </c>
      <c r="H800" s="22">
        <f t="shared" si="241"/>
        <v>20.59</v>
      </c>
      <c r="I800" s="147">
        <f t="shared" si="242"/>
        <v>617.70000000000005</v>
      </c>
      <c r="J800" s="148"/>
      <c r="K800" s="148"/>
      <c r="L800" s="148"/>
      <c r="M800" s="148">
        <v>18.09</v>
      </c>
      <c r="N800" s="148">
        <v>22.94</v>
      </c>
      <c r="O800" s="148">
        <v>688.2</v>
      </c>
      <c r="P800" s="494"/>
      <c r="Q800" s="148">
        <f t="shared" si="228"/>
        <v>0</v>
      </c>
      <c r="R800" s="148"/>
      <c r="S800" s="148">
        <f t="shared" si="243"/>
        <v>0</v>
      </c>
      <c r="T800" s="148">
        <f t="shared" si="235"/>
        <v>30</v>
      </c>
      <c r="U800" s="148">
        <f t="shared" si="231"/>
        <v>688.2</v>
      </c>
      <c r="V800" s="379"/>
      <c r="W800" s="379"/>
      <c r="X800" s="57" t="e">
        <f>IF(B800&lt;&gt;0,VLOOKUP(B800,#REF!,4,FALSE),"")</f>
        <v>#REF!</v>
      </c>
      <c r="Y800" s="334" t="s">
        <v>3233</v>
      </c>
      <c r="Z800" s="334">
        <f t="shared" si="240"/>
        <v>487.04999999999995</v>
      </c>
      <c r="AA800" s="57"/>
      <c r="AB800" s="58" t="e">
        <f>IF(B800&lt;&gt;0,VLOOKUP(B800,#REF!,2,FALSE),"")</f>
        <v>#REF!</v>
      </c>
    </row>
    <row r="801" spans="1:28" s="55" customFormat="1" ht="45">
      <c r="A801" s="19" t="s">
        <v>1207</v>
      </c>
      <c r="B801" s="20">
        <v>91944</v>
      </c>
      <c r="C801" s="19" t="s">
        <v>1728</v>
      </c>
      <c r="D801" s="21" t="s">
        <v>12</v>
      </c>
      <c r="E801" s="21" t="s">
        <v>17</v>
      </c>
      <c r="F801" s="22">
        <v>2</v>
      </c>
      <c r="G801" s="22">
        <f t="shared" si="239"/>
        <v>8.5</v>
      </c>
      <c r="H801" s="22">
        <f t="shared" si="241"/>
        <v>10.78</v>
      </c>
      <c r="I801" s="147">
        <f t="shared" si="242"/>
        <v>21.56</v>
      </c>
      <c r="J801" s="148"/>
      <c r="K801" s="148"/>
      <c r="L801" s="148"/>
      <c r="M801" s="148">
        <v>9.4700000000000006</v>
      </c>
      <c r="N801" s="148">
        <v>12.01</v>
      </c>
      <c r="O801" s="148">
        <v>24.02</v>
      </c>
      <c r="P801" s="494"/>
      <c r="Q801" s="148">
        <f t="shared" si="228"/>
        <v>0</v>
      </c>
      <c r="R801" s="148"/>
      <c r="S801" s="148">
        <f t="shared" si="243"/>
        <v>0</v>
      </c>
      <c r="T801" s="148">
        <f t="shared" si="235"/>
        <v>2</v>
      </c>
      <c r="U801" s="148">
        <f t="shared" si="231"/>
        <v>24.02</v>
      </c>
      <c r="V801" s="379"/>
      <c r="W801" s="379"/>
      <c r="X801" s="57" t="e">
        <f>IF(B801&lt;&gt;0,VLOOKUP(B801,#REF!,4,FALSE),"")</f>
        <v>#REF!</v>
      </c>
      <c r="Y801" s="334" t="s">
        <v>2643</v>
      </c>
      <c r="Z801" s="334">
        <f t="shared" si="240"/>
        <v>17</v>
      </c>
      <c r="AA801" s="57"/>
      <c r="AB801" s="58" t="e">
        <f>IF(B801&lt;&gt;0,VLOOKUP(B801,#REF!,2,FALSE),"")</f>
        <v>#REF!</v>
      </c>
    </row>
    <row r="802" spans="1:28" s="55" customFormat="1" ht="45">
      <c r="A802" s="36" t="s">
        <v>3637</v>
      </c>
      <c r="B802" s="20">
        <v>97881</v>
      </c>
      <c r="C802" s="439" t="s">
        <v>3630</v>
      </c>
      <c r="D802" s="21" t="s">
        <v>12</v>
      </c>
      <c r="E802" s="21" t="s">
        <v>17</v>
      </c>
      <c r="F802" s="22">
        <v>1</v>
      </c>
      <c r="G802" s="22">
        <f t="shared" si="239"/>
        <v>84.243499999999997</v>
      </c>
      <c r="H802" s="22">
        <f t="shared" si="241"/>
        <v>106.83</v>
      </c>
      <c r="I802" s="147">
        <f t="shared" si="242"/>
        <v>106.83</v>
      </c>
      <c r="J802" s="148"/>
      <c r="K802" s="148"/>
      <c r="L802" s="148"/>
      <c r="M802" s="148">
        <v>93.85</v>
      </c>
      <c r="N802" s="148">
        <v>119.01</v>
      </c>
      <c r="O802" s="148">
        <v>119.01</v>
      </c>
      <c r="P802" s="494"/>
      <c r="Q802" s="148">
        <f t="shared" si="228"/>
        <v>0</v>
      </c>
      <c r="R802" s="148"/>
      <c r="S802" s="148">
        <f t="shared" si="243"/>
        <v>0</v>
      </c>
      <c r="T802" s="148">
        <f t="shared" si="235"/>
        <v>1</v>
      </c>
      <c r="U802" s="148">
        <f t="shared" si="231"/>
        <v>119.01</v>
      </c>
      <c r="V802" s="379"/>
      <c r="W802" s="379"/>
      <c r="X802" s="57" t="e">
        <f>IF(B802&lt;&gt;0,VLOOKUP(B802,#REF!,4,FALSE),"")</f>
        <v>#REF!</v>
      </c>
      <c r="Y802" s="334" t="s">
        <v>3237</v>
      </c>
      <c r="Z802" s="334">
        <f t="shared" si="240"/>
        <v>84.243499999999997</v>
      </c>
      <c r="AA802" s="57"/>
      <c r="AB802" s="58" t="e">
        <f>IF(B802&lt;&gt;0,VLOOKUP(B802,#REF!,2,FALSE),"")</f>
        <v>#REF!</v>
      </c>
    </row>
    <row r="803" spans="1:28" s="55" customFormat="1">
      <c r="A803" s="229" t="s">
        <v>1208</v>
      </c>
      <c r="B803" s="229"/>
      <c r="C803" s="229" t="s">
        <v>252</v>
      </c>
      <c r="D803" s="230"/>
      <c r="E803" s="230"/>
      <c r="F803" s="230"/>
      <c r="G803" s="22"/>
      <c r="H803" s="230"/>
      <c r="I803" s="445"/>
      <c r="J803" s="440"/>
      <c r="K803" s="440"/>
      <c r="L803" s="440"/>
      <c r="M803" s="440"/>
      <c r="N803" s="440"/>
      <c r="O803" s="440"/>
      <c r="P803" s="492"/>
      <c r="Q803" s="148">
        <f t="shared" si="228"/>
        <v>0</v>
      </c>
      <c r="R803" s="440"/>
      <c r="S803" s="440"/>
      <c r="T803" s="148"/>
      <c r="U803" s="148"/>
      <c r="V803" s="330"/>
      <c r="W803" s="330"/>
      <c r="X803" s="58"/>
      <c r="Y803" s="334"/>
      <c r="Z803" s="334">
        <f t="shared" si="240"/>
        <v>0</v>
      </c>
      <c r="AA803" s="58"/>
      <c r="AB803" s="58"/>
    </row>
    <row r="804" spans="1:28" s="55" customFormat="1" ht="30">
      <c r="A804" s="19" t="s">
        <v>1209</v>
      </c>
      <c r="B804" s="20">
        <v>97597</v>
      </c>
      <c r="C804" s="19" t="s">
        <v>253</v>
      </c>
      <c r="D804" s="21" t="s">
        <v>12</v>
      </c>
      <c r="E804" s="21" t="s">
        <v>17</v>
      </c>
      <c r="F804" s="22">
        <v>22</v>
      </c>
      <c r="G804" s="22">
        <f t="shared" si="239"/>
        <v>36.244</v>
      </c>
      <c r="H804" s="22">
        <f>ROUND(G804*(1+$X$14),2)</f>
        <v>45.96</v>
      </c>
      <c r="I804" s="147">
        <f>ROUND(H804*F804,2)</f>
        <v>1011.12</v>
      </c>
      <c r="J804" s="148"/>
      <c r="K804" s="148"/>
      <c r="L804" s="148"/>
      <c r="M804" s="148">
        <v>40.380000000000003</v>
      </c>
      <c r="N804" s="148">
        <v>51.21</v>
      </c>
      <c r="O804" s="148">
        <v>1126.6199999999999</v>
      </c>
      <c r="P804" s="494"/>
      <c r="Q804" s="148">
        <f t="shared" si="228"/>
        <v>0</v>
      </c>
      <c r="R804" s="148"/>
      <c r="S804" s="148">
        <f>ROUND(R804*P804,2)</f>
        <v>0</v>
      </c>
      <c r="T804" s="148">
        <f t="shared" si="235"/>
        <v>22</v>
      </c>
      <c r="U804" s="148">
        <f t="shared" si="231"/>
        <v>1126.6199999999999</v>
      </c>
      <c r="V804" s="379"/>
      <c r="W804" s="379"/>
      <c r="X804" s="57" t="e">
        <f>IF(B804&lt;&gt;0,VLOOKUP(B804,#REF!,4,FALSE),"")</f>
        <v>#REF!</v>
      </c>
      <c r="Y804" s="334" t="s">
        <v>3143</v>
      </c>
      <c r="Z804" s="334">
        <f t="shared" si="240"/>
        <v>797.36799999999994</v>
      </c>
      <c r="AA804" s="57"/>
      <c r="AB804" s="58" t="e">
        <f>IF(B804&lt;&gt;0,VLOOKUP(B804,#REF!,2,FALSE),"")</f>
        <v>#REF!</v>
      </c>
    </row>
    <row r="805" spans="1:28" ht="23.25" customHeight="1">
      <c r="A805" s="19"/>
      <c r="B805" s="20"/>
      <c r="C805" s="19"/>
      <c r="D805" s="21"/>
      <c r="E805" s="21"/>
      <c r="F805" s="22"/>
      <c r="G805" s="22"/>
      <c r="H805" s="22"/>
      <c r="I805" s="147"/>
      <c r="J805" s="148"/>
      <c r="K805" s="148"/>
      <c r="L805" s="148"/>
      <c r="M805" s="148"/>
      <c r="N805" s="148"/>
      <c r="O805" s="148"/>
      <c r="P805" s="494"/>
      <c r="Q805" s="148"/>
      <c r="R805" s="148"/>
      <c r="S805" s="148"/>
      <c r="T805" s="148"/>
      <c r="U805" s="148"/>
      <c r="V805" s="379"/>
      <c r="W805" s="379"/>
      <c r="X805" s="33"/>
      <c r="Y805" s="337"/>
      <c r="Z805" s="334">
        <f t="shared" si="240"/>
        <v>0</v>
      </c>
      <c r="AA805" s="33"/>
      <c r="AB805" s="30"/>
    </row>
    <row r="806" spans="1:28">
      <c r="A806" s="229" t="s">
        <v>1210</v>
      </c>
      <c r="B806" s="229"/>
      <c r="C806" s="229" t="s">
        <v>254</v>
      </c>
      <c r="D806" s="230"/>
      <c r="E806" s="230"/>
      <c r="F806" s="230"/>
      <c r="G806" s="22"/>
      <c r="H806" s="230"/>
      <c r="I806" s="445">
        <f>ROUND(SUM(I807:I1015),2)</f>
        <v>63474.09</v>
      </c>
      <c r="J806" s="440"/>
      <c r="K806" s="440"/>
      <c r="L806" s="440"/>
      <c r="M806" s="440"/>
      <c r="N806" s="440"/>
      <c r="O806" s="440">
        <v>70714.429999999993</v>
      </c>
      <c r="P806" s="492"/>
      <c r="Q806" s="440">
        <f>ROUND(SUM(Q807:Q1015),2)</f>
        <v>0</v>
      </c>
      <c r="R806" s="440"/>
      <c r="S806" s="440">
        <f>ROUND(SUM(S807:S1015),2)</f>
        <v>0</v>
      </c>
      <c r="T806" s="148"/>
      <c r="U806" s="440">
        <f t="shared" si="231"/>
        <v>70714.429999999993</v>
      </c>
      <c r="V806" s="99"/>
      <c r="W806" s="99"/>
      <c r="X806" s="1"/>
      <c r="Y806" s="344"/>
      <c r="Z806" s="334">
        <f t="shared" si="240"/>
        <v>0</v>
      </c>
      <c r="AA806" s="344"/>
      <c r="AB806" s="30"/>
    </row>
    <row r="807" spans="1:28" s="55" customFormat="1">
      <c r="A807" s="229" t="s">
        <v>1211</v>
      </c>
      <c r="B807" s="229"/>
      <c r="C807" s="229" t="s">
        <v>255</v>
      </c>
      <c r="D807" s="230"/>
      <c r="E807" s="230"/>
      <c r="F807" s="230"/>
      <c r="G807" s="22"/>
      <c r="H807" s="230"/>
      <c r="I807" s="445"/>
      <c r="J807" s="440"/>
      <c r="K807" s="440"/>
      <c r="L807" s="440"/>
      <c r="M807" s="440"/>
      <c r="N807" s="440"/>
      <c r="O807" s="440"/>
      <c r="P807" s="492"/>
      <c r="Q807" s="440"/>
      <c r="R807" s="440"/>
      <c r="S807" s="440"/>
      <c r="T807" s="148"/>
      <c r="U807" s="148"/>
      <c r="V807" s="330"/>
      <c r="W807" s="330"/>
      <c r="X807" s="58"/>
      <c r="Y807" s="334"/>
      <c r="Z807" s="334">
        <f t="shared" si="240"/>
        <v>0</v>
      </c>
      <c r="AA807" s="58"/>
      <c r="AB807" s="58"/>
    </row>
    <row r="808" spans="1:28" s="55" customFormat="1" ht="45">
      <c r="A808" s="19" t="s">
        <v>1212</v>
      </c>
      <c r="B808" s="20">
        <v>3836</v>
      </c>
      <c r="C808" s="19" t="s">
        <v>256</v>
      </c>
      <c r="D808" s="21" t="s">
        <v>44</v>
      </c>
      <c r="E808" s="21" t="s">
        <v>17</v>
      </c>
      <c r="F808" s="22">
        <v>1</v>
      </c>
      <c r="G808" s="22">
        <f t="shared" si="239"/>
        <v>410.44799999999998</v>
      </c>
      <c r="H808" s="22">
        <f t="shared" ref="H808:H814" si="244">ROUND(G808*(1+$X$14),2)</f>
        <v>520.49</v>
      </c>
      <c r="I808" s="147">
        <f t="shared" ref="I808:I814" si="245">ROUND(H808*F808,2)</f>
        <v>520.49</v>
      </c>
      <c r="J808" s="148"/>
      <c r="K808" s="148"/>
      <c r="L808" s="148"/>
      <c r="M808" s="148">
        <v>457.24</v>
      </c>
      <c r="N808" s="148">
        <v>579.83000000000004</v>
      </c>
      <c r="O808" s="148">
        <v>579.83000000000004</v>
      </c>
      <c r="P808" s="494"/>
      <c r="Q808" s="148">
        <f t="shared" ref="Q808:Q871" si="246">ROUND(P808*N808,2)</f>
        <v>0</v>
      </c>
      <c r="R808" s="148"/>
      <c r="S808" s="148">
        <f t="shared" ref="S808:S814" si="247">ROUND(R808*P808,2)</f>
        <v>0</v>
      </c>
      <c r="T808" s="148">
        <f t="shared" ref="T808:T869" si="248">F808+P808-R808</f>
        <v>1</v>
      </c>
      <c r="U808" s="148">
        <f t="shared" si="231"/>
        <v>579.83000000000004</v>
      </c>
      <c r="V808" s="379"/>
      <c r="W808" s="379"/>
      <c r="X808" s="57">
        <f>'COMPOSIÇÃO DE CUSTOS'!G1399</f>
        <v>410.45</v>
      </c>
      <c r="Y808" s="334">
        <v>482.88</v>
      </c>
      <c r="Z808" s="334">
        <f t="shared" si="240"/>
        <v>410.44799999999998</v>
      </c>
      <c r="AA808" s="57"/>
      <c r="AB808" s="58"/>
    </row>
    <row r="809" spans="1:28" s="55" customFormat="1" ht="30">
      <c r="A809" s="19" t="s">
        <v>1213</v>
      </c>
      <c r="B809" s="20">
        <v>64021</v>
      </c>
      <c r="C809" s="19" t="s">
        <v>257</v>
      </c>
      <c r="D809" s="21" t="s">
        <v>1914</v>
      </c>
      <c r="E809" s="21" t="s">
        <v>17</v>
      </c>
      <c r="F809" s="22">
        <v>1</v>
      </c>
      <c r="G809" s="22">
        <f t="shared" si="239"/>
        <v>344.89600000000002</v>
      </c>
      <c r="H809" s="22">
        <f t="shared" si="244"/>
        <v>437.36</v>
      </c>
      <c r="I809" s="147">
        <f t="shared" si="245"/>
        <v>437.36</v>
      </c>
      <c r="J809" s="148"/>
      <c r="K809" s="148"/>
      <c r="L809" s="148"/>
      <c r="M809" s="148">
        <v>384.22</v>
      </c>
      <c r="N809" s="148">
        <v>487.23</v>
      </c>
      <c r="O809" s="148">
        <v>487.23</v>
      </c>
      <c r="P809" s="494"/>
      <c r="Q809" s="148">
        <f t="shared" si="246"/>
        <v>0</v>
      </c>
      <c r="R809" s="148"/>
      <c r="S809" s="148">
        <f t="shared" si="247"/>
        <v>0</v>
      </c>
      <c r="T809" s="148">
        <f t="shared" si="248"/>
        <v>1</v>
      </c>
      <c r="U809" s="148">
        <f t="shared" si="231"/>
        <v>487.23</v>
      </c>
      <c r="V809" s="379"/>
      <c r="W809" s="379"/>
      <c r="X809" s="57">
        <f>'COMPOSIÇÃO DE CUSTOS'!G1406</f>
        <v>344.9</v>
      </c>
      <c r="Y809" s="334">
        <v>405.76</v>
      </c>
      <c r="Z809" s="334">
        <f t="shared" si="240"/>
        <v>344.89600000000002</v>
      </c>
      <c r="AA809" s="57"/>
      <c r="AB809" s="58"/>
    </row>
    <row r="810" spans="1:28" s="55" customFormat="1" ht="45">
      <c r="A810" s="36" t="s">
        <v>3638</v>
      </c>
      <c r="B810" s="20">
        <v>101900</v>
      </c>
      <c r="C810" s="439" t="s">
        <v>3744</v>
      </c>
      <c r="D810" s="21" t="s">
        <v>12</v>
      </c>
      <c r="E810" s="21" t="s">
        <v>17</v>
      </c>
      <c r="F810" s="22">
        <v>2</v>
      </c>
      <c r="G810" s="22">
        <f t="shared" si="239"/>
        <v>3791.2635000000005</v>
      </c>
      <c r="H810" s="22">
        <f t="shared" si="244"/>
        <v>4807.7</v>
      </c>
      <c r="I810" s="147">
        <f t="shared" si="245"/>
        <v>9615.4</v>
      </c>
      <c r="J810" s="148"/>
      <c r="K810" s="148"/>
      <c r="L810" s="148"/>
      <c r="M810" s="148">
        <v>4223.5</v>
      </c>
      <c r="N810" s="148">
        <v>5355.82</v>
      </c>
      <c r="O810" s="148">
        <v>10711.64</v>
      </c>
      <c r="P810" s="494"/>
      <c r="Q810" s="148">
        <f t="shared" si="246"/>
        <v>0</v>
      </c>
      <c r="R810" s="148"/>
      <c r="S810" s="148">
        <f t="shared" si="247"/>
        <v>0</v>
      </c>
      <c r="T810" s="148">
        <f t="shared" si="248"/>
        <v>2</v>
      </c>
      <c r="U810" s="148">
        <f t="shared" si="231"/>
        <v>10711.64</v>
      </c>
      <c r="V810" s="379"/>
      <c r="W810" s="379"/>
      <c r="X810" s="57" t="e">
        <f>IF(B810&lt;&gt;0,VLOOKUP(B810,#REF!,4,FALSE),"")</f>
        <v>#REF!</v>
      </c>
      <c r="Y810" s="334" t="s">
        <v>3253</v>
      </c>
      <c r="Z810" s="334">
        <f t="shared" si="240"/>
        <v>7582.527000000001</v>
      </c>
      <c r="AA810" s="57"/>
      <c r="AB810" s="58" t="e">
        <f>IF(B810&lt;&gt;0,VLOOKUP(B810,#REF!,2,FALSE),"")</f>
        <v>#REF!</v>
      </c>
    </row>
    <row r="811" spans="1:28" s="55" customFormat="1" ht="45">
      <c r="A811" s="19" t="s">
        <v>1215</v>
      </c>
      <c r="B811" s="20">
        <v>101896</v>
      </c>
      <c r="C811" s="19" t="s">
        <v>2488</v>
      </c>
      <c r="D811" s="21" t="s">
        <v>12</v>
      </c>
      <c r="E811" s="21" t="s">
        <v>17</v>
      </c>
      <c r="F811" s="22">
        <v>1</v>
      </c>
      <c r="G811" s="22">
        <f t="shared" si="239"/>
        <v>515.48250000000007</v>
      </c>
      <c r="H811" s="22">
        <f t="shared" si="244"/>
        <v>653.67999999999995</v>
      </c>
      <c r="I811" s="147">
        <f t="shared" si="245"/>
        <v>653.67999999999995</v>
      </c>
      <c r="J811" s="148"/>
      <c r="K811" s="148"/>
      <c r="L811" s="148"/>
      <c r="M811" s="148">
        <v>574.25</v>
      </c>
      <c r="N811" s="148">
        <v>728.21</v>
      </c>
      <c r="O811" s="148">
        <v>728.21</v>
      </c>
      <c r="P811" s="494"/>
      <c r="Q811" s="148">
        <f t="shared" si="246"/>
        <v>0</v>
      </c>
      <c r="R811" s="148"/>
      <c r="S811" s="148">
        <f t="shared" si="247"/>
        <v>0</v>
      </c>
      <c r="T811" s="148">
        <f t="shared" si="248"/>
        <v>1</v>
      </c>
      <c r="U811" s="148">
        <f t="shared" si="231"/>
        <v>728.21</v>
      </c>
      <c r="V811" s="379"/>
      <c r="W811" s="379"/>
      <c r="X811" s="57" t="e">
        <f>IF(B811&lt;&gt;0,VLOOKUP(B811,#REF!,4,FALSE),"")</f>
        <v>#REF!</v>
      </c>
      <c r="Y811" s="334" t="s">
        <v>3152</v>
      </c>
      <c r="Z811" s="334">
        <f t="shared" si="240"/>
        <v>515.48250000000007</v>
      </c>
      <c r="AA811" s="57"/>
      <c r="AB811" s="58" t="e">
        <f>IF(B811&lt;&gt;0,VLOOKUP(B811,#REF!,2,FALSE),"")</f>
        <v>#REF!</v>
      </c>
    </row>
    <row r="812" spans="1:28" s="55" customFormat="1" ht="30">
      <c r="A812" s="36" t="s">
        <v>3639</v>
      </c>
      <c r="B812" s="20">
        <v>11838</v>
      </c>
      <c r="C812" s="439" t="s">
        <v>3745</v>
      </c>
      <c r="D812" s="21" t="s">
        <v>12</v>
      </c>
      <c r="E812" s="21" t="s">
        <v>17</v>
      </c>
      <c r="F812" s="22">
        <v>36</v>
      </c>
      <c r="G812" s="22">
        <f t="shared" si="239"/>
        <v>29.299499999999998</v>
      </c>
      <c r="H812" s="22">
        <f t="shared" si="244"/>
        <v>37.15</v>
      </c>
      <c r="I812" s="147">
        <f t="shared" si="245"/>
        <v>1337.4</v>
      </c>
      <c r="J812" s="148"/>
      <c r="K812" s="148"/>
      <c r="L812" s="148"/>
      <c r="M812" s="148">
        <v>32.64</v>
      </c>
      <c r="N812" s="148">
        <v>41.39</v>
      </c>
      <c r="O812" s="148">
        <v>1490.04</v>
      </c>
      <c r="P812" s="494"/>
      <c r="Q812" s="148">
        <f t="shared" si="246"/>
        <v>0</v>
      </c>
      <c r="R812" s="148"/>
      <c r="S812" s="148">
        <f t="shared" si="247"/>
        <v>0</v>
      </c>
      <c r="T812" s="148">
        <f t="shared" si="248"/>
        <v>36</v>
      </c>
      <c r="U812" s="148">
        <f t="shared" si="231"/>
        <v>1490.04</v>
      </c>
      <c r="V812" s="379"/>
      <c r="W812" s="379"/>
      <c r="X812" s="57" t="e">
        <f>IF(B812&lt;&gt;0,VLOOKUP(B812,#REF!,4,FALSE),"")</f>
        <v>#REF!</v>
      </c>
      <c r="Y812" s="334" t="s">
        <v>3317</v>
      </c>
      <c r="Z812" s="334">
        <f t="shared" si="240"/>
        <v>1054.7819999999999</v>
      </c>
      <c r="AA812" s="57"/>
      <c r="AB812" s="58" t="e">
        <f>IF(B812&lt;&gt;0,VLOOKUP(B812,#REF!,2,FALSE),"")</f>
        <v>#REF!</v>
      </c>
    </row>
    <row r="813" spans="1:28" s="55" customFormat="1" ht="45">
      <c r="A813" s="36" t="s">
        <v>3640</v>
      </c>
      <c r="B813" s="20">
        <v>1578</v>
      </c>
      <c r="C813" s="439" t="s">
        <v>3746</v>
      </c>
      <c r="D813" s="21" t="s">
        <v>12</v>
      </c>
      <c r="E813" s="21" t="s">
        <v>17</v>
      </c>
      <c r="F813" s="22">
        <v>8</v>
      </c>
      <c r="G813" s="22">
        <f t="shared" si="239"/>
        <v>4.1820000000000004</v>
      </c>
      <c r="H813" s="22">
        <f t="shared" si="244"/>
        <v>5.3</v>
      </c>
      <c r="I813" s="147">
        <f t="shared" si="245"/>
        <v>42.4</v>
      </c>
      <c r="J813" s="148"/>
      <c r="K813" s="148"/>
      <c r="L813" s="148"/>
      <c r="M813" s="148">
        <v>4.66</v>
      </c>
      <c r="N813" s="148">
        <v>5.91</v>
      </c>
      <c r="O813" s="148">
        <v>47.28</v>
      </c>
      <c r="P813" s="494"/>
      <c r="Q813" s="148">
        <f t="shared" si="246"/>
        <v>0</v>
      </c>
      <c r="R813" s="148"/>
      <c r="S813" s="148">
        <f t="shared" si="247"/>
        <v>0</v>
      </c>
      <c r="T813" s="148">
        <f t="shared" si="248"/>
        <v>8</v>
      </c>
      <c r="U813" s="148">
        <f t="shared" si="231"/>
        <v>47.28</v>
      </c>
      <c r="V813" s="379"/>
      <c r="W813" s="379"/>
      <c r="X813" s="57" t="e">
        <f>IF(B813&lt;&gt;0,VLOOKUP(B813,#REF!,4,FALSE),"")</f>
        <v>#REF!</v>
      </c>
      <c r="Y813" s="334" t="s">
        <v>3141</v>
      </c>
      <c r="Z813" s="334">
        <f t="shared" si="240"/>
        <v>33.456000000000003</v>
      </c>
      <c r="AA813" s="57"/>
      <c r="AB813" s="58" t="e">
        <f>IF(B813&lt;&gt;0,VLOOKUP(B813,#REF!,2,FALSE),"")</f>
        <v>#REF!</v>
      </c>
    </row>
    <row r="814" spans="1:28" s="55" customFormat="1" ht="45">
      <c r="A814" s="36" t="s">
        <v>3641</v>
      </c>
      <c r="B814" s="20">
        <v>1577</v>
      </c>
      <c r="C814" s="439" t="s">
        <v>3747</v>
      </c>
      <c r="D814" s="21" t="s">
        <v>12</v>
      </c>
      <c r="E814" s="21" t="s">
        <v>17</v>
      </c>
      <c r="F814" s="22">
        <v>2</v>
      </c>
      <c r="G814" s="22">
        <f t="shared" si="239"/>
        <v>2.4055</v>
      </c>
      <c r="H814" s="22">
        <f t="shared" si="244"/>
        <v>3.05</v>
      </c>
      <c r="I814" s="147">
        <f t="shared" si="245"/>
        <v>6.1</v>
      </c>
      <c r="J814" s="148"/>
      <c r="K814" s="148"/>
      <c r="L814" s="148"/>
      <c r="M814" s="148">
        <v>2.68</v>
      </c>
      <c r="N814" s="148">
        <v>3.4</v>
      </c>
      <c r="O814" s="148">
        <v>6.8</v>
      </c>
      <c r="P814" s="494"/>
      <c r="Q814" s="148">
        <f t="shared" si="246"/>
        <v>0</v>
      </c>
      <c r="R814" s="148"/>
      <c r="S814" s="148">
        <f t="shared" si="247"/>
        <v>0</v>
      </c>
      <c r="T814" s="148">
        <f t="shared" si="248"/>
        <v>2</v>
      </c>
      <c r="U814" s="148">
        <f t="shared" si="231"/>
        <v>6.8</v>
      </c>
      <c r="V814" s="379"/>
      <c r="W814" s="379"/>
      <c r="X814" s="57" t="e">
        <f>IF(B814&lt;&gt;0,VLOOKUP(B814,#REF!,4,FALSE),"")</f>
        <v>#REF!</v>
      </c>
      <c r="Y814" s="334" t="s">
        <v>1894</v>
      </c>
      <c r="Z814" s="334">
        <f t="shared" si="240"/>
        <v>4.8109999999999999</v>
      </c>
      <c r="AA814" s="57"/>
      <c r="AB814" s="58" t="e">
        <f>IF(B814&lt;&gt;0,VLOOKUP(B814,#REF!,2,FALSE),"")</f>
        <v>#REF!</v>
      </c>
    </row>
    <row r="815" spans="1:28" s="55" customFormat="1">
      <c r="A815" s="229" t="s">
        <v>1218</v>
      </c>
      <c r="B815" s="229"/>
      <c r="C815" s="229" t="s">
        <v>258</v>
      </c>
      <c r="D815" s="230"/>
      <c r="E815" s="230"/>
      <c r="F815" s="230"/>
      <c r="G815" s="22"/>
      <c r="H815" s="230"/>
      <c r="I815" s="445"/>
      <c r="J815" s="440"/>
      <c r="K815" s="440"/>
      <c r="L815" s="440"/>
      <c r="M815" s="440"/>
      <c r="N815" s="440"/>
      <c r="O815" s="440"/>
      <c r="P815" s="492"/>
      <c r="Q815" s="148">
        <f t="shared" si="246"/>
        <v>0</v>
      </c>
      <c r="R815" s="440"/>
      <c r="S815" s="440"/>
      <c r="T815" s="148"/>
      <c r="U815" s="148"/>
      <c r="V815" s="330"/>
      <c r="W815" s="330"/>
      <c r="X815" s="58"/>
      <c r="Y815" s="334"/>
      <c r="Z815" s="334">
        <f t="shared" si="240"/>
        <v>0</v>
      </c>
      <c r="AA815" s="58"/>
      <c r="AB815" s="58"/>
    </row>
    <row r="816" spans="1:28" s="55" customFormat="1" ht="45">
      <c r="A816" s="19" t="s">
        <v>1219</v>
      </c>
      <c r="B816" s="20">
        <f>B808</f>
        <v>3836</v>
      </c>
      <c r="C816" s="19" t="s">
        <v>256</v>
      </c>
      <c r="D816" s="21" t="str">
        <f>D808</f>
        <v>ORSE</v>
      </c>
      <c r="E816" s="21" t="s">
        <v>17</v>
      </c>
      <c r="F816" s="22">
        <v>1</v>
      </c>
      <c r="G816" s="22">
        <f t="shared" si="239"/>
        <v>410.44799999999998</v>
      </c>
      <c r="H816" s="22">
        <f t="shared" ref="H816:H822" si="249">ROUND(G816*(1+$X$14),2)</f>
        <v>520.49</v>
      </c>
      <c r="I816" s="147">
        <f t="shared" ref="I816:I822" si="250">ROUND(H816*F816,2)</f>
        <v>520.49</v>
      </c>
      <c r="J816" s="148"/>
      <c r="K816" s="148"/>
      <c r="L816" s="148"/>
      <c r="M816" s="148">
        <v>457.24</v>
      </c>
      <c r="N816" s="148">
        <v>579.83000000000004</v>
      </c>
      <c r="O816" s="148">
        <v>579.83000000000004</v>
      </c>
      <c r="P816" s="494"/>
      <c r="Q816" s="148">
        <f t="shared" si="246"/>
        <v>0</v>
      </c>
      <c r="R816" s="148"/>
      <c r="S816" s="148">
        <f t="shared" ref="S816:S822" si="251">ROUND(R816*P816,2)</f>
        <v>0</v>
      </c>
      <c r="T816" s="148">
        <f t="shared" si="248"/>
        <v>1</v>
      </c>
      <c r="U816" s="148">
        <f t="shared" si="231"/>
        <v>579.83000000000004</v>
      </c>
      <c r="V816" s="379"/>
      <c r="W816" s="379"/>
      <c r="X816" s="57">
        <f>X808</f>
        <v>410.45</v>
      </c>
      <c r="Y816" s="334">
        <v>482.88</v>
      </c>
      <c r="Z816" s="334">
        <f t="shared" si="240"/>
        <v>410.44799999999998</v>
      </c>
      <c r="AA816" s="57"/>
      <c r="AB816" s="58"/>
    </row>
    <row r="817" spans="1:28" s="55" customFormat="1" ht="30">
      <c r="A817" s="19" t="s">
        <v>1220</v>
      </c>
      <c r="B817" s="20">
        <f>B809</f>
        <v>64021</v>
      </c>
      <c r="C817" s="19" t="s">
        <v>257</v>
      </c>
      <c r="D817" s="21" t="str">
        <f>D809</f>
        <v>COMPOSIÇÃO</v>
      </c>
      <c r="E817" s="21" t="s">
        <v>17</v>
      </c>
      <c r="F817" s="22">
        <v>1</v>
      </c>
      <c r="G817" s="22">
        <f t="shared" si="239"/>
        <v>344.89600000000002</v>
      </c>
      <c r="H817" s="22">
        <f t="shared" si="249"/>
        <v>437.36</v>
      </c>
      <c r="I817" s="147">
        <f t="shared" si="250"/>
        <v>437.36</v>
      </c>
      <c r="J817" s="148"/>
      <c r="K817" s="148"/>
      <c r="L817" s="148"/>
      <c r="M817" s="148">
        <v>384.22</v>
      </c>
      <c r="N817" s="148">
        <v>487.23</v>
      </c>
      <c r="O817" s="148">
        <v>487.23</v>
      </c>
      <c r="P817" s="494"/>
      <c r="Q817" s="148">
        <f t="shared" si="246"/>
        <v>0</v>
      </c>
      <c r="R817" s="148"/>
      <c r="S817" s="148">
        <f t="shared" si="251"/>
        <v>0</v>
      </c>
      <c r="T817" s="148">
        <f t="shared" si="248"/>
        <v>1</v>
      </c>
      <c r="U817" s="148">
        <f t="shared" ref="U817:U879" si="252">O817+Q817-S817+L817</f>
        <v>487.23</v>
      </c>
      <c r="V817" s="379"/>
      <c r="W817" s="379"/>
      <c r="X817" s="57">
        <f>X809</f>
        <v>344.9</v>
      </c>
      <c r="Y817" s="334">
        <v>405.76</v>
      </c>
      <c r="Z817" s="334">
        <f t="shared" si="240"/>
        <v>344.89600000000002</v>
      </c>
      <c r="AA817" s="57"/>
      <c r="AB817" s="58"/>
    </row>
    <row r="818" spans="1:28" s="55" customFormat="1" ht="45">
      <c r="A818" s="19" t="s">
        <v>1221</v>
      </c>
      <c r="B818" s="20">
        <v>101899</v>
      </c>
      <c r="C818" s="19" t="s">
        <v>259</v>
      </c>
      <c r="D818" s="21" t="s">
        <v>12</v>
      </c>
      <c r="E818" s="21" t="s">
        <v>17</v>
      </c>
      <c r="F818" s="22">
        <v>2</v>
      </c>
      <c r="G818" s="22">
        <f t="shared" si="239"/>
        <v>1806.9555</v>
      </c>
      <c r="H818" s="22">
        <f t="shared" si="249"/>
        <v>2291.4</v>
      </c>
      <c r="I818" s="147">
        <f t="shared" si="250"/>
        <v>4582.8</v>
      </c>
      <c r="J818" s="148"/>
      <c r="K818" s="148"/>
      <c r="L818" s="148"/>
      <c r="M818" s="148">
        <v>2012.96</v>
      </c>
      <c r="N818" s="148">
        <v>2552.63</v>
      </c>
      <c r="O818" s="148">
        <v>5105.26</v>
      </c>
      <c r="P818" s="494"/>
      <c r="Q818" s="148">
        <f t="shared" si="246"/>
        <v>0</v>
      </c>
      <c r="R818" s="148"/>
      <c r="S818" s="148">
        <f t="shared" si="251"/>
        <v>0</v>
      </c>
      <c r="T818" s="148">
        <f t="shared" si="248"/>
        <v>2</v>
      </c>
      <c r="U818" s="148">
        <f t="shared" si="252"/>
        <v>5105.26</v>
      </c>
      <c r="V818" s="379"/>
      <c r="W818" s="379"/>
      <c r="X818" s="57" t="e">
        <f>IF(B818&lt;&gt;0,VLOOKUP(B818,#REF!,4,FALSE),"")</f>
        <v>#REF!</v>
      </c>
      <c r="Y818" s="334" t="s">
        <v>3252</v>
      </c>
      <c r="Z818" s="334">
        <f t="shared" si="240"/>
        <v>3613.9110000000001</v>
      </c>
      <c r="AA818" s="57"/>
      <c r="AB818" s="58" t="e">
        <f>IF(B818&lt;&gt;0,VLOOKUP(B818,#REF!,2,FALSE),"")</f>
        <v>#REF!</v>
      </c>
    </row>
    <row r="819" spans="1:28" s="55" customFormat="1">
      <c r="A819" s="19" t="s">
        <v>1222</v>
      </c>
      <c r="B819" s="20">
        <v>101894</v>
      </c>
      <c r="C819" s="19" t="s">
        <v>2487</v>
      </c>
      <c r="D819" s="21" t="s">
        <v>12</v>
      </c>
      <c r="E819" s="21" t="s">
        <v>17</v>
      </c>
      <c r="F819" s="22">
        <v>1</v>
      </c>
      <c r="G819" s="22">
        <f t="shared" si="239"/>
        <v>120.09649999999999</v>
      </c>
      <c r="H819" s="22">
        <f t="shared" si="249"/>
        <v>152.29</v>
      </c>
      <c r="I819" s="147">
        <f t="shared" si="250"/>
        <v>152.29</v>
      </c>
      <c r="J819" s="148"/>
      <c r="K819" s="148"/>
      <c r="L819" s="148"/>
      <c r="M819" s="148">
        <v>133.79</v>
      </c>
      <c r="N819" s="148">
        <v>169.66</v>
      </c>
      <c r="O819" s="148">
        <v>169.66</v>
      </c>
      <c r="P819" s="494"/>
      <c r="Q819" s="148">
        <f t="shared" si="246"/>
        <v>0</v>
      </c>
      <c r="R819" s="148"/>
      <c r="S819" s="148">
        <f t="shared" si="251"/>
        <v>0</v>
      </c>
      <c r="T819" s="148">
        <f t="shared" si="248"/>
        <v>1</v>
      </c>
      <c r="U819" s="148">
        <f t="shared" si="252"/>
        <v>169.66</v>
      </c>
      <c r="V819" s="379"/>
      <c r="W819" s="379"/>
      <c r="X819" s="57" t="e">
        <f>IF(B819&lt;&gt;0,VLOOKUP(B819,#REF!,4,FALSE),"")</f>
        <v>#REF!</v>
      </c>
      <c r="Y819" s="334" t="s">
        <v>3250</v>
      </c>
      <c r="Z819" s="334">
        <f t="shared" si="240"/>
        <v>120.09649999999999</v>
      </c>
      <c r="AA819" s="57"/>
      <c r="AB819" s="58" t="e">
        <f>IF(B819&lt;&gt;0,VLOOKUP(B819,#REF!,2,FALSE),"")</f>
        <v>#REF!</v>
      </c>
    </row>
    <row r="820" spans="1:28" s="55" customFormat="1" ht="30">
      <c r="A820" s="36" t="s">
        <v>3642</v>
      </c>
      <c r="B820" s="20">
        <v>1591</v>
      </c>
      <c r="C820" s="439" t="s">
        <v>3748</v>
      </c>
      <c r="D820" s="21" t="s">
        <v>12</v>
      </c>
      <c r="E820" s="21" t="s">
        <v>17</v>
      </c>
      <c r="F820" s="22">
        <v>36</v>
      </c>
      <c r="G820" s="22">
        <f t="shared" si="239"/>
        <v>19.907</v>
      </c>
      <c r="H820" s="22">
        <f t="shared" si="249"/>
        <v>25.24</v>
      </c>
      <c r="I820" s="147">
        <f t="shared" si="250"/>
        <v>908.64</v>
      </c>
      <c r="J820" s="148"/>
      <c r="K820" s="148"/>
      <c r="L820" s="148"/>
      <c r="M820" s="148">
        <v>22.18</v>
      </c>
      <c r="N820" s="148">
        <v>28.13</v>
      </c>
      <c r="O820" s="148">
        <v>1012.68</v>
      </c>
      <c r="P820" s="494"/>
      <c r="Q820" s="148">
        <f t="shared" si="246"/>
        <v>0</v>
      </c>
      <c r="R820" s="148"/>
      <c r="S820" s="148">
        <f t="shared" si="251"/>
        <v>0</v>
      </c>
      <c r="T820" s="148">
        <f t="shared" si="248"/>
        <v>36</v>
      </c>
      <c r="U820" s="148">
        <f t="shared" si="252"/>
        <v>1012.68</v>
      </c>
      <c r="V820" s="379"/>
      <c r="W820" s="379"/>
      <c r="X820" s="57" t="e">
        <f>IF(B820&lt;&gt;0,VLOOKUP(B820,#REF!,4,FALSE),"")</f>
        <v>#REF!</v>
      </c>
      <c r="Y820" s="334" t="s">
        <v>3169</v>
      </c>
      <c r="Z820" s="334">
        <f t="shared" si="240"/>
        <v>716.65200000000004</v>
      </c>
      <c r="AA820" s="57"/>
      <c r="AB820" s="58" t="e">
        <f>IF(B820&lt;&gt;0,VLOOKUP(B820,#REF!,2,FALSE),"")</f>
        <v>#REF!</v>
      </c>
    </row>
    <row r="821" spans="1:28" s="55" customFormat="1" ht="45">
      <c r="A821" s="36" t="s">
        <v>3643</v>
      </c>
      <c r="B821" s="20">
        <v>1577</v>
      </c>
      <c r="C821" s="439" t="s">
        <v>3747</v>
      </c>
      <c r="D821" s="21" t="s">
        <v>12</v>
      </c>
      <c r="E821" s="21" t="s">
        <v>17</v>
      </c>
      <c r="F821" s="22">
        <v>8</v>
      </c>
      <c r="G821" s="22">
        <f t="shared" si="239"/>
        <v>2.4055</v>
      </c>
      <c r="H821" s="22">
        <f t="shared" si="249"/>
        <v>3.05</v>
      </c>
      <c r="I821" s="147">
        <f t="shared" si="250"/>
        <v>24.4</v>
      </c>
      <c r="J821" s="148"/>
      <c r="K821" s="148"/>
      <c r="L821" s="148"/>
      <c r="M821" s="148">
        <v>2.68</v>
      </c>
      <c r="N821" s="148">
        <v>3.4</v>
      </c>
      <c r="O821" s="148">
        <v>27.2</v>
      </c>
      <c r="P821" s="494"/>
      <c r="Q821" s="148">
        <f t="shared" si="246"/>
        <v>0</v>
      </c>
      <c r="R821" s="148"/>
      <c r="S821" s="148">
        <f t="shared" si="251"/>
        <v>0</v>
      </c>
      <c r="T821" s="148">
        <f t="shared" si="248"/>
        <v>8</v>
      </c>
      <c r="U821" s="148">
        <f t="shared" si="252"/>
        <v>27.2</v>
      </c>
      <c r="V821" s="379"/>
      <c r="W821" s="379"/>
      <c r="X821" s="57" t="e">
        <f>IF(B821&lt;&gt;0,VLOOKUP(B821,#REF!,4,FALSE),"")</f>
        <v>#REF!</v>
      </c>
      <c r="Y821" s="334" t="s">
        <v>1894</v>
      </c>
      <c r="Z821" s="334">
        <f t="shared" si="240"/>
        <v>19.244</v>
      </c>
      <c r="AA821" s="57"/>
      <c r="AB821" s="58" t="e">
        <f>IF(B821&lt;&gt;0,VLOOKUP(B821,#REF!,2,FALSE),"")</f>
        <v>#REF!</v>
      </c>
    </row>
    <row r="822" spans="1:28" s="55" customFormat="1" ht="30">
      <c r="A822" s="36" t="s">
        <v>3644</v>
      </c>
      <c r="B822" s="20">
        <v>1585</v>
      </c>
      <c r="C822" s="439" t="s">
        <v>3749</v>
      </c>
      <c r="D822" s="21" t="s">
        <v>12</v>
      </c>
      <c r="E822" s="21" t="s">
        <v>17</v>
      </c>
      <c r="F822" s="22">
        <v>2</v>
      </c>
      <c r="G822" s="22">
        <f t="shared" si="239"/>
        <v>4.1820000000000004</v>
      </c>
      <c r="H822" s="22">
        <f t="shared" si="249"/>
        <v>5.3</v>
      </c>
      <c r="I822" s="147">
        <f t="shared" si="250"/>
        <v>10.6</v>
      </c>
      <c r="J822" s="148"/>
      <c r="K822" s="148"/>
      <c r="L822" s="148"/>
      <c r="M822" s="148">
        <v>4.66</v>
      </c>
      <c r="N822" s="148">
        <v>5.91</v>
      </c>
      <c r="O822" s="148">
        <v>11.82</v>
      </c>
      <c r="P822" s="494"/>
      <c r="Q822" s="148">
        <f t="shared" si="246"/>
        <v>0</v>
      </c>
      <c r="R822" s="148"/>
      <c r="S822" s="148">
        <f t="shared" si="251"/>
        <v>0</v>
      </c>
      <c r="T822" s="148">
        <f t="shared" si="248"/>
        <v>2</v>
      </c>
      <c r="U822" s="148">
        <f t="shared" si="252"/>
        <v>11.82</v>
      </c>
      <c r="V822" s="379"/>
      <c r="W822" s="379"/>
      <c r="X822" s="57" t="e">
        <f>IF(B822&lt;&gt;0,VLOOKUP(B822,#REF!,4,FALSE),"")</f>
        <v>#REF!</v>
      </c>
      <c r="Y822" s="334" t="s">
        <v>3141</v>
      </c>
      <c r="Z822" s="334">
        <f t="shared" si="240"/>
        <v>8.3640000000000008</v>
      </c>
      <c r="AA822" s="57"/>
      <c r="AB822" s="58" t="e">
        <f>IF(B822&lt;&gt;0,VLOOKUP(B822,#REF!,2,FALSE),"")</f>
        <v>#REF!</v>
      </c>
    </row>
    <row r="823" spans="1:28" s="55" customFormat="1">
      <c r="A823" s="229" t="s">
        <v>1226</v>
      </c>
      <c r="B823" s="229"/>
      <c r="C823" s="229" t="s">
        <v>263</v>
      </c>
      <c r="D823" s="230"/>
      <c r="E823" s="230"/>
      <c r="F823" s="230"/>
      <c r="G823" s="22"/>
      <c r="H823" s="230"/>
      <c r="I823" s="445"/>
      <c r="J823" s="440"/>
      <c r="K823" s="440"/>
      <c r="L823" s="440"/>
      <c r="M823" s="440"/>
      <c r="N823" s="440"/>
      <c r="O823" s="440"/>
      <c r="P823" s="492"/>
      <c r="Q823" s="148">
        <f t="shared" si="246"/>
        <v>0</v>
      </c>
      <c r="R823" s="440"/>
      <c r="S823" s="440"/>
      <c r="T823" s="148"/>
      <c r="U823" s="148"/>
      <c r="V823" s="330"/>
      <c r="W823" s="330"/>
      <c r="X823" s="58"/>
      <c r="Y823" s="334"/>
      <c r="Z823" s="334">
        <f t="shared" si="240"/>
        <v>0</v>
      </c>
      <c r="AA823" s="58"/>
      <c r="AB823" s="58"/>
    </row>
    <row r="824" spans="1:28" s="55" customFormat="1" ht="45">
      <c r="A824" s="19" t="s">
        <v>1227</v>
      </c>
      <c r="B824" s="20">
        <f>B816</f>
        <v>3836</v>
      </c>
      <c r="C824" s="19" t="s">
        <v>256</v>
      </c>
      <c r="D824" s="21" t="str">
        <f>D816</f>
        <v>ORSE</v>
      </c>
      <c r="E824" s="21" t="s">
        <v>17</v>
      </c>
      <c r="F824" s="22">
        <v>1</v>
      </c>
      <c r="G824" s="22">
        <f t="shared" si="239"/>
        <v>410.44799999999998</v>
      </c>
      <c r="H824" s="22">
        <f t="shared" ref="H824:H829" si="253">ROUND(G824*(1+$X$14),2)</f>
        <v>520.49</v>
      </c>
      <c r="I824" s="147">
        <f t="shared" ref="I824:I829" si="254">ROUND(H824*F824,2)</f>
        <v>520.49</v>
      </c>
      <c r="J824" s="148"/>
      <c r="K824" s="148"/>
      <c r="L824" s="148"/>
      <c r="M824" s="148">
        <v>457.24</v>
      </c>
      <c r="N824" s="148">
        <v>579.83000000000004</v>
      </c>
      <c r="O824" s="148">
        <v>579.83000000000004</v>
      </c>
      <c r="P824" s="494"/>
      <c r="Q824" s="148">
        <f t="shared" si="246"/>
        <v>0</v>
      </c>
      <c r="R824" s="148"/>
      <c r="S824" s="148">
        <f t="shared" ref="S824:S829" si="255">ROUND(R824*P824,2)</f>
        <v>0</v>
      </c>
      <c r="T824" s="148">
        <f t="shared" si="248"/>
        <v>1</v>
      </c>
      <c r="U824" s="148">
        <f t="shared" si="252"/>
        <v>579.83000000000004</v>
      </c>
      <c r="V824" s="379"/>
      <c r="W824" s="379"/>
      <c r="X824" s="57">
        <f>X816</f>
        <v>410.45</v>
      </c>
      <c r="Y824" s="334">
        <v>482.88</v>
      </c>
      <c r="Z824" s="334">
        <f t="shared" si="240"/>
        <v>410.44799999999998</v>
      </c>
      <c r="AA824" s="57"/>
      <c r="AB824" s="58"/>
    </row>
    <row r="825" spans="1:28" s="55" customFormat="1" ht="30">
      <c r="A825" s="19" t="s">
        <v>1228</v>
      </c>
      <c r="B825" s="20">
        <f>B817</f>
        <v>64021</v>
      </c>
      <c r="C825" s="19" t="s">
        <v>257</v>
      </c>
      <c r="D825" s="21" t="str">
        <f>D817</f>
        <v>COMPOSIÇÃO</v>
      </c>
      <c r="E825" s="21" t="s">
        <v>17</v>
      </c>
      <c r="F825" s="22">
        <v>1</v>
      </c>
      <c r="G825" s="22">
        <f t="shared" si="239"/>
        <v>344.89600000000002</v>
      </c>
      <c r="H825" s="22">
        <f t="shared" si="253"/>
        <v>437.36</v>
      </c>
      <c r="I825" s="147">
        <f t="shared" si="254"/>
        <v>437.36</v>
      </c>
      <c r="J825" s="148"/>
      <c r="K825" s="148"/>
      <c r="L825" s="148"/>
      <c r="M825" s="148">
        <v>384.22</v>
      </c>
      <c r="N825" s="148">
        <v>487.23</v>
      </c>
      <c r="O825" s="148">
        <v>487.23</v>
      </c>
      <c r="P825" s="494"/>
      <c r="Q825" s="148">
        <f t="shared" si="246"/>
        <v>0</v>
      </c>
      <c r="R825" s="148"/>
      <c r="S825" s="148">
        <f t="shared" si="255"/>
        <v>0</v>
      </c>
      <c r="T825" s="148">
        <f t="shared" si="248"/>
        <v>1</v>
      </c>
      <c r="U825" s="148">
        <f t="shared" si="252"/>
        <v>487.23</v>
      </c>
      <c r="V825" s="379"/>
      <c r="W825" s="379"/>
      <c r="X825" s="57">
        <f>X817</f>
        <v>344.9</v>
      </c>
      <c r="Y825" s="334">
        <v>405.76</v>
      </c>
      <c r="Z825" s="334">
        <f t="shared" si="240"/>
        <v>344.89600000000002</v>
      </c>
      <c r="AA825" s="57"/>
      <c r="AB825" s="58"/>
    </row>
    <row r="826" spans="1:28" s="55" customFormat="1" ht="45">
      <c r="A826" s="19" t="s">
        <v>1229</v>
      </c>
      <c r="B826" s="20">
        <v>101899</v>
      </c>
      <c r="C826" s="19" t="s">
        <v>259</v>
      </c>
      <c r="D826" s="21" t="s">
        <v>12</v>
      </c>
      <c r="E826" s="21" t="s">
        <v>17</v>
      </c>
      <c r="F826" s="22">
        <v>2</v>
      </c>
      <c r="G826" s="22">
        <f t="shared" si="239"/>
        <v>1806.9555</v>
      </c>
      <c r="H826" s="22">
        <f t="shared" si="253"/>
        <v>2291.4</v>
      </c>
      <c r="I826" s="147">
        <f t="shared" si="254"/>
        <v>4582.8</v>
      </c>
      <c r="J826" s="148"/>
      <c r="K826" s="148"/>
      <c r="L826" s="148"/>
      <c r="M826" s="148">
        <v>2012.96</v>
      </c>
      <c r="N826" s="148">
        <v>2552.63</v>
      </c>
      <c r="O826" s="148">
        <v>5105.26</v>
      </c>
      <c r="P826" s="494"/>
      <c r="Q826" s="148">
        <f t="shared" si="246"/>
        <v>0</v>
      </c>
      <c r="R826" s="148"/>
      <c r="S826" s="148">
        <f t="shared" si="255"/>
        <v>0</v>
      </c>
      <c r="T826" s="148">
        <f t="shared" si="248"/>
        <v>2</v>
      </c>
      <c r="U826" s="148">
        <f t="shared" si="252"/>
        <v>5105.26</v>
      </c>
      <c r="V826" s="379"/>
      <c r="W826" s="379"/>
      <c r="X826" s="57" t="e">
        <f>IF(B826&lt;&gt;0,VLOOKUP(B826,#REF!,4,FALSE),"")</f>
        <v>#REF!</v>
      </c>
      <c r="Y826" s="334" t="s">
        <v>3252</v>
      </c>
      <c r="Z826" s="334">
        <f t="shared" si="240"/>
        <v>3613.9110000000001</v>
      </c>
      <c r="AA826" s="57"/>
      <c r="AB826" s="58" t="e">
        <f>IF(B826&lt;&gt;0,VLOOKUP(B826,#REF!,2,FALSE),"")</f>
        <v>#REF!</v>
      </c>
    </row>
    <row r="827" spans="1:28" s="55" customFormat="1">
      <c r="A827" s="19" t="s">
        <v>1230</v>
      </c>
      <c r="B827" s="20">
        <v>101894</v>
      </c>
      <c r="C827" s="19" t="s">
        <v>2486</v>
      </c>
      <c r="D827" s="21" t="s">
        <v>12</v>
      </c>
      <c r="E827" s="21" t="s">
        <v>17</v>
      </c>
      <c r="F827" s="22">
        <v>1</v>
      </c>
      <c r="G827" s="22">
        <f t="shared" si="239"/>
        <v>120.09649999999999</v>
      </c>
      <c r="H827" s="22">
        <f t="shared" si="253"/>
        <v>152.29</v>
      </c>
      <c r="I827" s="147">
        <f t="shared" si="254"/>
        <v>152.29</v>
      </c>
      <c r="J827" s="148"/>
      <c r="K827" s="148"/>
      <c r="L827" s="148"/>
      <c r="M827" s="148">
        <v>133.79</v>
      </c>
      <c r="N827" s="148">
        <v>169.66</v>
      </c>
      <c r="O827" s="148">
        <v>169.66</v>
      </c>
      <c r="P827" s="494"/>
      <c r="Q827" s="148">
        <f t="shared" si="246"/>
        <v>0</v>
      </c>
      <c r="R827" s="148"/>
      <c r="S827" s="148">
        <f t="shared" si="255"/>
        <v>0</v>
      </c>
      <c r="T827" s="148">
        <f t="shared" si="248"/>
        <v>1</v>
      </c>
      <c r="U827" s="148">
        <f t="shared" si="252"/>
        <v>169.66</v>
      </c>
      <c r="V827" s="379"/>
      <c r="W827" s="379"/>
      <c r="X827" s="57" t="e">
        <f>IF(B827&lt;&gt;0,VLOOKUP(B827,#REF!,4,FALSE),"")</f>
        <v>#REF!</v>
      </c>
      <c r="Y827" s="334" t="s">
        <v>3250</v>
      </c>
      <c r="Z827" s="334">
        <f t="shared" si="240"/>
        <v>120.09649999999999</v>
      </c>
      <c r="AA827" s="57"/>
      <c r="AB827" s="58" t="e">
        <f>IF(B827&lt;&gt;0,VLOOKUP(B827,#REF!,2,FALSE),"")</f>
        <v>#REF!</v>
      </c>
    </row>
    <row r="828" spans="1:28" s="55" customFormat="1" ht="30">
      <c r="A828" s="19" t="s">
        <v>1231</v>
      </c>
      <c r="B828" s="20">
        <v>1591</v>
      </c>
      <c r="C828" s="19" t="s">
        <v>261</v>
      </c>
      <c r="D828" s="21" t="s">
        <v>12</v>
      </c>
      <c r="E828" s="21" t="s">
        <v>17</v>
      </c>
      <c r="F828" s="22">
        <v>36</v>
      </c>
      <c r="G828" s="22">
        <f t="shared" si="239"/>
        <v>19.907</v>
      </c>
      <c r="H828" s="22">
        <f t="shared" si="253"/>
        <v>25.24</v>
      </c>
      <c r="I828" s="147">
        <f t="shared" si="254"/>
        <v>908.64</v>
      </c>
      <c r="J828" s="148"/>
      <c r="K828" s="148"/>
      <c r="L828" s="148"/>
      <c r="M828" s="148">
        <v>22.18</v>
      </c>
      <c r="N828" s="148">
        <v>28.13</v>
      </c>
      <c r="O828" s="148">
        <v>1012.68</v>
      </c>
      <c r="P828" s="494"/>
      <c r="Q828" s="148">
        <f t="shared" si="246"/>
        <v>0</v>
      </c>
      <c r="R828" s="148"/>
      <c r="S828" s="148">
        <f t="shared" si="255"/>
        <v>0</v>
      </c>
      <c r="T828" s="148">
        <f t="shared" si="248"/>
        <v>36</v>
      </c>
      <c r="U828" s="148">
        <f t="shared" si="252"/>
        <v>1012.68</v>
      </c>
      <c r="V828" s="379"/>
      <c r="W828" s="379"/>
      <c r="X828" s="57" t="e">
        <f>IF(B828&lt;&gt;0,VLOOKUP(B828,#REF!,4,FALSE),"")</f>
        <v>#REF!</v>
      </c>
      <c r="Y828" s="334" t="s">
        <v>3169</v>
      </c>
      <c r="Z828" s="334">
        <f t="shared" si="240"/>
        <v>716.65200000000004</v>
      </c>
      <c r="AA828" s="57"/>
      <c r="AB828" s="58" t="e">
        <f>IF(B828&lt;&gt;0,VLOOKUP(B828,#REF!,2,FALSE),"")</f>
        <v>#REF!</v>
      </c>
    </row>
    <row r="829" spans="1:28" s="55" customFormat="1" ht="30">
      <c r="A829" s="19" t="s">
        <v>1232</v>
      </c>
      <c r="B829" s="20">
        <v>1585</v>
      </c>
      <c r="C829" s="19" t="s">
        <v>262</v>
      </c>
      <c r="D829" s="21" t="s">
        <v>12</v>
      </c>
      <c r="E829" s="21" t="s">
        <v>17</v>
      </c>
      <c r="F829" s="22">
        <v>10</v>
      </c>
      <c r="G829" s="22">
        <f t="shared" si="239"/>
        <v>4.1820000000000004</v>
      </c>
      <c r="H829" s="22">
        <f t="shared" si="253"/>
        <v>5.3</v>
      </c>
      <c r="I829" s="147">
        <f t="shared" si="254"/>
        <v>53</v>
      </c>
      <c r="J829" s="148"/>
      <c r="K829" s="148"/>
      <c r="L829" s="148"/>
      <c r="M829" s="148">
        <v>4.66</v>
      </c>
      <c r="N829" s="148">
        <v>5.91</v>
      </c>
      <c r="O829" s="148">
        <v>59.1</v>
      </c>
      <c r="P829" s="494"/>
      <c r="Q829" s="148">
        <f t="shared" si="246"/>
        <v>0</v>
      </c>
      <c r="R829" s="148"/>
      <c r="S829" s="148">
        <f t="shared" si="255"/>
        <v>0</v>
      </c>
      <c r="T829" s="148">
        <f t="shared" si="248"/>
        <v>10</v>
      </c>
      <c r="U829" s="148">
        <f t="shared" si="252"/>
        <v>59.1</v>
      </c>
      <c r="V829" s="379"/>
      <c r="W829" s="379"/>
      <c r="X829" s="57" t="e">
        <f>IF(B829&lt;&gt;0,VLOOKUP(B829,#REF!,4,FALSE),"")</f>
        <v>#REF!</v>
      </c>
      <c r="Y829" s="334" t="s">
        <v>3141</v>
      </c>
      <c r="Z829" s="334">
        <f t="shared" si="240"/>
        <v>41.820000000000007</v>
      </c>
      <c r="AA829" s="57"/>
      <c r="AB829" s="58" t="e">
        <f>IF(B829&lt;&gt;0,VLOOKUP(B829,#REF!,2,FALSE),"")</f>
        <v>#REF!</v>
      </c>
    </row>
    <row r="830" spans="1:28" s="55" customFormat="1" ht="15" customHeight="1">
      <c r="A830" s="229" t="s">
        <v>1233</v>
      </c>
      <c r="B830" s="229"/>
      <c r="C830" s="229" t="s">
        <v>264</v>
      </c>
      <c r="D830" s="230"/>
      <c r="E830" s="230"/>
      <c r="F830" s="230"/>
      <c r="G830" s="22"/>
      <c r="H830" s="230"/>
      <c r="I830" s="445"/>
      <c r="J830" s="440"/>
      <c r="K830" s="440"/>
      <c r="L830" s="440"/>
      <c r="M830" s="440"/>
      <c r="N830" s="440"/>
      <c r="O830" s="440"/>
      <c r="P830" s="492"/>
      <c r="Q830" s="148">
        <f t="shared" si="246"/>
        <v>0</v>
      </c>
      <c r="R830" s="440"/>
      <c r="S830" s="440"/>
      <c r="T830" s="148"/>
      <c r="U830" s="148"/>
      <c r="V830" s="330"/>
      <c r="W830" s="330"/>
      <c r="X830" s="58"/>
      <c r="Y830" s="334"/>
      <c r="Z830" s="334">
        <f t="shared" si="240"/>
        <v>0</v>
      </c>
      <c r="AA830" s="58"/>
      <c r="AB830" s="58"/>
    </row>
    <row r="831" spans="1:28" s="55" customFormat="1" ht="75">
      <c r="A831" s="36" t="s">
        <v>3645</v>
      </c>
      <c r="B831" s="20">
        <v>101881</v>
      </c>
      <c r="C831" s="439" t="s">
        <v>3750</v>
      </c>
      <c r="D831" s="21" t="s">
        <v>12</v>
      </c>
      <c r="E831" s="21" t="s">
        <v>1993</v>
      </c>
      <c r="F831" s="22">
        <v>1</v>
      </c>
      <c r="G831" s="22">
        <f t="shared" si="239"/>
        <v>765.94350000000009</v>
      </c>
      <c r="H831" s="22">
        <f t="shared" ref="H831:H841" si="256">ROUND(G831*(1+$X$14),2)</f>
        <v>971.29</v>
      </c>
      <c r="I831" s="147">
        <f t="shared" ref="I831:I841" si="257">ROUND(H831*F831,2)</f>
        <v>971.29</v>
      </c>
      <c r="J831" s="148"/>
      <c r="K831" s="148"/>
      <c r="L831" s="148"/>
      <c r="M831" s="148">
        <v>853.27</v>
      </c>
      <c r="N831" s="148">
        <v>1082.03</v>
      </c>
      <c r="O831" s="148">
        <v>1082.03</v>
      </c>
      <c r="P831" s="494"/>
      <c r="Q831" s="148">
        <f t="shared" si="246"/>
        <v>0</v>
      </c>
      <c r="R831" s="148"/>
      <c r="S831" s="148">
        <f t="shared" ref="S831:S841" si="258">ROUND(R831*P831,2)</f>
        <v>0</v>
      </c>
      <c r="T831" s="148">
        <f t="shared" si="248"/>
        <v>1</v>
      </c>
      <c r="U831" s="148">
        <f t="shared" si="252"/>
        <v>1082.03</v>
      </c>
      <c r="V831" s="379"/>
      <c r="W831" s="379"/>
      <c r="X831" s="57" t="e">
        <f>IF(B831&lt;&gt;0,VLOOKUP(B831,#REF!,4,FALSE),"")</f>
        <v>#REF!</v>
      </c>
      <c r="Y831" s="334" t="s">
        <v>3248</v>
      </c>
      <c r="Z831" s="334">
        <f t="shared" si="240"/>
        <v>765.94350000000009</v>
      </c>
      <c r="AA831" s="57"/>
      <c r="AB831" s="58" t="e">
        <f>IF(B831&lt;&gt;0,VLOOKUP(B831,#REF!,2,FALSE),"")</f>
        <v>#REF!</v>
      </c>
    </row>
    <row r="832" spans="1:28" s="55" customFormat="1" ht="30">
      <c r="A832" s="19" t="s">
        <v>1235</v>
      </c>
      <c r="B832" s="20">
        <v>9041</v>
      </c>
      <c r="C832" s="19" t="s">
        <v>1926</v>
      </c>
      <c r="D832" s="21" t="s">
        <v>44</v>
      </c>
      <c r="E832" s="21" t="s">
        <v>17</v>
      </c>
      <c r="F832" s="22">
        <v>4</v>
      </c>
      <c r="G832" s="22">
        <f t="shared" si="239"/>
        <v>97.393000000000001</v>
      </c>
      <c r="H832" s="22">
        <f t="shared" si="256"/>
        <v>123.5</v>
      </c>
      <c r="I832" s="147">
        <f t="shared" si="257"/>
        <v>494</v>
      </c>
      <c r="J832" s="148"/>
      <c r="K832" s="148"/>
      <c r="L832" s="148"/>
      <c r="M832" s="148">
        <v>108.5</v>
      </c>
      <c r="N832" s="148">
        <v>137.59</v>
      </c>
      <c r="O832" s="148">
        <v>550.36</v>
      </c>
      <c r="P832" s="494"/>
      <c r="Q832" s="148">
        <f t="shared" si="246"/>
        <v>0</v>
      </c>
      <c r="R832" s="148"/>
      <c r="S832" s="148">
        <f t="shared" si="258"/>
        <v>0</v>
      </c>
      <c r="T832" s="148">
        <f t="shared" si="248"/>
        <v>4</v>
      </c>
      <c r="U832" s="148">
        <f t="shared" si="252"/>
        <v>550.36</v>
      </c>
      <c r="V832" s="379"/>
      <c r="W832" s="379"/>
      <c r="X832" s="57">
        <f>'COMPOSIÇÃO DE CUSTOS'!G1869</f>
        <v>97.39</v>
      </c>
      <c r="Y832" s="334">
        <v>114.58</v>
      </c>
      <c r="Z832" s="334">
        <f t="shared" si="240"/>
        <v>389.572</v>
      </c>
      <c r="AA832" s="57"/>
      <c r="AB832" s="58"/>
    </row>
    <row r="833" spans="1:28" s="55" customFormat="1" ht="45">
      <c r="A833" s="19" t="s">
        <v>1236</v>
      </c>
      <c r="B833" s="20">
        <v>7996</v>
      </c>
      <c r="C833" s="19" t="s">
        <v>1928</v>
      </c>
      <c r="D833" s="21" t="s">
        <v>44</v>
      </c>
      <c r="E833" s="21" t="s">
        <v>17</v>
      </c>
      <c r="F833" s="22">
        <v>5</v>
      </c>
      <c r="G833" s="22">
        <f t="shared" si="239"/>
        <v>127.449</v>
      </c>
      <c r="H833" s="22">
        <f t="shared" si="256"/>
        <v>161.62</v>
      </c>
      <c r="I833" s="147">
        <f t="shared" si="257"/>
        <v>808.1</v>
      </c>
      <c r="J833" s="148"/>
      <c r="K833" s="148"/>
      <c r="L833" s="148"/>
      <c r="M833" s="148">
        <v>141.97999999999999</v>
      </c>
      <c r="N833" s="148">
        <v>180.04</v>
      </c>
      <c r="O833" s="148">
        <v>900.2</v>
      </c>
      <c r="P833" s="494"/>
      <c r="Q833" s="148">
        <f t="shared" si="246"/>
        <v>0</v>
      </c>
      <c r="R833" s="148"/>
      <c r="S833" s="148">
        <f t="shared" si="258"/>
        <v>0</v>
      </c>
      <c r="T833" s="148">
        <f t="shared" si="248"/>
        <v>5</v>
      </c>
      <c r="U833" s="148">
        <f t="shared" si="252"/>
        <v>900.2</v>
      </c>
      <c r="V833" s="379"/>
      <c r="W833" s="379"/>
      <c r="X833" s="57">
        <f>'COMPOSIÇÃO DE CUSTOS'!G1877</f>
        <v>127.45</v>
      </c>
      <c r="Y833" s="334">
        <v>149.94</v>
      </c>
      <c r="Z833" s="334">
        <f t="shared" si="240"/>
        <v>637.245</v>
      </c>
      <c r="AA833" s="57"/>
      <c r="AB833" s="58"/>
    </row>
    <row r="834" spans="1:28" s="55" customFormat="1" ht="30">
      <c r="A834" s="19" t="s">
        <v>1237</v>
      </c>
      <c r="B834" s="20">
        <v>93653</v>
      </c>
      <c r="C834" s="19" t="s">
        <v>1729</v>
      </c>
      <c r="D834" s="21" t="s">
        <v>12</v>
      </c>
      <c r="E834" s="21" t="s">
        <v>17</v>
      </c>
      <c r="F834" s="22">
        <v>17</v>
      </c>
      <c r="G834" s="22">
        <f t="shared" si="239"/>
        <v>9.2735000000000003</v>
      </c>
      <c r="H834" s="22">
        <f t="shared" si="256"/>
        <v>11.76</v>
      </c>
      <c r="I834" s="147">
        <f t="shared" si="257"/>
        <v>199.92</v>
      </c>
      <c r="J834" s="148"/>
      <c r="K834" s="148"/>
      <c r="L834" s="148"/>
      <c r="M834" s="148">
        <v>10.33</v>
      </c>
      <c r="N834" s="148">
        <v>13.1</v>
      </c>
      <c r="O834" s="148">
        <v>222.7</v>
      </c>
      <c r="P834" s="494"/>
      <c r="Q834" s="148">
        <f t="shared" si="246"/>
        <v>0</v>
      </c>
      <c r="R834" s="148"/>
      <c r="S834" s="148">
        <f t="shared" si="258"/>
        <v>0</v>
      </c>
      <c r="T834" s="148">
        <f t="shared" si="248"/>
        <v>17</v>
      </c>
      <c r="U834" s="148">
        <f t="shared" si="252"/>
        <v>222.7</v>
      </c>
      <c r="V834" s="379"/>
      <c r="W834" s="379"/>
      <c r="X834" s="57" t="e">
        <f>IF(B834&lt;&gt;0,VLOOKUP(B834,#REF!,4,FALSE),"")</f>
        <v>#REF!</v>
      </c>
      <c r="Y834" s="334" t="s">
        <v>3226</v>
      </c>
      <c r="Z834" s="334">
        <f t="shared" si="240"/>
        <v>157.64950000000002</v>
      </c>
      <c r="AA834" s="57"/>
      <c r="AB834" s="58" t="e">
        <f>IF(B834&lt;&gt;0,VLOOKUP(B834,#REF!,2,FALSE),"")</f>
        <v>#REF!</v>
      </c>
    </row>
    <row r="835" spans="1:28" s="55" customFormat="1" ht="30">
      <c r="A835" s="19" t="s">
        <v>1238</v>
      </c>
      <c r="B835" s="20">
        <v>93654</v>
      </c>
      <c r="C835" s="19" t="s">
        <v>1730</v>
      </c>
      <c r="D835" s="21" t="s">
        <v>12</v>
      </c>
      <c r="E835" s="21" t="s">
        <v>17</v>
      </c>
      <c r="F835" s="22">
        <v>6</v>
      </c>
      <c r="G835" s="22">
        <f t="shared" si="239"/>
        <v>9.6050000000000004</v>
      </c>
      <c r="H835" s="22">
        <f t="shared" si="256"/>
        <v>12.18</v>
      </c>
      <c r="I835" s="147">
        <f t="shared" si="257"/>
        <v>73.08</v>
      </c>
      <c r="J835" s="148"/>
      <c r="K835" s="148"/>
      <c r="L835" s="148"/>
      <c r="M835" s="148">
        <v>10.7</v>
      </c>
      <c r="N835" s="148">
        <v>13.57</v>
      </c>
      <c r="O835" s="148">
        <v>81.42</v>
      </c>
      <c r="P835" s="494"/>
      <c r="Q835" s="148">
        <f t="shared" si="246"/>
        <v>0</v>
      </c>
      <c r="R835" s="148"/>
      <c r="S835" s="148">
        <f t="shared" si="258"/>
        <v>0</v>
      </c>
      <c r="T835" s="148">
        <f t="shared" si="248"/>
        <v>6</v>
      </c>
      <c r="U835" s="148">
        <f t="shared" si="252"/>
        <v>81.42</v>
      </c>
      <c r="V835" s="379"/>
      <c r="W835" s="379"/>
      <c r="X835" s="57" t="e">
        <f>IF(B835&lt;&gt;0,VLOOKUP(B835,#REF!,4,FALSE),"")</f>
        <v>#REF!</v>
      </c>
      <c r="Y835" s="334" t="s">
        <v>3240</v>
      </c>
      <c r="Z835" s="334">
        <f t="shared" si="240"/>
        <v>57.63</v>
      </c>
      <c r="AA835" s="57"/>
      <c r="AB835" s="58" t="e">
        <f>IF(B835&lt;&gt;0,VLOOKUP(B835,#REF!,2,FALSE),"")</f>
        <v>#REF!</v>
      </c>
    </row>
    <row r="836" spans="1:28" s="55" customFormat="1">
      <c r="A836" s="19" t="s">
        <v>1239</v>
      </c>
      <c r="B836" s="20">
        <v>101894</v>
      </c>
      <c r="C836" s="19" t="s">
        <v>266</v>
      </c>
      <c r="D836" s="21" t="s">
        <v>12</v>
      </c>
      <c r="E836" s="21" t="s">
        <v>17</v>
      </c>
      <c r="F836" s="22">
        <v>1</v>
      </c>
      <c r="G836" s="22">
        <f t="shared" si="239"/>
        <v>120.09649999999999</v>
      </c>
      <c r="H836" s="22">
        <f t="shared" si="256"/>
        <v>152.29</v>
      </c>
      <c r="I836" s="147">
        <f t="shared" si="257"/>
        <v>152.29</v>
      </c>
      <c r="J836" s="148"/>
      <c r="K836" s="148"/>
      <c r="L836" s="148"/>
      <c r="M836" s="148">
        <v>133.79</v>
      </c>
      <c r="N836" s="148">
        <v>169.66</v>
      </c>
      <c r="O836" s="148">
        <v>169.66</v>
      </c>
      <c r="P836" s="494"/>
      <c r="Q836" s="148">
        <f t="shared" si="246"/>
        <v>0</v>
      </c>
      <c r="R836" s="148"/>
      <c r="S836" s="148">
        <f t="shared" si="258"/>
        <v>0</v>
      </c>
      <c r="T836" s="148">
        <f t="shared" si="248"/>
        <v>1</v>
      </c>
      <c r="U836" s="148">
        <f t="shared" si="252"/>
        <v>169.66</v>
      </c>
      <c r="V836" s="379"/>
      <c r="W836" s="379"/>
      <c r="X836" s="57" t="e">
        <f>IF(B836&lt;&gt;0,VLOOKUP(B836,#REF!,4,FALSE),"")</f>
        <v>#REF!</v>
      </c>
      <c r="Y836" s="334" t="s">
        <v>3250</v>
      </c>
      <c r="Z836" s="334">
        <f t="shared" si="240"/>
        <v>120.09649999999999</v>
      </c>
      <c r="AA836" s="57"/>
      <c r="AB836" s="58" t="e">
        <f>IF(B836&lt;&gt;0,VLOOKUP(B836,#REF!,2,FALSE),"")</f>
        <v>#REF!</v>
      </c>
    </row>
    <row r="837" spans="1:28" s="55" customFormat="1" ht="45">
      <c r="A837" s="36" t="s">
        <v>3646</v>
      </c>
      <c r="B837" s="20">
        <v>1570</v>
      </c>
      <c r="C837" s="439" t="s">
        <v>3751</v>
      </c>
      <c r="D837" s="21" t="s">
        <v>12</v>
      </c>
      <c r="E837" s="21" t="s">
        <v>17</v>
      </c>
      <c r="F837" s="22">
        <v>96</v>
      </c>
      <c r="G837" s="22">
        <f t="shared" si="239"/>
        <v>0.77350000000000008</v>
      </c>
      <c r="H837" s="22">
        <f t="shared" si="256"/>
        <v>0.98</v>
      </c>
      <c r="I837" s="147">
        <f t="shared" si="257"/>
        <v>94.08</v>
      </c>
      <c r="J837" s="148"/>
      <c r="K837" s="148"/>
      <c r="L837" s="148"/>
      <c r="M837" s="148">
        <v>0.86</v>
      </c>
      <c r="N837" s="148">
        <v>1.0900000000000001</v>
      </c>
      <c r="O837" s="148">
        <v>104.64</v>
      </c>
      <c r="P837" s="494"/>
      <c r="Q837" s="148">
        <f t="shared" si="246"/>
        <v>0</v>
      </c>
      <c r="R837" s="148"/>
      <c r="S837" s="148">
        <f t="shared" si="258"/>
        <v>0</v>
      </c>
      <c r="T837" s="148">
        <f t="shared" si="248"/>
        <v>96</v>
      </c>
      <c r="U837" s="148">
        <f t="shared" si="252"/>
        <v>104.64</v>
      </c>
      <c r="V837" s="379"/>
      <c r="W837" s="379"/>
      <c r="X837" s="57" t="e">
        <f>IF(B837&lt;&gt;0,VLOOKUP(B837,#REF!,4,FALSE),"")</f>
        <v>#REF!</v>
      </c>
      <c r="Y837" s="334" t="s">
        <v>1858</v>
      </c>
      <c r="Z837" s="334">
        <f t="shared" si="240"/>
        <v>74.256</v>
      </c>
      <c r="AA837" s="57"/>
      <c r="AB837" s="58" t="e">
        <f>IF(B837&lt;&gt;0,VLOOKUP(B837,#REF!,2,FALSE),"")</f>
        <v>#REF!</v>
      </c>
    </row>
    <row r="838" spans="1:28" s="55" customFormat="1" ht="45">
      <c r="A838" s="36" t="s">
        <v>3647</v>
      </c>
      <c r="B838" s="20">
        <v>1573</v>
      </c>
      <c r="C838" s="439" t="s">
        <v>3752</v>
      </c>
      <c r="D838" s="21" t="s">
        <v>12</v>
      </c>
      <c r="E838" s="21" t="s">
        <v>17</v>
      </c>
      <c r="F838" s="22">
        <v>22</v>
      </c>
      <c r="G838" s="22">
        <f t="shared" si="239"/>
        <v>1.1984999999999999</v>
      </c>
      <c r="H838" s="22">
        <f t="shared" si="256"/>
        <v>1.52</v>
      </c>
      <c r="I838" s="147">
        <f t="shared" si="257"/>
        <v>33.44</v>
      </c>
      <c r="J838" s="148"/>
      <c r="K838" s="148"/>
      <c r="L838" s="148"/>
      <c r="M838" s="148">
        <v>1.34</v>
      </c>
      <c r="N838" s="148">
        <v>1.7</v>
      </c>
      <c r="O838" s="148">
        <v>37.4</v>
      </c>
      <c r="P838" s="494"/>
      <c r="Q838" s="148">
        <f t="shared" si="246"/>
        <v>0</v>
      </c>
      <c r="R838" s="148"/>
      <c r="S838" s="148">
        <f t="shared" si="258"/>
        <v>0</v>
      </c>
      <c r="T838" s="148">
        <f t="shared" si="248"/>
        <v>22</v>
      </c>
      <c r="U838" s="148">
        <f t="shared" si="252"/>
        <v>37.4</v>
      </c>
      <c r="V838" s="379"/>
      <c r="W838" s="379"/>
      <c r="X838" s="57" t="e">
        <f>IF(B838&lt;&gt;0,VLOOKUP(B838,#REF!,4,FALSE),"")</f>
        <v>#REF!</v>
      </c>
      <c r="Y838" s="334" t="s">
        <v>3188</v>
      </c>
      <c r="Z838" s="334">
        <f t="shared" si="240"/>
        <v>26.366999999999997</v>
      </c>
      <c r="AA838" s="57"/>
      <c r="AB838" s="58" t="e">
        <f>IF(B838&lt;&gt;0,VLOOKUP(B838,#REF!,2,FALSE),"")</f>
        <v>#REF!</v>
      </c>
    </row>
    <row r="839" spans="1:28" s="55" customFormat="1" ht="30">
      <c r="A839" s="36" t="s">
        <v>3648</v>
      </c>
      <c r="B839" s="20">
        <v>1585</v>
      </c>
      <c r="C839" s="439" t="s">
        <v>3749</v>
      </c>
      <c r="D839" s="21" t="s">
        <v>12</v>
      </c>
      <c r="E839" s="21" t="s">
        <v>17</v>
      </c>
      <c r="F839" s="22">
        <v>1</v>
      </c>
      <c r="G839" s="22">
        <f t="shared" si="239"/>
        <v>4.1820000000000004</v>
      </c>
      <c r="H839" s="22">
        <f t="shared" si="256"/>
        <v>5.3</v>
      </c>
      <c r="I839" s="147">
        <f t="shared" si="257"/>
        <v>5.3</v>
      </c>
      <c r="J839" s="148"/>
      <c r="K839" s="148"/>
      <c r="L839" s="148"/>
      <c r="M839" s="148">
        <v>4.66</v>
      </c>
      <c r="N839" s="148">
        <v>5.91</v>
      </c>
      <c r="O839" s="148">
        <v>5.91</v>
      </c>
      <c r="P839" s="494"/>
      <c r="Q839" s="148">
        <f t="shared" si="246"/>
        <v>0</v>
      </c>
      <c r="R839" s="148"/>
      <c r="S839" s="148">
        <f t="shared" si="258"/>
        <v>0</v>
      </c>
      <c r="T839" s="148">
        <f t="shared" si="248"/>
        <v>1</v>
      </c>
      <c r="U839" s="148">
        <f t="shared" si="252"/>
        <v>5.91</v>
      </c>
      <c r="V839" s="379"/>
      <c r="W839" s="379"/>
      <c r="X839" s="57" t="e">
        <f>IF(B839&lt;&gt;0,VLOOKUP(B839,#REF!,4,FALSE),"")</f>
        <v>#REF!</v>
      </c>
      <c r="Y839" s="334" t="s">
        <v>3141</v>
      </c>
      <c r="Z839" s="334">
        <f t="shared" si="240"/>
        <v>4.1820000000000004</v>
      </c>
      <c r="AA839" s="57"/>
      <c r="AB839" s="58" t="e">
        <f>IF(B839&lt;&gt;0,VLOOKUP(B839,#REF!,2,FALSE),"")</f>
        <v>#REF!</v>
      </c>
    </row>
    <row r="840" spans="1:28" s="55" customFormat="1" ht="45">
      <c r="A840" s="36" t="s">
        <v>3649</v>
      </c>
      <c r="B840" s="20">
        <v>1577</v>
      </c>
      <c r="C840" s="439" t="s">
        <v>3747</v>
      </c>
      <c r="D840" s="21" t="s">
        <v>12</v>
      </c>
      <c r="E840" s="21" t="s">
        <v>17</v>
      </c>
      <c r="F840" s="22">
        <v>10</v>
      </c>
      <c r="G840" s="22">
        <f t="shared" si="239"/>
        <v>2.4055</v>
      </c>
      <c r="H840" s="22">
        <f t="shared" si="256"/>
        <v>3.05</v>
      </c>
      <c r="I840" s="147">
        <f t="shared" si="257"/>
        <v>30.5</v>
      </c>
      <c r="J840" s="148"/>
      <c r="K840" s="148"/>
      <c r="L840" s="148"/>
      <c r="M840" s="148">
        <v>2.68</v>
      </c>
      <c r="N840" s="148">
        <v>3.4</v>
      </c>
      <c r="O840" s="148">
        <v>34</v>
      </c>
      <c r="P840" s="494"/>
      <c r="Q840" s="148">
        <f t="shared" si="246"/>
        <v>0</v>
      </c>
      <c r="R840" s="148"/>
      <c r="S840" s="148">
        <f t="shared" si="258"/>
        <v>0</v>
      </c>
      <c r="T840" s="148">
        <f t="shared" si="248"/>
        <v>10</v>
      </c>
      <c r="U840" s="148">
        <f t="shared" si="252"/>
        <v>34</v>
      </c>
      <c r="V840" s="379"/>
      <c r="W840" s="379"/>
      <c r="X840" s="57" t="e">
        <f>IF(B840&lt;&gt;0,VLOOKUP(B840,#REF!,4,FALSE),"")</f>
        <v>#REF!</v>
      </c>
      <c r="Y840" s="334" t="s">
        <v>1894</v>
      </c>
      <c r="Z840" s="334">
        <f t="shared" si="240"/>
        <v>24.055</v>
      </c>
      <c r="AA840" s="57"/>
      <c r="AB840" s="58" t="e">
        <f>IF(B840&lt;&gt;0,VLOOKUP(B840,#REF!,2,FALSE),"")</f>
        <v>#REF!</v>
      </c>
    </row>
    <row r="841" spans="1:28" s="55" customFormat="1" ht="45">
      <c r="A841" s="19" t="s">
        <v>1243</v>
      </c>
      <c r="B841" s="20">
        <v>91930</v>
      </c>
      <c r="C841" s="19" t="s">
        <v>1731</v>
      </c>
      <c r="D841" s="21" t="s">
        <v>12</v>
      </c>
      <c r="E841" s="21" t="s">
        <v>52</v>
      </c>
      <c r="F841" s="22">
        <v>2</v>
      </c>
      <c r="G841" s="22">
        <f t="shared" si="239"/>
        <v>7.0379999999999994</v>
      </c>
      <c r="H841" s="22">
        <f t="shared" si="256"/>
        <v>8.92</v>
      </c>
      <c r="I841" s="147">
        <f t="shared" si="257"/>
        <v>17.84</v>
      </c>
      <c r="J841" s="148"/>
      <c r="K841" s="148"/>
      <c r="L841" s="148"/>
      <c r="M841" s="148">
        <v>7.84</v>
      </c>
      <c r="N841" s="148">
        <v>9.94</v>
      </c>
      <c r="O841" s="148">
        <v>19.88</v>
      </c>
      <c r="P841" s="494"/>
      <c r="Q841" s="148">
        <f t="shared" si="246"/>
        <v>0</v>
      </c>
      <c r="R841" s="148"/>
      <c r="S841" s="148">
        <f t="shared" si="258"/>
        <v>0</v>
      </c>
      <c r="T841" s="148">
        <f t="shared" si="248"/>
        <v>2</v>
      </c>
      <c r="U841" s="148">
        <f t="shared" si="252"/>
        <v>19.88</v>
      </c>
      <c r="V841" s="379"/>
      <c r="W841" s="379"/>
      <c r="X841" s="57" t="e">
        <f>IF(B841&lt;&gt;0,VLOOKUP(B841,#REF!,4,FALSE),"")</f>
        <v>#REF!</v>
      </c>
      <c r="Y841" s="334" t="s">
        <v>3110</v>
      </c>
      <c r="Z841" s="334">
        <f t="shared" si="240"/>
        <v>14.075999999999999</v>
      </c>
      <c r="AA841" s="57"/>
      <c r="AB841" s="58" t="e">
        <f>IF(B841&lt;&gt;0,VLOOKUP(B841,#REF!,2,FALSE),"")</f>
        <v>#REF!</v>
      </c>
    </row>
    <row r="842" spans="1:28" s="55" customFormat="1" ht="15" customHeight="1">
      <c r="A842" s="229" t="s">
        <v>1244</v>
      </c>
      <c r="B842" s="229"/>
      <c r="C842" s="229" t="s">
        <v>267</v>
      </c>
      <c r="D842" s="230"/>
      <c r="E842" s="230"/>
      <c r="F842" s="230"/>
      <c r="G842" s="22"/>
      <c r="H842" s="230"/>
      <c r="I842" s="445"/>
      <c r="J842" s="440"/>
      <c r="K842" s="440"/>
      <c r="L842" s="440"/>
      <c r="M842" s="440"/>
      <c r="N842" s="440"/>
      <c r="O842" s="440"/>
      <c r="P842" s="492"/>
      <c r="Q842" s="148">
        <f t="shared" si="246"/>
        <v>0</v>
      </c>
      <c r="R842" s="440"/>
      <c r="S842" s="440"/>
      <c r="T842" s="148"/>
      <c r="U842" s="148"/>
      <c r="V842" s="330"/>
      <c r="W842" s="330"/>
      <c r="X842" s="58"/>
      <c r="Y842" s="334"/>
      <c r="Z842" s="334">
        <f t="shared" si="240"/>
        <v>0</v>
      </c>
      <c r="AA842" s="58"/>
      <c r="AB842" s="58"/>
    </row>
    <row r="843" spans="1:28" s="55" customFormat="1" ht="75">
      <c r="A843" s="36" t="s">
        <v>3650</v>
      </c>
      <c r="B843" s="20">
        <v>101881</v>
      </c>
      <c r="C843" s="439" t="s">
        <v>3750</v>
      </c>
      <c r="D843" s="21" t="s">
        <v>12</v>
      </c>
      <c r="E843" s="21" t="s">
        <v>17</v>
      </c>
      <c r="F843" s="22">
        <v>1</v>
      </c>
      <c r="G843" s="22">
        <f t="shared" si="239"/>
        <v>765.94350000000009</v>
      </c>
      <c r="H843" s="22">
        <f t="shared" ref="H843:H854" si="259">ROUND(G843*(1+$X$14),2)</f>
        <v>971.29</v>
      </c>
      <c r="I843" s="147">
        <f t="shared" ref="I843:I854" si="260">ROUND(H843*F843,2)</f>
        <v>971.29</v>
      </c>
      <c r="J843" s="148"/>
      <c r="K843" s="148"/>
      <c r="L843" s="148"/>
      <c r="M843" s="148">
        <v>853.27</v>
      </c>
      <c r="N843" s="148">
        <v>1082.03</v>
      </c>
      <c r="O843" s="148">
        <v>1082.03</v>
      </c>
      <c r="P843" s="494"/>
      <c r="Q843" s="148">
        <f t="shared" si="246"/>
        <v>0</v>
      </c>
      <c r="R843" s="148"/>
      <c r="S843" s="148">
        <f t="shared" ref="S843:S854" si="261">ROUND(R843*P843,2)</f>
        <v>0</v>
      </c>
      <c r="T843" s="148">
        <f t="shared" si="248"/>
        <v>1</v>
      </c>
      <c r="U843" s="148">
        <f t="shared" si="252"/>
        <v>1082.03</v>
      </c>
      <c r="V843" s="379"/>
      <c r="W843" s="379"/>
      <c r="X843" s="57" t="e">
        <f>IF(B843&lt;&gt;0,VLOOKUP(B843,#REF!,4,FALSE),"")</f>
        <v>#REF!</v>
      </c>
      <c r="Y843" s="334" t="s">
        <v>3248</v>
      </c>
      <c r="Z843" s="334">
        <f t="shared" si="240"/>
        <v>765.94350000000009</v>
      </c>
      <c r="AA843" s="57"/>
      <c r="AB843" s="58" t="e">
        <f>IF(B843&lt;&gt;0,VLOOKUP(B843,#REF!,2,FALSE),"")</f>
        <v>#REF!</v>
      </c>
    </row>
    <row r="844" spans="1:28" s="55" customFormat="1" ht="30">
      <c r="A844" s="19" t="s">
        <v>1246</v>
      </c>
      <c r="B844" s="20">
        <f>B832</f>
        <v>9041</v>
      </c>
      <c r="C844" s="19" t="str">
        <f>C832</f>
        <v>DISPOSITIVO DE PROTEÇÃO CONTRA SURTO DE TENSÃO DPS 60KA - 275V</v>
      </c>
      <c r="D844" s="21" t="s">
        <v>44</v>
      </c>
      <c r="E844" s="21" t="s">
        <v>17</v>
      </c>
      <c r="F844" s="22">
        <v>4</v>
      </c>
      <c r="G844" s="22">
        <f t="shared" si="239"/>
        <v>97.393000000000001</v>
      </c>
      <c r="H844" s="22">
        <f t="shared" si="259"/>
        <v>123.5</v>
      </c>
      <c r="I844" s="147">
        <f t="shared" si="260"/>
        <v>494</v>
      </c>
      <c r="J844" s="148"/>
      <c r="K844" s="148"/>
      <c r="L844" s="148"/>
      <c r="M844" s="148">
        <v>108.5</v>
      </c>
      <c r="N844" s="148">
        <v>137.59</v>
      </c>
      <c r="O844" s="148">
        <v>550.36</v>
      </c>
      <c r="P844" s="494"/>
      <c r="Q844" s="148">
        <f t="shared" si="246"/>
        <v>0</v>
      </c>
      <c r="R844" s="148"/>
      <c r="S844" s="148">
        <f t="shared" si="261"/>
        <v>0</v>
      </c>
      <c r="T844" s="148">
        <f t="shared" si="248"/>
        <v>4</v>
      </c>
      <c r="U844" s="148">
        <f t="shared" si="252"/>
        <v>550.36</v>
      </c>
      <c r="V844" s="379"/>
      <c r="W844" s="379"/>
      <c r="X844" s="57">
        <f>X832</f>
        <v>97.39</v>
      </c>
      <c r="Y844" s="334">
        <v>114.58</v>
      </c>
      <c r="Z844" s="334">
        <f t="shared" si="240"/>
        <v>389.572</v>
      </c>
      <c r="AA844" s="57"/>
      <c r="AB844" s="58"/>
    </row>
    <row r="845" spans="1:28" s="55" customFormat="1" ht="30">
      <c r="A845" s="19" t="s">
        <v>1247</v>
      </c>
      <c r="B845" s="20">
        <v>93653</v>
      </c>
      <c r="C845" s="19" t="s">
        <v>1729</v>
      </c>
      <c r="D845" s="21" t="s">
        <v>12</v>
      </c>
      <c r="E845" s="21" t="s">
        <v>17</v>
      </c>
      <c r="F845" s="22">
        <v>1</v>
      </c>
      <c r="G845" s="22">
        <f t="shared" si="239"/>
        <v>9.2735000000000003</v>
      </c>
      <c r="H845" s="22">
        <f t="shared" si="259"/>
        <v>11.76</v>
      </c>
      <c r="I845" s="147">
        <f t="shared" si="260"/>
        <v>11.76</v>
      </c>
      <c r="J845" s="148"/>
      <c r="K845" s="148"/>
      <c r="L845" s="148"/>
      <c r="M845" s="148">
        <v>10.33</v>
      </c>
      <c r="N845" s="148">
        <v>13.1</v>
      </c>
      <c r="O845" s="148">
        <v>13.1</v>
      </c>
      <c r="P845" s="494"/>
      <c r="Q845" s="148">
        <f t="shared" si="246"/>
        <v>0</v>
      </c>
      <c r="R845" s="148"/>
      <c r="S845" s="148">
        <f t="shared" si="261"/>
        <v>0</v>
      </c>
      <c r="T845" s="148">
        <f t="shared" si="248"/>
        <v>1</v>
      </c>
      <c r="U845" s="148">
        <f t="shared" si="252"/>
        <v>13.1</v>
      </c>
      <c r="V845" s="379"/>
      <c r="W845" s="379"/>
      <c r="X845" s="57" t="e">
        <f>IF(B845&lt;&gt;0,VLOOKUP(B845,#REF!,4,FALSE),"")</f>
        <v>#REF!</v>
      </c>
      <c r="Y845" s="334" t="s">
        <v>3226</v>
      </c>
      <c r="Z845" s="334">
        <f t="shared" si="240"/>
        <v>9.2735000000000003</v>
      </c>
      <c r="AA845" s="57"/>
      <c r="AB845" s="58" t="e">
        <f>IF(B845&lt;&gt;0,VLOOKUP(B845,#REF!,2,FALSE),"")</f>
        <v>#REF!</v>
      </c>
    </row>
    <row r="846" spans="1:28" s="55" customFormat="1" ht="45">
      <c r="A846" s="19" t="s">
        <v>1248</v>
      </c>
      <c r="B846" s="20">
        <f>B833</f>
        <v>7996</v>
      </c>
      <c r="C846" s="19" t="str">
        <f>C833</f>
        <v>DISJUNTOR BIPOLAR DR 25 A - DISPOSITIVO RESIDUAL DIFERENCIAL, TIPO AC, 30MA, REF.5SM1 312-OMB, SIEMENS OU SIMILAR</v>
      </c>
      <c r="D846" s="21" t="str">
        <f>D833</f>
        <v>ORSE</v>
      </c>
      <c r="E846" s="21" t="s">
        <v>17</v>
      </c>
      <c r="F846" s="22">
        <v>3</v>
      </c>
      <c r="G846" s="22">
        <f t="shared" si="239"/>
        <v>127.449</v>
      </c>
      <c r="H846" s="22">
        <f t="shared" si="259"/>
        <v>161.62</v>
      </c>
      <c r="I846" s="147">
        <f t="shared" si="260"/>
        <v>484.86</v>
      </c>
      <c r="J846" s="148"/>
      <c r="K846" s="148"/>
      <c r="L846" s="148"/>
      <c r="M846" s="148">
        <v>141.97999999999999</v>
      </c>
      <c r="N846" s="148">
        <v>180.04</v>
      </c>
      <c r="O846" s="148">
        <v>540.12</v>
      </c>
      <c r="P846" s="494"/>
      <c r="Q846" s="148">
        <f t="shared" si="246"/>
        <v>0</v>
      </c>
      <c r="R846" s="148"/>
      <c r="S846" s="148">
        <f t="shared" si="261"/>
        <v>0</v>
      </c>
      <c r="T846" s="148">
        <f t="shared" si="248"/>
        <v>3</v>
      </c>
      <c r="U846" s="148">
        <f t="shared" si="252"/>
        <v>540.12</v>
      </c>
      <c r="V846" s="379"/>
      <c r="W846" s="379"/>
      <c r="X846" s="57">
        <f>X833</f>
        <v>127.45</v>
      </c>
      <c r="Y846" s="334">
        <v>149.94</v>
      </c>
      <c r="Z846" s="334">
        <f t="shared" si="240"/>
        <v>382.34699999999998</v>
      </c>
      <c r="AA846" s="57"/>
      <c r="AB846" s="58"/>
    </row>
    <row r="847" spans="1:28" s="55" customFormat="1" ht="30">
      <c r="A847" s="19" t="s">
        <v>1249</v>
      </c>
      <c r="B847" s="20">
        <v>93653</v>
      </c>
      <c r="C847" s="19" t="s">
        <v>1729</v>
      </c>
      <c r="D847" s="21" t="s">
        <v>12</v>
      </c>
      <c r="E847" s="21" t="s">
        <v>17</v>
      </c>
      <c r="F847" s="22">
        <v>14</v>
      </c>
      <c r="G847" s="22">
        <f t="shared" si="239"/>
        <v>9.2735000000000003</v>
      </c>
      <c r="H847" s="22">
        <f t="shared" si="259"/>
        <v>11.76</v>
      </c>
      <c r="I847" s="147">
        <f t="shared" si="260"/>
        <v>164.64</v>
      </c>
      <c r="J847" s="148"/>
      <c r="K847" s="148"/>
      <c r="L847" s="148"/>
      <c r="M847" s="148">
        <v>10.33</v>
      </c>
      <c r="N847" s="148">
        <v>13.1</v>
      </c>
      <c r="O847" s="148">
        <v>183.4</v>
      </c>
      <c r="P847" s="494"/>
      <c r="Q847" s="148">
        <f t="shared" si="246"/>
        <v>0</v>
      </c>
      <c r="R847" s="148"/>
      <c r="S847" s="148">
        <f t="shared" si="261"/>
        <v>0</v>
      </c>
      <c r="T847" s="148">
        <f t="shared" si="248"/>
        <v>14</v>
      </c>
      <c r="U847" s="148">
        <f t="shared" si="252"/>
        <v>183.4</v>
      </c>
      <c r="V847" s="379"/>
      <c r="W847" s="379"/>
      <c r="X847" s="57" t="e">
        <f>IF(B847&lt;&gt;0,VLOOKUP(B847,#REF!,4,FALSE),"")</f>
        <v>#REF!</v>
      </c>
      <c r="Y847" s="334" t="s">
        <v>3226</v>
      </c>
      <c r="Z847" s="334">
        <f t="shared" si="240"/>
        <v>129.82900000000001</v>
      </c>
      <c r="AA847" s="57"/>
      <c r="AB847" s="58" t="e">
        <f>IF(B847&lt;&gt;0,VLOOKUP(B847,#REF!,2,FALSE),"")</f>
        <v>#REF!</v>
      </c>
    </row>
    <row r="848" spans="1:28" s="55" customFormat="1" ht="30">
      <c r="A848" s="19" t="s">
        <v>1250</v>
      </c>
      <c r="B848" s="20">
        <v>93654</v>
      </c>
      <c r="C848" s="19" t="s">
        <v>1730</v>
      </c>
      <c r="D848" s="21" t="s">
        <v>12</v>
      </c>
      <c r="E848" s="21" t="s">
        <v>17</v>
      </c>
      <c r="F848" s="22">
        <v>8</v>
      </c>
      <c r="G848" s="22">
        <f t="shared" si="239"/>
        <v>9.6050000000000004</v>
      </c>
      <c r="H848" s="22">
        <f t="shared" si="259"/>
        <v>12.18</v>
      </c>
      <c r="I848" s="147">
        <f t="shared" si="260"/>
        <v>97.44</v>
      </c>
      <c r="J848" s="148"/>
      <c r="K848" s="148"/>
      <c r="L848" s="148"/>
      <c r="M848" s="148">
        <v>10.7</v>
      </c>
      <c r="N848" s="148">
        <v>13.57</v>
      </c>
      <c r="O848" s="148">
        <v>108.56</v>
      </c>
      <c r="P848" s="494"/>
      <c r="Q848" s="148">
        <f t="shared" si="246"/>
        <v>0</v>
      </c>
      <c r="R848" s="148"/>
      <c r="S848" s="148">
        <f t="shared" si="261"/>
        <v>0</v>
      </c>
      <c r="T848" s="148">
        <f t="shared" si="248"/>
        <v>8</v>
      </c>
      <c r="U848" s="148">
        <f t="shared" si="252"/>
        <v>108.56</v>
      </c>
      <c r="V848" s="379"/>
      <c r="W848" s="379"/>
      <c r="X848" s="57" t="e">
        <f>IF(B848&lt;&gt;0,VLOOKUP(B848,#REF!,4,FALSE),"")</f>
        <v>#REF!</v>
      </c>
      <c r="Y848" s="334" t="s">
        <v>3240</v>
      </c>
      <c r="Z848" s="334">
        <f t="shared" si="240"/>
        <v>76.84</v>
      </c>
      <c r="AA848" s="57"/>
      <c r="AB848" s="58" t="e">
        <f>IF(B848&lt;&gt;0,VLOOKUP(B848,#REF!,2,FALSE),"")</f>
        <v>#REF!</v>
      </c>
    </row>
    <row r="849" spans="1:28" s="55" customFormat="1">
      <c r="A849" s="19" t="s">
        <v>1251</v>
      </c>
      <c r="B849" s="20">
        <v>101894</v>
      </c>
      <c r="C849" s="19" t="s">
        <v>266</v>
      </c>
      <c r="D849" s="21" t="s">
        <v>12</v>
      </c>
      <c r="E849" s="21" t="s">
        <v>17</v>
      </c>
      <c r="F849" s="22">
        <v>1</v>
      </c>
      <c r="G849" s="22">
        <f t="shared" si="239"/>
        <v>120.09649999999999</v>
      </c>
      <c r="H849" s="22">
        <f t="shared" si="259"/>
        <v>152.29</v>
      </c>
      <c r="I849" s="147">
        <f t="shared" si="260"/>
        <v>152.29</v>
      </c>
      <c r="J849" s="148"/>
      <c r="K849" s="148"/>
      <c r="L849" s="148"/>
      <c r="M849" s="148">
        <v>133.79</v>
      </c>
      <c r="N849" s="148">
        <v>169.66</v>
      </c>
      <c r="O849" s="148">
        <v>169.66</v>
      </c>
      <c r="P849" s="494"/>
      <c r="Q849" s="148">
        <f t="shared" si="246"/>
        <v>0</v>
      </c>
      <c r="R849" s="148"/>
      <c r="S849" s="148">
        <f t="shared" si="261"/>
        <v>0</v>
      </c>
      <c r="T849" s="148">
        <f t="shared" si="248"/>
        <v>1</v>
      </c>
      <c r="U849" s="148">
        <f t="shared" si="252"/>
        <v>169.66</v>
      </c>
      <c r="V849" s="379"/>
      <c r="W849" s="379"/>
      <c r="X849" s="57" t="e">
        <f>IF(B849&lt;&gt;0,VLOOKUP(B849,#REF!,4,FALSE),"")</f>
        <v>#REF!</v>
      </c>
      <c r="Y849" s="334" t="s">
        <v>3250</v>
      </c>
      <c r="Z849" s="334">
        <f t="shared" si="240"/>
        <v>120.09649999999999</v>
      </c>
      <c r="AA849" s="57"/>
      <c r="AB849" s="58" t="e">
        <f>IF(B849&lt;&gt;0,VLOOKUP(B849,#REF!,2,FALSE),"")</f>
        <v>#REF!</v>
      </c>
    </row>
    <row r="850" spans="1:28" s="55" customFormat="1" ht="45">
      <c r="A850" s="36" t="s">
        <v>3651</v>
      </c>
      <c r="B850" s="20">
        <v>1570</v>
      </c>
      <c r="C850" s="439" t="s">
        <v>3751</v>
      </c>
      <c r="D850" s="21" t="s">
        <v>12</v>
      </c>
      <c r="E850" s="21" t="s">
        <v>17</v>
      </c>
      <c r="F850" s="22">
        <v>88</v>
      </c>
      <c r="G850" s="22">
        <f t="shared" si="239"/>
        <v>0.77350000000000008</v>
      </c>
      <c r="H850" s="22">
        <f t="shared" si="259"/>
        <v>0.98</v>
      </c>
      <c r="I850" s="147">
        <f t="shared" si="260"/>
        <v>86.24</v>
      </c>
      <c r="J850" s="148"/>
      <c r="K850" s="148"/>
      <c r="L850" s="148"/>
      <c r="M850" s="148">
        <v>0.86</v>
      </c>
      <c r="N850" s="148">
        <v>1.0900000000000001</v>
      </c>
      <c r="O850" s="148">
        <v>95.92</v>
      </c>
      <c r="P850" s="494"/>
      <c r="Q850" s="148">
        <f t="shared" si="246"/>
        <v>0</v>
      </c>
      <c r="R850" s="148"/>
      <c r="S850" s="148">
        <f t="shared" si="261"/>
        <v>0</v>
      </c>
      <c r="T850" s="148">
        <f t="shared" si="248"/>
        <v>88</v>
      </c>
      <c r="U850" s="148">
        <f t="shared" si="252"/>
        <v>95.92</v>
      </c>
      <c r="V850" s="379"/>
      <c r="W850" s="379"/>
      <c r="X850" s="57" t="e">
        <f>IF(B850&lt;&gt;0,VLOOKUP(B850,#REF!,4,FALSE),"")</f>
        <v>#REF!</v>
      </c>
      <c r="Y850" s="334" t="s">
        <v>1858</v>
      </c>
      <c r="Z850" s="334">
        <f t="shared" si="240"/>
        <v>68.068000000000012</v>
      </c>
      <c r="AA850" s="57"/>
      <c r="AB850" s="58" t="e">
        <f>IF(B850&lt;&gt;0,VLOOKUP(B850,#REF!,2,FALSE),"")</f>
        <v>#REF!</v>
      </c>
    </row>
    <row r="851" spans="1:28" s="55" customFormat="1" ht="45">
      <c r="A851" s="36" t="s">
        <v>3652</v>
      </c>
      <c r="B851" s="20">
        <v>1573</v>
      </c>
      <c r="C851" s="439" t="s">
        <v>3752</v>
      </c>
      <c r="D851" s="21" t="s">
        <v>12</v>
      </c>
      <c r="E851" s="21" t="s">
        <v>17</v>
      </c>
      <c r="F851" s="22">
        <v>22</v>
      </c>
      <c r="G851" s="22">
        <f t="shared" si="239"/>
        <v>1.1984999999999999</v>
      </c>
      <c r="H851" s="22">
        <f t="shared" si="259"/>
        <v>1.52</v>
      </c>
      <c r="I851" s="147">
        <f t="shared" si="260"/>
        <v>33.44</v>
      </c>
      <c r="J851" s="148"/>
      <c r="K851" s="148"/>
      <c r="L851" s="148"/>
      <c r="M851" s="148">
        <v>1.34</v>
      </c>
      <c r="N851" s="148">
        <v>1.7</v>
      </c>
      <c r="O851" s="148">
        <v>37.4</v>
      </c>
      <c r="P851" s="494"/>
      <c r="Q851" s="148">
        <f t="shared" si="246"/>
        <v>0</v>
      </c>
      <c r="R851" s="148"/>
      <c r="S851" s="148">
        <f t="shared" si="261"/>
        <v>0</v>
      </c>
      <c r="T851" s="148">
        <f t="shared" si="248"/>
        <v>22</v>
      </c>
      <c r="U851" s="148">
        <f t="shared" si="252"/>
        <v>37.4</v>
      </c>
      <c r="V851" s="379"/>
      <c r="W851" s="379"/>
      <c r="X851" s="57" t="e">
        <f>IF(B851&lt;&gt;0,VLOOKUP(B851,#REF!,4,FALSE),"")</f>
        <v>#REF!</v>
      </c>
      <c r="Y851" s="334" t="s">
        <v>3188</v>
      </c>
      <c r="Z851" s="334">
        <f t="shared" si="240"/>
        <v>26.366999999999997</v>
      </c>
      <c r="AA851" s="57"/>
      <c r="AB851" s="58" t="e">
        <f>IF(B851&lt;&gt;0,VLOOKUP(B851,#REF!,2,FALSE),"")</f>
        <v>#REF!</v>
      </c>
    </row>
    <row r="852" spans="1:28" s="55" customFormat="1" ht="30">
      <c r="A852" s="36" t="s">
        <v>3653</v>
      </c>
      <c r="B852" s="20">
        <v>1585</v>
      </c>
      <c r="C852" s="439" t="s">
        <v>3749</v>
      </c>
      <c r="D852" s="21" t="s">
        <v>12</v>
      </c>
      <c r="E852" s="21" t="s">
        <v>17</v>
      </c>
      <c r="F852" s="22">
        <v>1</v>
      </c>
      <c r="G852" s="22">
        <f t="shared" si="239"/>
        <v>4.1820000000000004</v>
      </c>
      <c r="H852" s="22">
        <f t="shared" si="259"/>
        <v>5.3</v>
      </c>
      <c r="I852" s="147">
        <f t="shared" si="260"/>
        <v>5.3</v>
      </c>
      <c r="J852" s="148"/>
      <c r="K852" s="148"/>
      <c r="L852" s="148"/>
      <c r="M852" s="148">
        <v>4.66</v>
      </c>
      <c r="N852" s="148">
        <v>5.91</v>
      </c>
      <c r="O852" s="148">
        <v>5.91</v>
      </c>
      <c r="P852" s="494"/>
      <c r="Q852" s="148">
        <f t="shared" si="246"/>
        <v>0</v>
      </c>
      <c r="R852" s="148"/>
      <c r="S852" s="148">
        <f t="shared" si="261"/>
        <v>0</v>
      </c>
      <c r="T852" s="148">
        <f t="shared" si="248"/>
        <v>1</v>
      </c>
      <c r="U852" s="148">
        <f t="shared" si="252"/>
        <v>5.91</v>
      </c>
      <c r="V852" s="379"/>
      <c r="W852" s="379"/>
      <c r="X852" s="57" t="e">
        <f>IF(B852&lt;&gt;0,VLOOKUP(B852,#REF!,4,FALSE),"")</f>
        <v>#REF!</v>
      </c>
      <c r="Y852" s="334" t="s">
        <v>3141</v>
      </c>
      <c r="Z852" s="334">
        <f t="shared" si="240"/>
        <v>4.1820000000000004</v>
      </c>
      <c r="AA852" s="57"/>
      <c r="AB852" s="58" t="e">
        <f>IF(B852&lt;&gt;0,VLOOKUP(B852,#REF!,2,FALSE),"")</f>
        <v>#REF!</v>
      </c>
    </row>
    <row r="853" spans="1:28" s="55" customFormat="1" ht="45">
      <c r="A853" s="36" t="s">
        <v>3654</v>
      </c>
      <c r="B853" s="20">
        <v>1577</v>
      </c>
      <c r="C853" s="439" t="s">
        <v>3747</v>
      </c>
      <c r="D853" s="21" t="s">
        <v>12</v>
      </c>
      <c r="E853" s="21" t="s">
        <v>17</v>
      </c>
      <c r="F853" s="22">
        <v>10</v>
      </c>
      <c r="G853" s="22">
        <f t="shared" ref="G853:G916" si="262">Y853-(Y853*$Y$15)</f>
        <v>2.4055</v>
      </c>
      <c r="H853" s="22">
        <f t="shared" si="259"/>
        <v>3.05</v>
      </c>
      <c r="I853" s="147">
        <f t="shared" si="260"/>
        <v>30.5</v>
      </c>
      <c r="J853" s="148"/>
      <c r="K853" s="148"/>
      <c r="L853" s="148"/>
      <c r="M853" s="148">
        <v>2.68</v>
      </c>
      <c r="N853" s="148">
        <v>3.4</v>
      </c>
      <c r="O853" s="148">
        <v>34</v>
      </c>
      <c r="P853" s="494"/>
      <c r="Q853" s="148">
        <f t="shared" si="246"/>
        <v>0</v>
      </c>
      <c r="R853" s="148"/>
      <c r="S853" s="148">
        <f t="shared" si="261"/>
        <v>0</v>
      </c>
      <c r="T853" s="148">
        <f t="shared" si="248"/>
        <v>10</v>
      </c>
      <c r="U853" s="148">
        <f t="shared" si="252"/>
        <v>34</v>
      </c>
      <c r="V853" s="379"/>
      <c r="W853" s="379"/>
      <c r="X853" s="57" t="e">
        <f>IF(B853&lt;&gt;0,VLOOKUP(B853,#REF!,4,FALSE),"")</f>
        <v>#REF!</v>
      </c>
      <c r="Y853" s="334" t="s">
        <v>1894</v>
      </c>
      <c r="Z853" s="334">
        <f t="shared" ref="Z853:Z916" si="263">F853*G853</f>
        <v>24.055</v>
      </c>
      <c r="AA853" s="57"/>
      <c r="AB853" s="58" t="e">
        <f>IF(B853&lt;&gt;0,VLOOKUP(B853,#REF!,2,FALSE),"")</f>
        <v>#REF!</v>
      </c>
    </row>
    <row r="854" spans="1:28" s="55" customFormat="1" ht="45">
      <c r="A854" s="19" t="s">
        <v>1252</v>
      </c>
      <c r="B854" s="20">
        <v>91930</v>
      </c>
      <c r="C854" s="19" t="s">
        <v>1731</v>
      </c>
      <c r="D854" s="21" t="s">
        <v>12</v>
      </c>
      <c r="E854" s="21" t="s">
        <v>52</v>
      </c>
      <c r="F854" s="22">
        <v>2</v>
      </c>
      <c r="G854" s="22">
        <f t="shared" si="262"/>
        <v>7.0379999999999994</v>
      </c>
      <c r="H854" s="22">
        <f t="shared" si="259"/>
        <v>8.92</v>
      </c>
      <c r="I854" s="147">
        <f t="shared" si="260"/>
        <v>17.84</v>
      </c>
      <c r="J854" s="148"/>
      <c r="K854" s="148"/>
      <c r="L854" s="148"/>
      <c r="M854" s="148">
        <v>7.84</v>
      </c>
      <c r="N854" s="148">
        <v>9.94</v>
      </c>
      <c r="O854" s="148">
        <v>19.88</v>
      </c>
      <c r="P854" s="494"/>
      <c r="Q854" s="148">
        <f t="shared" si="246"/>
        <v>0</v>
      </c>
      <c r="R854" s="148"/>
      <c r="S854" s="148">
        <f t="shared" si="261"/>
        <v>0</v>
      </c>
      <c r="T854" s="148">
        <f t="shared" si="248"/>
        <v>2</v>
      </c>
      <c r="U854" s="148">
        <f t="shared" si="252"/>
        <v>19.88</v>
      </c>
      <c r="V854" s="379"/>
      <c r="W854" s="379"/>
      <c r="X854" s="57" t="e">
        <f>IF(B854&lt;&gt;0,VLOOKUP(B854,#REF!,4,FALSE),"")</f>
        <v>#REF!</v>
      </c>
      <c r="Y854" s="334" t="s">
        <v>3110</v>
      </c>
      <c r="Z854" s="334">
        <f t="shared" si="263"/>
        <v>14.075999999999999</v>
      </c>
      <c r="AA854" s="57"/>
      <c r="AB854" s="58" t="e">
        <f>IF(B854&lt;&gt;0,VLOOKUP(B854,#REF!,2,FALSE),"")</f>
        <v>#REF!</v>
      </c>
    </row>
    <row r="855" spans="1:28" s="55" customFormat="1" ht="15" customHeight="1">
      <c r="A855" s="229" t="s">
        <v>1253</v>
      </c>
      <c r="B855" s="229"/>
      <c r="C855" s="229" t="s">
        <v>268</v>
      </c>
      <c r="D855" s="230"/>
      <c r="E855" s="230"/>
      <c r="F855" s="230"/>
      <c r="G855" s="22"/>
      <c r="H855" s="230"/>
      <c r="I855" s="445"/>
      <c r="J855" s="440"/>
      <c r="K855" s="440"/>
      <c r="L855" s="440"/>
      <c r="M855" s="440"/>
      <c r="N855" s="440"/>
      <c r="O855" s="440"/>
      <c r="P855" s="492"/>
      <c r="Q855" s="148">
        <f t="shared" si="246"/>
        <v>0</v>
      </c>
      <c r="R855" s="440"/>
      <c r="S855" s="440"/>
      <c r="T855" s="148"/>
      <c r="U855" s="148"/>
      <c r="V855" s="330"/>
      <c r="W855" s="330"/>
      <c r="X855" s="58"/>
      <c r="Y855" s="334"/>
      <c r="Z855" s="334">
        <f t="shared" si="263"/>
        <v>0</v>
      </c>
      <c r="AA855" s="58"/>
      <c r="AB855" s="58"/>
    </row>
    <row r="856" spans="1:28" s="55" customFormat="1" ht="75">
      <c r="A856" s="36" t="s">
        <v>3655</v>
      </c>
      <c r="B856" s="20">
        <v>101881</v>
      </c>
      <c r="C856" s="439" t="s">
        <v>3750</v>
      </c>
      <c r="D856" s="21" t="s">
        <v>12</v>
      </c>
      <c r="E856" s="21" t="s">
        <v>17</v>
      </c>
      <c r="F856" s="22">
        <v>1</v>
      </c>
      <c r="G856" s="22">
        <f t="shared" si="262"/>
        <v>765.94350000000009</v>
      </c>
      <c r="H856" s="22">
        <f t="shared" ref="H856:H866" si="264">ROUND(G856*(1+$X$14),2)</f>
        <v>971.29</v>
      </c>
      <c r="I856" s="147">
        <f t="shared" ref="I856:I866" si="265">ROUND(H856*F856,2)</f>
        <v>971.29</v>
      </c>
      <c r="J856" s="148"/>
      <c r="K856" s="148"/>
      <c r="L856" s="148"/>
      <c r="M856" s="148">
        <v>853.27</v>
      </c>
      <c r="N856" s="148">
        <v>1082.03</v>
      </c>
      <c r="O856" s="148">
        <v>1082.03</v>
      </c>
      <c r="P856" s="494"/>
      <c r="Q856" s="148">
        <f t="shared" si="246"/>
        <v>0</v>
      </c>
      <c r="R856" s="148"/>
      <c r="S856" s="148">
        <f t="shared" ref="S856:S866" si="266">ROUND(R856*P856,2)</f>
        <v>0</v>
      </c>
      <c r="T856" s="148">
        <f t="shared" si="248"/>
        <v>1</v>
      </c>
      <c r="U856" s="148">
        <f t="shared" si="252"/>
        <v>1082.03</v>
      </c>
      <c r="V856" s="379"/>
      <c r="W856" s="379"/>
      <c r="X856" s="57" t="e">
        <f>IF(B856&lt;&gt;0,VLOOKUP(B856,#REF!,4,FALSE),"")</f>
        <v>#REF!</v>
      </c>
      <c r="Y856" s="334" t="s">
        <v>3248</v>
      </c>
      <c r="Z856" s="334">
        <f t="shared" si="263"/>
        <v>765.94350000000009</v>
      </c>
      <c r="AA856" s="57"/>
      <c r="AB856" s="58" t="e">
        <f>IF(B856&lt;&gt;0,VLOOKUP(B856,#REF!,2,FALSE),"")</f>
        <v>#REF!</v>
      </c>
    </row>
    <row r="857" spans="1:28" s="55" customFormat="1" ht="30">
      <c r="A857" s="19" t="s">
        <v>1255</v>
      </c>
      <c r="B857" s="20">
        <f>B844</f>
        <v>9041</v>
      </c>
      <c r="C857" s="30" t="str">
        <f>C844</f>
        <v>DISPOSITIVO DE PROTEÇÃO CONTRA SURTO DE TENSÃO DPS 60KA - 275V</v>
      </c>
      <c r="D857" s="21" t="s">
        <v>44</v>
      </c>
      <c r="E857" s="21" t="s">
        <v>17</v>
      </c>
      <c r="F857" s="22">
        <v>4</v>
      </c>
      <c r="G857" s="22">
        <f t="shared" si="262"/>
        <v>97.393000000000001</v>
      </c>
      <c r="H857" s="22">
        <f t="shared" si="264"/>
        <v>123.5</v>
      </c>
      <c r="I857" s="147">
        <f t="shared" si="265"/>
        <v>494</v>
      </c>
      <c r="J857" s="148"/>
      <c r="K857" s="148"/>
      <c r="L857" s="148"/>
      <c r="M857" s="148">
        <v>108.5</v>
      </c>
      <c r="N857" s="148">
        <v>137.59</v>
      </c>
      <c r="O857" s="148">
        <v>550.36</v>
      </c>
      <c r="P857" s="494"/>
      <c r="Q857" s="148">
        <f t="shared" si="246"/>
        <v>0</v>
      </c>
      <c r="R857" s="148"/>
      <c r="S857" s="148">
        <f t="shared" si="266"/>
        <v>0</v>
      </c>
      <c r="T857" s="148">
        <f t="shared" si="248"/>
        <v>4</v>
      </c>
      <c r="U857" s="148">
        <f t="shared" si="252"/>
        <v>550.36</v>
      </c>
      <c r="V857" s="379"/>
      <c r="W857" s="379"/>
      <c r="X857" s="57">
        <f>X844</f>
        <v>97.39</v>
      </c>
      <c r="Y857" s="334">
        <v>114.58</v>
      </c>
      <c r="Z857" s="334">
        <f t="shared" si="263"/>
        <v>389.572</v>
      </c>
      <c r="AA857" s="57"/>
      <c r="AB857" s="58"/>
    </row>
    <row r="858" spans="1:28" s="55" customFormat="1" ht="30">
      <c r="A858" s="19" t="s">
        <v>1256</v>
      </c>
      <c r="B858" s="20">
        <v>93654</v>
      </c>
      <c r="C858" s="19" t="s">
        <v>1730</v>
      </c>
      <c r="D858" s="21" t="s">
        <v>12</v>
      </c>
      <c r="E858" s="21" t="s">
        <v>17</v>
      </c>
      <c r="F858" s="22">
        <v>17</v>
      </c>
      <c r="G858" s="22">
        <f t="shared" si="262"/>
        <v>9.6050000000000004</v>
      </c>
      <c r="H858" s="22">
        <f t="shared" si="264"/>
        <v>12.18</v>
      </c>
      <c r="I858" s="147">
        <f t="shared" si="265"/>
        <v>207.06</v>
      </c>
      <c r="J858" s="148"/>
      <c r="K858" s="148"/>
      <c r="L858" s="148"/>
      <c r="M858" s="148">
        <v>10.7</v>
      </c>
      <c r="N858" s="148">
        <v>13.57</v>
      </c>
      <c r="O858" s="148">
        <v>230.69</v>
      </c>
      <c r="P858" s="494"/>
      <c r="Q858" s="148">
        <f t="shared" si="246"/>
        <v>0</v>
      </c>
      <c r="R858" s="148"/>
      <c r="S858" s="148">
        <f t="shared" si="266"/>
        <v>0</v>
      </c>
      <c r="T858" s="148">
        <f t="shared" si="248"/>
        <v>17</v>
      </c>
      <c r="U858" s="148">
        <f t="shared" si="252"/>
        <v>230.69</v>
      </c>
      <c r="V858" s="379"/>
      <c r="W858" s="379"/>
      <c r="X858" s="57" t="e">
        <f>IF(B858&lt;&gt;0,VLOOKUP(B858,#REF!,4,FALSE),"")</f>
        <v>#REF!</v>
      </c>
      <c r="Y858" s="334" t="s">
        <v>3240</v>
      </c>
      <c r="Z858" s="334">
        <f t="shared" si="263"/>
        <v>163.285</v>
      </c>
      <c r="AA858" s="57"/>
      <c r="AB858" s="58" t="e">
        <f>IF(B858&lt;&gt;0,VLOOKUP(B858,#REF!,2,FALSE),"")</f>
        <v>#REF!</v>
      </c>
    </row>
    <row r="859" spans="1:28" s="55" customFormat="1" ht="30">
      <c r="A859" s="19" t="s">
        <v>1257</v>
      </c>
      <c r="B859" s="20">
        <v>93669</v>
      </c>
      <c r="C859" s="19" t="s">
        <v>1732</v>
      </c>
      <c r="D859" s="21" t="s">
        <v>12</v>
      </c>
      <c r="E859" s="21" t="s">
        <v>17</v>
      </c>
      <c r="F859" s="22">
        <v>8</v>
      </c>
      <c r="G859" s="22">
        <f t="shared" si="262"/>
        <v>61.429499999999997</v>
      </c>
      <c r="H859" s="22">
        <f t="shared" si="264"/>
        <v>77.900000000000006</v>
      </c>
      <c r="I859" s="147">
        <f t="shared" si="265"/>
        <v>623.20000000000005</v>
      </c>
      <c r="J859" s="148"/>
      <c r="K859" s="148"/>
      <c r="L859" s="148"/>
      <c r="M859" s="148">
        <v>68.430000000000007</v>
      </c>
      <c r="N859" s="148">
        <v>86.78</v>
      </c>
      <c r="O859" s="148">
        <v>694.24</v>
      </c>
      <c r="P859" s="494"/>
      <c r="Q859" s="148">
        <f t="shared" si="246"/>
        <v>0</v>
      </c>
      <c r="R859" s="148"/>
      <c r="S859" s="148">
        <f t="shared" si="266"/>
        <v>0</v>
      </c>
      <c r="T859" s="148">
        <f t="shared" si="248"/>
        <v>8</v>
      </c>
      <c r="U859" s="148">
        <f t="shared" si="252"/>
        <v>694.24</v>
      </c>
      <c r="V859" s="379"/>
      <c r="W859" s="379"/>
      <c r="X859" s="57" t="e">
        <f>IF(B859&lt;&gt;0,VLOOKUP(B859,#REF!,4,FALSE),"")</f>
        <v>#REF!</v>
      </c>
      <c r="Y859" s="334" t="s">
        <v>3242</v>
      </c>
      <c r="Z859" s="334">
        <f t="shared" si="263"/>
        <v>491.43599999999998</v>
      </c>
      <c r="AA859" s="57"/>
      <c r="AB859" s="58" t="e">
        <f>IF(B859&lt;&gt;0,VLOOKUP(B859,#REF!,2,FALSE),"")</f>
        <v>#REF!</v>
      </c>
    </row>
    <row r="860" spans="1:28" s="55" customFormat="1" ht="45">
      <c r="A860" s="36" t="s">
        <v>3656</v>
      </c>
      <c r="B860" s="20">
        <v>101895</v>
      </c>
      <c r="C860" s="439" t="s">
        <v>3753</v>
      </c>
      <c r="D860" s="21" t="s">
        <v>12</v>
      </c>
      <c r="E860" s="21" t="s">
        <v>17</v>
      </c>
      <c r="F860" s="22">
        <v>1</v>
      </c>
      <c r="G860" s="22">
        <f t="shared" si="262"/>
        <v>337.58600000000001</v>
      </c>
      <c r="H860" s="22">
        <f t="shared" si="264"/>
        <v>428.09</v>
      </c>
      <c r="I860" s="147">
        <f t="shared" si="265"/>
        <v>428.09</v>
      </c>
      <c r="J860" s="148"/>
      <c r="K860" s="148"/>
      <c r="L860" s="148"/>
      <c r="M860" s="148">
        <v>376.07</v>
      </c>
      <c r="N860" s="148">
        <v>476.89</v>
      </c>
      <c r="O860" s="148">
        <v>476.89</v>
      </c>
      <c r="P860" s="494"/>
      <c r="Q860" s="148">
        <f t="shared" si="246"/>
        <v>0</v>
      </c>
      <c r="R860" s="148"/>
      <c r="S860" s="148">
        <f t="shared" si="266"/>
        <v>0</v>
      </c>
      <c r="T860" s="148">
        <f t="shared" si="248"/>
        <v>1</v>
      </c>
      <c r="U860" s="148">
        <f t="shared" si="252"/>
        <v>476.89</v>
      </c>
      <c r="V860" s="379"/>
      <c r="W860" s="379"/>
      <c r="X860" s="57" t="e">
        <f>IF(B860&lt;&gt;0,VLOOKUP(B860,#REF!,4,FALSE),"")</f>
        <v>#REF!</v>
      </c>
      <c r="Y860" s="334" t="s">
        <v>3251</v>
      </c>
      <c r="Z860" s="334">
        <f t="shared" si="263"/>
        <v>337.58600000000001</v>
      </c>
      <c r="AA860" s="57"/>
      <c r="AB860" s="58" t="e">
        <f>IF(B860&lt;&gt;0,VLOOKUP(B860,#REF!,2,FALSE),"")</f>
        <v>#REF!</v>
      </c>
    </row>
    <row r="861" spans="1:28" s="55" customFormat="1" ht="45">
      <c r="A861" s="36" t="s">
        <v>3657</v>
      </c>
      <c r="B861" s="20">
        <v>1570</v>
      </c>
      <c r="C861" s="439" t="s">
        <v>3751</v>
      </c>
      <c r="D861" s="21" t="s">
        <v>12</v>
      </c>
      <c r="E861" s="21" t="s">
        <v>17</v>
      </c>
      <c r="F861" s="22">
        <v>44</v>
      </c>
      <c r="G861" s="22">
        <f t="shared" si="262"/>
        <v>0.77350000000000008</v>
      </c>
      <c r="H861" s="22">
        <f t="shared" si="264"/>
        <v>0.98</v>
      </c>
      <c r="I861" s="147">
        <f t="shared" si="265"/>
        <v>43.12</v>
      </c>
      <c r="J861" s="148"/>
      <c r="K861" s="148"/>
      <c r="L861" s="148"/>
      <c r="M861" s="148">
        <v>0.86</v>
      </c>
      <c r="N861" s="148">
        <v>1.0900000000000001</v>
      </c>
      <c r="O861" s="148">
        <v>47.96</v>
      </c>
      <c r="P861" s="494"/>
      <c r="Q861" s="148">
        <f t="shared" si="246"/>
        <v>0</v>
      </c>
      <c r="R861" s="148"/>
      <c r="S861" s="148">
        <f t="shared" si="266"/>
        <v>0</v>
      </c>
      <c r="T861" s="148">
        <f t="shared" si="248"/>
        <v>44</v>
      </c>
      <c r="U861" s="148">
        <f t="shared" si="252"/>
        <v>47.96</v>
      </c>
      <c r="V861" s="379"/>
      <c r="W861" s="379"/>
      <c r="X861" s="57" t="e">
        <f>IF(B861&lt;&gt;0,VLOOKUP(B861,#REF!,4,FALSE),"")</f>
        <v>#REF!</v>
      </c>
      <c r="Y861" s="334" t="s">
        <v>1858</v>
      </c>
      <c r="Z861" s="334">
        <f t="shared" si="263"/>
        <v>34.034000000000006</v>
      </c>
      <c r="AA861" s="57"/>
      <c r="AB861" s="58" t="e">
        <f>IF(B861&lt;&gt;0,VLOOKUP(B861,#REF!,2,FALSE),"")</f>
        <v>#REF!</v>
      </c>
    </row>
    <row r="862" spans="1:28" s="55" customFormat="1" ht="45">
      <c r="A862" s="36" t="s">
        <v>3658</v>
      </c>
      <c r="B862" s="20">
        <v>1571</v>
      </c>
      <c r="C862" s="439" t="s">
        <v>3754</v>
      </c>
      <c r="D862" s="21" t="s">
        <v>12</v>
      </c>
      <c r="E862" s="21" t="s">
        <v>17</v>
      </c>
      <c r="F862" s="22">
        <v>40</v>
      </c>
      <c r="G862" s="22">
        <f t="shared" si="262"/>
        <v>1.0114999999999998</v>
      </c>
      <c r="H862" s="22">
        <f t="shared" si="264"/>
        <v>1.28</v>
      </c>
      <c r="I862" s="147">
        <f t="shared" si="265"/>
        <v>51.2</v>
      </c>
      <c r="J862" s="148"/>
      <c r="K862" s="148"/>
      <c r="L862" s="148"/>
      <c r="M862" s="148">
        <v>1.1299999999999999</v>
      </c>
      <c r="N862" s="148">
        <v>1.43</v>
      </c>
      <c r="O862" s="148">
        <v>57.2</v>
      </c>
      <c r="P862" s="494"/>
      <c r="Q862" s="148">
        <f t="shared" si="246"/>
        <v>0</v>
      </c>
      <c r="R862" s="148"/>
      <c r="S862" s="148">
        <f t="shared" si="266"/>
        <v>0</v>
      </c>
      <c r="T862" s="148">
        <f t="shared" si="248"/>
        <v>40</v>
      </c>
      <c r="U862" s="148">
        <f t="shared" si="252"/>
        <v>57.2</v>
      </c>
      <c r="V862" s="379"/>
      <c r="W862" s="379"/>
      <c r="X862" s="57" t="e">
        <f>IF(B862&lt;&gt;0,VLOOKUP(B862,#REF!,4,FALSE),"")</f>
        <v>#REF!</v>
      </c>
      <c r="Y862" s="334" t="s">
        <v>1843</v>
      </c>
      <c r="Z862" s="334">
        <f t="shared" si="263"/>
        <v>40.459999999999994</v>
      </c>
      <c r="AA862" s="57"/>
      <c r="AB862" s="58" t="e">
        <f>IF(B862&lt;&gt;0,VLOOKUP(B862,#REF!,2,FALSE),"")</f>
        <v>#REF!</v>
      </c>
    </row>
    <row r="863" spans="1:28" s="55" customFormat="1" ht="45">
      <c r="A863" s="36" t="s">
        <v>3659</v>
      </c>
      <c r="B863" s="20">
        <v>1573</v>
      </c>
      <c r="C863" s="439" t="s">
        <v>3752</v>
      </c>
      <c r="D863" s="21" t="s">
        <v>12</v>
      </c>
      <c r="E863" s="21" t="s">
        <v>17</v>
      </c>
      <c r="F863" s="22">
        <v>22</v>
      </c>
      <c r="G863" s="22">
        <f t="shared" si="262"/>
        <v>1.1984999999999999</v>
      </c>
      <c r="H863" s="22">
        <f t="shared" si="264"/>
        <v>1.52</v>
      </c>
      <c r="I863" s="147">
        <f t="shared" si="265"/>
        <v>33.44</v>
      </c>
      <c r="J863" s="148"/>
      <c r="K863" s="148"/>
      <c r="L863" s="148"/>
      <c r="M863" s="148">
        <v>1.34</v>
      </c>
      <c r="N863" s="148">
        <v>1.7</v>
      </c>
      <c r="O863" s="148">
        <v>37.4</v>
      </c>
      <c r="P863" s="494"/>
      <c r="Q863" s="148">
        <f t="shared" si="246"/>
        <v>0</v>
      </c>
      <c r="R863" s="148"/>
      <c r="S863" s="148">
        <f t="shared" si="266"/>
        <v>0</v>
      </c>
      <c r="T863" s="148">
        <f t="shared" si="248"/>
        <v>22</v>
      </c>
      <c r="U863" s="148">
        <f t="shared" si="252"/>
        <v>37.4</v>
      </c>
      <c r="V863" s="379"/>
      <c r="W863" s="379"/>
      <c r="X863" s="57" t="e">
        <f>IF(B863&lt;&gt;0,VLOOKUP(B863,#REF!,4,FALSE),"")</f>
        <v>#REF!</v>
      </c>
      <c r="Y863" s="334" t="s">
        <v>3188</v>
      </c>
      <c r="Z863" s="334">
        <f t="shared" si="263"/>
        <v>26.366999999999997</v>
      </c>
      <c r="AA863" s="57"/>
      <c r="AB863" s="58" t="e">
        <f>IF(B863&lt;&gt;0,VLOOKUP(B863,#REF!,2,FALSE),"")</f>
        <v>#REF!</v>
      </c>
    </row>
    <row r="864" spans="1:28" s="55" customFormat="1" ht="45">
      <c r="A864" s="36" t="s">
        <v>3660</v>
      </c>
      <c r="B864" s="20">
        <v>1577</v>
      </c>
      <c r="C864" s="439" t="s">
        <v>3747</v>
      </c>
      <c r="D864" s="21" t="s">
        <v>12</v>
      </c>
      <c r="E864" s="21" t="s">
        <v>17</v>
      </c>
      <c r="F864" s="22">
        <v>1</v>
      </c>
      <c r="G864" s="22">
        <f t="shared" si="262"/>
        <v>2.4055</v>
      </c>
      <c r="H864" s="22">
        <f t="shared" si="264"/>
        <v>3.05</v>
      </c>
      <c r="I864" s="147">
        <f t="shared" si="265"/>
        <v>3.05</v>
      </c>
      <c r="J864" s="148"/>
      <c r="K864" s="148"/>
      <c r="L864" s="148"/>
      <c r="M864" s="148">
        <v>2.68</v>
      </c>
      <c r="N864" s="148">
        <v>3.4</v>
      </c>
      <c r="O864" s="148">
        <v>3.4</v>
      </c>
      <c r="P864" s="494"/>
      <c r="Q864" s="148">
        <f t="shared" si="246"/>
        <v>0</v>
      </c>
      <c r="R864" s="148"/>
      <c r="S864" s="148">
        <f t="shared" si="266"/>
        <v>0</v>
      </c>
      <c r="T864" s="148">
        <f t="shared" si="248"/>
        <v>1</v>
      </c>
      <c r="U864" s="148">
        <f t="shared" si="252"/>
        <v>3.4</v>
      </c>
      <c r="V864" s="379"/>
      <c r="W864" s="379"/>
      <c r="X864" s="57" t="e">
        <f>IF(B864&lt;&gt;0,VLOOKUP(B864,#REF!,4,FALSE),"")</f>
        <v>#REF!</v>
      </c>
      <c r="Y864" s="334" t="s">
        <v>1894</v>
      </c>
      <c r="Z864" s="334">
        <f t="shared" si="263"/>
        <v>2.4055</v>
      </c>
      <c r="AA864" s="57"/>
      <c r="AB864" s="58" t="e">
        <f>IF(B864&lt;&gt;0,VLOOKUP(B864,#REF!,2,FALSE),"")</f>
        <v>#REF!</v>
      </c>
    </row>
    <row r="865" spans="1:28" s="55" customFormat="1" ht="45">
      <c r="A865" s="36" t="s">
        <v>3661</v>
      </c>
      <c r="B865" s="20">
        <v>1579</v>
      </c>
      <c r="C865" s="439" t="s">
        <v>3755</v>
      </c>
      <c r="D865" s="21" t="s">
        <v>12</v>
      </c>
      <c r="E865" s="21" t="s">
        <v>17</v>
      </c>
      <c r="F865" s="22">
        <v>10</v>
      </c>
      <c r="G865" s="22">
        <f t="shared" si="262"/>
        <v>5.2104999999999997</v>
      </c>
      <c r="H865" s="22">
        <f t="shared" si="264"/>
        <v>6.61</v>
      </c>
      <c r="I865" s="147">
        <f t="shared" si="265"/>
        <v>66.099999999999994</v>
      </c>
      <c r="J865" s="148"/>
      <c r="K865" s="148"/>
      <c r="L865" s="148"/>
      <c r="M865" s="148">
        <v>5.8</v>
      </c>
      <c r="N865" s="148">
        <v>7.35</v>
      </c>
      <c r="O865" s="148">
        <v>73.5</v>
      </c>
      <c r="P865" s="494"/>
      <c r="Q865" s="148">
        <f t="shared" si="246"/>
        <v>0</v>
      </c>
      <c r="R865" s="148"/>
      <c r="S865" s="148">
        <f t="shared" si="266"/>
        <v>0</v>
      </c>
      <c r="T865" s="148">
        <f t="shared" si="248"/>
        <v>10</v>
      </c>
      <c r="U865" s="148">
        <f t="shared" si="252"/>
        <v>73.5</v>
      </c>
      <c r="V865" s="379"/>
      <c r="W865" s="379"/>
      <c r="X865" s="57" t="e">
        <f>IF(B865&lt;&gt;0,VLOOKUP(B865,#REF!,4,FALSE),"")</f>
        <v>#REF!</v>
      </c>
      <c r="Y865" s="334" t="s">
        <v>1846</v>
      </c>
      <c r="Z865" s="334">
        <f t="shared" si="263"/>
        <v>52.104999999999997</v>
      </c>
      <c r="AA865" s="57"/>
      <c r="AB865" s="58" t="e">
        <f>IF(B865&lt;&gt;0,VLOOKUP(B865,#REF!,2,FALSE),"")</f>
        <v>#REF!</v>
      </c>
    </row>
    <row r="866" spans="1:28" s="55" customFormat="1" ht="45">
      <c r="A866" s="19" t="s">
        <v>1263</v>
      </c>
      <c r="B866" s="20">
        <v>91930</v>
      </c>
      <c r="C866" s="19" t="s">
        <v>1731</v>
      </c>
      <c r="D866" s="21" t="s">
        <v>12</v>
      </c>
      <c r="E866" s="21" t="s">
        <v>52</v>
      </c>
      <c r="F866" s="22">
        <v>2</v>
      </c>
      <c r="G866" s="22">
        <f t="shared" si="262"/>
        <v>7.0379999999999994</v>
      </c>
      <c r="H866" s="22">
        <f t="shared" si="264"/>
        <v>8.92</v>
      </c>
      <c r="I866" s="147">
        <f t="shared" si="265"/>
        <v>17.84</v>
      </c>
      <c r="J866" s="148"/>
      <c r="K866" s="148"/>
      <c r="L866" s="148"/>
      <c r="M866" s="148">
        <v>7.84</v>
      </c>
      <c r="N866" s="148">
        <v>9.94</v>
      </c>
      <c r="O866" s="148">
        <v>19.88</v>
      </c>
      <c r="P866" s="494"/>
      <c r="Q866" s="148">
        <f t="shared" si="246"/>
        <v>0</v>
      </c>
      <c r="R866" s="148"/>
      <c r="S866" s="148">
        <f t="shared" si="266"/>
        <v>0</v>
      </c>
      <c r="T866" s="148">
        <f t="shared" si="248"/>
        <v>2</v>
      </c>
      <c r="U866" s="148">
        <f t="shared" si="252"/>
        <v>19.88</v>
      </c>
      <c r="V866" s="379"/>
      <c r="W866" s="379"/>
      <c r="X866" s="57" t="e">
        <f>IF(B866&lt;&gt;0,VLOOKUP(B866,#REF!,4,FALSE),"")</f>
        <v>#REF!</v>
      </c>
      <c r="Y866" s="334" t="s">
        <v>3110</v>
      </c>
      <c r="Z866" s="334">
        <f t="shared" si="263"/>
        <v>14.075999999999999</v>
      </c>
      <c r="AA866" s="57"/>
      <c r="AB866" s="58" t="e">
        <f>IF(B866&lt;&gt;0,VLOOKUP(B866,#REF!,2,FALSE),"")</f>
        <v>#REF!</v>
      </c>
    </row>
    <row r="867" spans="1:28" s="55" customFormat="1" ht="15" customHeight="1">
      <c r="A867" s="229" t="s">
        <v>1264</v>
      </c>
      <c r="B867" s="229"/>
      <c r="C867" s="229" t="s">
        <v>269</v>
      </c>
      <c r="D867" s="230"/>
      <c r="E867" s="230"/>
      <c r="F867" s="230"/>
      <c r="G867" s="22"/>
      <c r="H867" s="230"/>
      <c r="I867" s="445"/>
      <c r="J867" s="440"/>
      <c r="K867" s="440"/>
      <c r="L867" s="440"/>
      <c r="M867" s="440"/>
      <c r="N867" s="440"/>
      <c r="O867" s="440"/>
      <c r="P867" s="492"/>
      <c r="Q867" s="148">
        <f t="shared" si="246"/>
        <v>0</v>
      </c>
      <c r="R867" s="440"/>
      <c r="S867" s="440"/>
      <c r="T867" s="148"/>
      <c r="U867" s="148"/>
      <c r="V867" s="330"/>
      <c r="W867" s="330"/>
      <c r="X867" s="58"/>
      <c r="Y867" s="334"/>
      <c r="Z867" s="334">
        <f t="shared" si="263"/>
        <v>0</v>
      </c>
      <c r="AA867" s="58"/>
      <c r="AB867" s="58"/>
    </row>
    <row r="868" spans="1:28" s="55" customFormat="1" ht="78" customHeight="1">
      <c r="A868" s="19" t="s">
        <v>1265</v>
      </c>
      <c r="B868" s="20">
        <v>12233</v>
      </c>
      <c r="C868" s="19" t="str">
        <f>'COMPOSIÇÃO DE CUSTOS'!A1888</f>
        <v>QUADRO DE DISTRIBUICAO DE ENERGIA DE EMBUTIR, EM CHAPA METALICA, PARA 70 DISJUNTORES TERMOMAGNETICOS MONOPOLARES, COM BARRAMENTO TRIFASICO E NEUTRO, FORNECIMENTO E INSTALACAO</v>
      </c>
      <c r="D868" s="21" t="s">
        <v>44</v>
      </c>
      <c r="E868" s="21" t="s">
        <v>17</v>
      </c>
      <c r="F868" s="22">
        <v>1</v>
      </c>
      <c r="G868" s="22">
        <f t="shared" si="262"/>
        <v>930.77549999999997</v>
      </c>
      <c r="H868" s="22">
        <f t="shared" ref="H868:H879" si="267">ROUND(G868*(1+$X$14),2)</f>
        <v>1180.32</v>
      </c>
      <c r="I868" s="147">
        <f t="shared" ref="I868:I879" si="268">ROUND(H868*F868,2)</f>
        <v>1180.32</v>
      </c>
      <c r="J868" s="148"/>
      <c r="K868" s="148"/>
      <c r="L868" s="148"/>
      <c r="M868" s="148">
        <v>1036.8900000000001</v>
      </c>
      <c r="N868" s="148">
        <v>1314.88</v>
      </c>
      <c r="O868" s="148">
        <v>1314.88</v>
      </c>
      <c r="P868" s="494"/>
      <c r="Q868" s="148">
        <f t="shared" si="246"/>
        <v>0</v>
      </c>
      <c r="R868" s="148"/>
      <c r="S868" s="148">
        <f t="shared" ref="S868:S879" si="269">ROUND(R868*P868,2)</f>
        <v>0</v>
      </c>
      <c r="T868" s="148">
        <f t="shared" si="248"/>
        <v>1</v>
      </c>
      <c r="U868" s="148">
        <f t="shared" si="252"/>
        <v>1314.88</v>
      </c>
      <c r="V868" s="379"/>
      <c r="W868" s="379"/>
      <c r="X868" s="57">
        <f>'COMPOSIÇÃO DE CUSTOS'!G1895</f>
        <v>930.78</v>
      </c>
      <c r="Y868" s="334">
        <v>1095.03</v>
      </c>
      <c r="Z868" s="334">
        <f t="shared" si="263"/>
        <v>930.77549999999997</v>
      </c>
      <c r="AA868" s="57"/>
      <c r="AB868" s="58"/>
    </row>
    <row r="869" spans="1:28" s="55" customFormat="1" ht="30">
      <c r="A869" s="19" t="s">
        <v>1266</v>
      </c>
      <c r="B869" s="20">
        <f>B857</f>
        <v>9041</v>
      </c>
      <c r="C869" s="30" t="str">
        <f>C857</f>
        <v>DISPOSITIVO DE PROTEÇÃO CONTRA SURTO DE TENSÃO DPS 60KA - 275V</v>
      </c>
      <c r="D869" s="21" t="s">
        <v>44</v>
      </c>
      <c r="E869" s="21" t="s">
        <v>17</v>
      </c>
      <c r="F869" s="22">
        <v>4</v>
      </c>
      <c r="G869" s="22">
        <f t="shared" si="262"/>
        <v>97.393000000000001</v>
      </c>
      <c r="H869" s="22">
        <f t="shared" si="267"/>
        <v>123.5</v>
      </c>
      <c r="I869" s="147">
        <f t="shared" si="268"/>
        <v>494</v>
      </c>
      <c r="J869" s="148"/>
      <c r="K869" s="148"/>
      <c r="L869" s="148"/>
      <c r="M869" s="148">
        <v>108.5</v>
      </c>
      <c r="N869" s="148">
        <v>137.59</v>
      </c>
      <c r="O869" s="148">
        <v>550.36</v>
      </c>
      <c r="P869" s="494"/>
      <c r="Q869" s="148">
        <f t="shared" si="246"/>
        <v>0</v>
      </c>
      <c r="R869" s="148"/>
      <c r="S869" s="148">
        <f t="shared" si="269"/>
        <v>0</v>
      </c>
      <c r="T869" s="148">
        <f t="shared" si="248"/>
        <v>4</v>
      </c>
      <c r="U869" s="148">
        <f t="shared" si="252"/>
        <v>550.36</v>
      </c>
      <c r="V869" s="379"/>
      <c r="W869" s="379"/>
      <c r="X869" s="57">
        <f>X857</f>
        <v>97.39</v>
      </c>
      <c r="Y869" s="334">
        <v>114.58</v>
      </c>
      <c r="Z869" s="334">
        <f t="shared" si="263"/>
        <v>389.572</v>
      </c>
      <c r="AA869" s="57"/>
      <c r="AB869" s="58"/>
    </row>
    <row r="870" spans="1:28" s="55" customFormat="1" ht="30">
      <c r="A870" s="19" t="s">
        <v>1267</v>
      </c>
      <c r="B870" s="20">
        <v>93653</v>
      </c>
      <c r="C870" s="19" t="s">
        <v>1729</v>
      </c>
      <c r="D870" s="21" t="s">
        <v>12</v>
      </c>
      <c r="E870" s="21" t="s">
        <v>17</v>
      </c>
      <c r="F870" s="22">
        <v>6</v>
      </c>
      <c r="G870" s="22">
        <f t="shared" si="262"/>
        <v>9.2735000000000003</v>
      </c>
      <c r="H870" s="22">
        <f t="shared" si="267"/>
        <v>11.76</v>
      </c>
      <c r="I870" s="147">
        <f t="shared" si="268"/>
        <v>70.56</v>
      </c>
      <c r="J870" s="148"/>
      <c r="K870" s="148"/>
      <c r="L870" s="148"/>
      <c r="M870" s="148">
        <v>10.33</v>
      </c>
      <c r="N870" s="148">
        <v>13.1</v>
      </c>
      <c r="O870" s="148">
        <v>78.599999999999994</v>
      </c>
      <c r="P870" s="494"/>
      <c r="Q870" s="148">
        <f t="shared" si="246"/>
        <v>0</v>
      </c>
      <c r="R870" s="148"/>
      <c r="S870" s="148">
        <f t="shared" si="269"/>
        <v>0</v>
      </c>
      <c r="T870" s="148">
        <f t="shared" ref="T870:T933" si="270">F870+P870-R870</f>
        <v>6</v>
      </c>
      <c r="U870" s="148">
        <f t="shared" si="252"/>
        <v>78.599999999999994</v>
      </c>
      <c r="V870" s="379"/>
      <c r="W870" s="379"/>
      <c r="X870" s="57" t="e">
        <f>IF(B870&lt;&gt;0,VLOOKUP(B870,#REF!,4,FALSE),"")</f>
        <v>#REF!</v>
      </c>
      <c r="Y870" s="334" t="s">
        <v>3226</v>
      </c>
      <c r="Z870" s="334">
        <f t="shared" si="263"/>
        <v>55.641000000000005</v>
      </c>
      <c r="AA870" s="57"/>
      <c r="AB870" s="58" t="e">
        <f>IF(B870&lt;&gt;0,VLOOKUP(B870,#REF!,2,FALSE),"")</f>
        <v>#REF!</v>
      </c>
    </row>
    <row r="871" spans="1:28" s="55" customFormat="1" ht="30">
      <c r="A871" s="19" t="s">
        <v>1268</v>
      </c>
      <c r="B871" s="20">
        <v>93654</v>
      </c>
      <c r="C871" s="19" t="s">
        <v>1730</v>
      </c>
      <c r="D871" s="21" t="s">
        <v>12</v>
      </c>
      <c r="E871" s="21" t="s">
        <v>17</v>
      </c>
      <c r="F871" s="22">
        <v>34</v>
      </c>
      <c r="G871" s="22">
        <f t="shared" si="262"/>
        <v>9.6050000000000004</v>
      </c>
      <c r="H871" s="22">
        <f t="shared" si="267"/>
        <v>12.18</v>
      </c>
      <c r="I871" s="147">
        <f t="shared" si="268"/>
        <v>414.12</v>
      </c>
      <c r="J871" s="148"/>
      <c r="K871" s="148"/>
      <c r="L871" s="148"/>
      <c r="M871" s="148">
        <v>10.7</v>
      </c>
      <c r="N871" s="148">
        <v>13.57</v>
      </c>
      <c r="O871" s="148">
        <v>461.38</v>
      </c>
      <c r="P871" s="494"/>
      <c r="Q871" s="148">
        <f t="shared" si="246"/>
        <v>0</v>
      </c>
      <c r="R871" s="148"/>
      <c r="S871" s="148">
        <f t="shared" si="269"/>
        <v>0</v>
      </c>
      <c r="T871" s="148">
        <f t="shared" si="270"/>
        <v>34</v>
      </c>
      <c r="U871" s="148">
        <f t="shared" si="252"/>
        <v>461.38</v>
      </c>
      <c r="V871" s="379"/>
      <c r="W871" s="379"/>
      <c r="X871" s="57" t="e">
        <f>IF(B871&lt;&gt;0,VLOOKUP(B871,#REF!,4,FALSE),"")</f>
        <v>#REF!</v>
      </c>
      <c r="Y871" s="334" t="s">
        <v>3240</v>
      </c>
      <c r="Z871" s="334">
        <f t="shared" si="263"/>
        <v>326.57</v>
      </c>
      <c r="AA871" s="57"/>
      <c r="AB871" s="58" t="e">
        <f>IF(B871&lt;&gt;0,VLOOKUP(B871,#REF!,2,FALSE),"")</f>
        <v>#REF!</v>
      </c>
    </row>
    <row r="872" spans="1:28" s="55" customFormat="1" ht="30">
      <c r="A872" s="19" t="s">
        <v>1269</v>
      </c>
      <c r="B872" s="20">
        <v>93669</v>
      </c>
      <c r="C872" s="19" t="s">
        <v>1732</v>
      </c>
      <c r="D872" s="21" t="s">
        <v>12</v>
      </c>
      <c r="E872" s="21" t="s">
        <v>17</v>
      </c>
      <c r="F872" s="22">
        <v>3</v>
      </c>
      <c r="G872" s="22">
        <f t="shared" si="262"/>
        <v>61.429499999999997</v>
      </c>
      <c r="H872" s="22">
        <f t="shared" si="267"/>
        <v>77.900000000000006</v>
      </c>
      <c r="I872" s="147">
        <f t="shared" si="268"/>
        <v>233.7</v>
      </c>
      <c r="J872" s="148"/>
      <c r="K872" s="148"/>
      <c r="L872" s="148"/>
      <c r="M872" s="148">
        <v>68.430000000000007</v>
      </c>
      <c r="N872" s="148">
        <v>86.78</v>
      </c>
      <c r="O872" s="148">
        <v>260.33999999999997</v>
      </c>
      <c r="P872" s="494"/>
      <c r="Q872" s="148">
        <f t="shared" ref="Q872:Q935" si="271">ROUND(P872*N872,2)</f>
        <v>0</v>
      </c>
      <c r="R872" s="148"/>
      <c r="S872" s="148">
        <f t="shared" si="269"/>
        <v>0</v>
      </c>
      <c r="T872" s="148">
        <f t="shared" si="270"/>
        <v>3</v>
      </c>
      <c r="U872" s="148">
        <f t="shared" si="252"/>
        <v>260.33999999999997</v>
      </c>
      <c r="V872" s="379"/>
      <c r="W872" s="379"/>
      <c r="X872" s="57" t="e">
        <f>IF(B872&lt;&gt;0,VLOOKUP(B872,#REF!,4,FALSE),"")</f>
        <v>#REF!</v>
      </c>
      <c r="Y872" s="334" t="s">
        <v>3242</v>
      </c>
      <c r="Z872" s="334">
        <f t="shared" si="263"/>
        <v>184.2885</v>
      </c>
      <c r="AA872" s="57"/>
      <c r="AB872" s="58" t="e">
        <f>IF(B872&lt;&gt;0,VLOOKUP(B872,#REF!,2,FALSE),"")</f>
        <v>#REF!</v>
      </c>
    </row>
    <row r="873" spans="1:28" s="55" customFormat="1" ht="45">
      <c r="A873" s="36" t="s">
        <v>3662</v>
      </c>
      <c r="B873" s="20">
        <v>101896</v>
      </c>
      <c r="C873" s="439" t="s">
        <v>3756</v>
      </c>
      <c r="D873" s="21" t="s">
        <v>12</v>
      </c>
      <c r="E873" s="21" t="s">
        <v>17</v>
      </c>
      <c r="F873" s="22">
        <v>1</v>
      </c>
      <c r="G873" s="22">
        <f t="shared" si="262"/>
        <v>515.48250000000007</v>
      </c>
      <c r="H873" s="22">
        <f t="shared" si="267"/>
        <v>653.67999999999995</v>
      </c>
      <c r="I873" s="147">
        <f t="shared" si="268"/>
        <v>653.67999999999995</v>
      </c>
      <c r="J873" s="148"/>
      <c r="K873" s="148"/>
      <c r="L873" s="148"/>
      <c r="M873" s="148">
        <v>574.25</v>
      </c>
      <c r="N873" s="148">
        <v>728.21</v>
      </c>
      <c r="O873" s="148">
        <v>728.21</v>
      </c>
      <c r="P873" s="494"/>
      <c r="Q873" s="148">
        <f t="shared" si="271"/>
        <v>0</v>
      </c>
      <c r="R873" s="148"/>
      <c r="S873" s="148">
        <f t="shared" si="269"/>
        <v>0</v>
      </c>
      <c r="T873" s="148">
        <f t="shared" si="270"/>
        <v>1</v>
      </c>
      <c r="U873" s="148">
        <f t="shared" si="252"/>
        <v>728.21</v>
      </c>
      <c r="V873" s="379"/>
      <c r="W873" s="379"/>
      <c r="X873" s="57" t="e">
        <f>IF(B873&lt;&gt;0,VLOOKUP(B873,#REF!,4,FALSE),"")</f>
        <v>#REF!</v>
      </c>
      <c r="Y873" s="334" t="s">
        <v>3152</v>
      </c>
      <c r="Z873" s="334">
        <f t="shared" si="263"/>
        <v>515.48250000000007</v>
      </c>
      <c r="AA873" s="57"/>
      <c r="AB873" s="58" t="e">
        <f>IF(B873&lt;&gt;0,VLOOKUP(B873,#REF!,2,FALSE),"")</f>
        <v>#REF!</v>
      </c>
    </row>
    <row r="874" spans="1:28" s="55" customFormat="1" ht="45">
      <c r="A874" s="36" t="s">
        <v>3663</v>
      </c>
      <c r="B874" s="20">
        <v>1570</v>
      </c>
      <c r="C874" s="439" t="s">
        <v>3751</v>
      </c>
      <c r="D874" s="21" t="s">
        <v>12</v>
      </c>
      <c r="E874" s="21" t="s">
        <v>17</v>
      </c>
      <c r="F874" s="22">
        <v>68</v>
      </c>
      <c r="G874" s="22">
        <f t="shared" si="262"/>
        <v>0.77350000000000008</v>
      </c>
      <c r="H874" s="22">
        <f t="shared" si="267"/>
        <v>0.98</v>
      </c>
      <c r="I874" s="147">
        <f t="shared" si="268"/>
        <v>66.64</v>
      </c>
      <c r="J874" s="148"/>
      <c r="K874" s="148"/>
      <c r="L874" s="148"/>
      <c r="M874" s="148">
        <v>0.86</v>
      </c>
      <c r="N874" s="148">
        <v>1.0900000000000001</v>
      </c>
      <c r="O874" s="148">
        <v>74.12</v>
      </c>
      <c r="P874" s="494"/>
      <c r="Q874" s="148">
        <f t="shared" si="271"/>
        <v>0</v>
      </c>
      <c r="R874" s="148"/>
      <c r="S874" s="148">
        <f t="shared" si="269"/>
        <v>0</v>
      </c>
      <c r="T874" s="148">
        <f t="shared" si="270"/>
        <v>68</v>
      </c>
      <c r="U874" s="148">
        <f t="shared" si="252"/>
        <v>74.12</v>
      </c>
      <c r="V874" s="379"/>
      <c r="W874" s="379"/>
      <c r="X874" s="57" t="e">
        <f>IF(B874&lt;&gt;0,VLOOKUP(B874,#REF!,4,FALSE),"")</f>
        <v>#REF!</v>
      </c>
      <c r="Y874" s="334" t="s">
        <v>1858</v>
      </c>
      <c r="Z874" s="334">
        <f t="shared" si="263"/>
        <v>52.598000000000006</v>
      </c>
      <c r="AA874" s="57"/>
      <c r="AB874" s="58" t="e">
        <f>IF(B874&lt;&gt;0,VLOOKUP(B874,#REF!,2,FALSE),"")</f>
        <v>#REF!</v>
      </c>
    </row>
    <row r="875" spans="1:28" s="55" customFormat="1" ht="45">
      <c r="A875" s="36" t="s">
        <v>3664</v>
      </c>
      <c r="B875" s="20">
        <v>1571</v>
      </c>
      <c r="C875" s="439" t="s">
        <v>3754</v>
      </c>
      <c r="D875" s="21" t="s">
        <v>12</v>
      </c>
      <c r="E875" s="21" t="s">
        <v>17</v>
      </c>
      <c r="F875" s="22">
        <v>80</v>
      </c>
      <c r="G875" s="22">
        <f t="shared" si="262"/>
        <v>1.0114999999999998</v>
      </c>
      <c r="H875" s="22">
        <f t="shared" si="267"/>
        <v>1.28</v>
      </c>
      <c r="I875" s="147">
        <f t="shared" si="268"/>
        <v>102.4</v>
      </c>
      <c r="J875" s="148"/>
      <c r="K875" s="148"/>
      <c r="L875" s="148"/>
      <c r="M875" s="148">
        <v>1.1299999999999999</v>
      </c>
      <c r="N875" s="148">
        <v>1.43</v>
      </c>
      <c r="O875" s="148">
        <v>114.4</v>
      </c>
      <c r="P875" s="494"/>
      <c r="Q875" s="148">
        <f t="shared" si="271"/>
        <v>0</v>
      </c>
      <c r="R875" s="148"/>
      <c r="S875" s="148">
        <f t="shared" si="269"/>
        <v>0</v>
      </c>
      <c r="T875" s="148">
        <f t="shared" si="270"/>
        <v>80</v>
      </c>
      <c r="U875" s="148">
        <f t="shared" si="252"/>
        <v>114.4</v>
      </c>
      <c r="V875" s="379"/>
      <c r="W875" s="379"/>
      <c r="X875" s="57" t="e">
        <f>IF(B875&lt;&gt;0,VLOOKUP(B875,#REF!,4,FALSE),"")</f>
        <v>#REF!</v>
      </c>
      <c r="Y875" s="334" t="s">
        <v>1843</v>
      </c>
      <c r="Z875" s="334">
        <f t="shared" si="263"/>
        <v>80.919999999999987</v>
      </c>
      <c r="AA875" s="57"/>
      <c r="AB875" s="58" t="e">
        <f>IF(B875&lt;&gt;0,VLOOKUP(B875,#REF!,2,FALSE),"")</f>
        <v>#REF!</v>
      </c>
    </row>
    <row r="876" spans="1:28" s="55" customFormat="1" ht="45">
      <c r="A876" s="36" t="s">
        <v>3665</v>
      </c>
      <c r="B876" s="20">
        <v>1573</v>
      </c>
      <c r="C876" s="439" t="s">
        <v>3752</v>
      </c>
      <c r="D876" s="21" t="s">
        <v>12</v>
      </c>
      <c r="E876" s="21" t="s">
        <v>17</v>
      </c>
      <c r="F876" s="22">
        <v>22</v>
      </c>
      <c r="G876" s="22">
        <f t="shared" si="262"/>
        <v>1.1984999999999999</v>
      </c>
      <c r="H876" s="22">
        <f t="shared" si="267"/>
        <v>1.52</v>
      </c>
      <c r="I876" s="147">
        <f t="shared" si="268"/>
        <v>33.44</v>
      </c>
      <c r="J876" s="148"/>
      <c r="K876" s="148"/>
      <c r="L876" s="148"/>
      <c r="M876" s="148">
        <v>1.34</v>
      </c>
      <c r="N876" s="148">
        <v>1.7</v>
      </c>
      <c r="O876" s="148">
        <v>37.4</v>
      </c>
      <c r="P876" s="494"/>
      <c r="Q876" s="148">
        <f t="shared" si="271"/>
        <v>0</v>
      </c>
      <c r="R876" s="148"/>
      <c r="S876" s="148">
        <f t="shared" si="269"/>
        <v>0</v>
      </c>
      <c r="T876" s="148">
        <f t="shared" si="270"/>
        <v>22</v>
      </c>
      <c r="U876" s="148">
        <f t="shared" si="252"/>
        <v>37.4</v>
      </c>
      <c r="V876" s="379"/>
      <c r="W876" s="379"/>
      <c r="X876" s="57" t="e">
        <f>IF(B876&lt;&gt;0,VLOOKUP(B876,#REF!,4,FALSE),"")</f>
        <v>#REF!</v>
      </c>
      <c r="Y876" s="334" t="s">
        <v>3188</v>
      </c>
      <c r="Z876" s="334">
        <f t="shared" si="263"/>
        <v>26.366999999999997</v>
      </c>
      <c r="AA876" s="57"/>
      <c r="AB876" s="58" t="e">
        <f>IF(B876&lt;&gt;0,VLOOKUP(B876,#REF!,2,FALSE),"")</f>
        <v>#REF!</v>
      </c>
    </row>
    <row r="877" spans="1:28" s="55" customFormat="1" ht="45">
      <c r="A877" s="36" t="s">
        <v>3666</v>
      </c>
      <c r="B877" s="20">
        <v>1578</v>
      </c>
      <c r="C877" s="439" t="s">
        <v>3746</v>
      </c>
      <c r="D877" s="21" t="s">
        <v>12</v>
      </c>
      <c r="E877" s="21" t="s">
        <v>17</v>
      </c>
      <c r="F877" s="22">
        <v>1</v>
      </c>
      <c r="G877" s="22">
        <f t="shared" si="262"/>
        <v>4.1820000000000004</v>
      </c>
      <c r="H877" s="22">
        <f t="shared" si="267"/>
        <v>5.3</v>
      </c>
      <c r="I877" s="147">
        <f t="shared" si="268"/>
        <v>5.3</v>
      </c>
      <c r="J877" s="148"/>
      <c r="K877" s="148"/>
      <c r="L877" s="148"/>
      <c r="M877" s="148">
        <v>4.66</v>
      </c>
      <c r="N877" s="148">
        <v>5.91</v>
      </c>
      <c r="O877" s="148">
        <v>5.91</v>
      </c>
      <c r="P877" s="494"/>
      <c r="Q877" s="148">
        <f t="shared" si="271"/>
        <v>0</v>
      </c>
      <c r="R877" s="148"/>
      <c r="S877" s="148">
        <f t="shared" si="269"/>
        <v>0</v>
      </c>
      <c r="T877" s="148">
        <f t="shared" si="270"/>
        <v>1</v>
      </c>
      <c r="U877" s="148">
        <f t="shared" si="252"/>
        <v>5.91</v>
      </c>
      <c r="V877" s="379"/>
      <c r="W877" s="379"/>
      <c r="X877" s="57" t="e">
        <f>IF(B877&lt;&gt;0,VLOOKUP(B877,#REF!,4,FALSE),"")</f>
        <v>#REF!</v>
      </c>
      <c r="Y877" s="334" t="s">
        <v>3141</v>
      </c>
      <c r="Z877" s="334">
        <f t="shared" si="263"/>
        <v>4.1820000000000004</v>
      </c>
      <c r="AA877" s="57"/>
      <c r="AB877" s="58" t="e">
        <f>IF(B877&lt;&gt;0,VLOOKUP(B877,#REF!,2,FALSE),"")</f>
        <v>#REF!</v>
      </c>
    </row>
    <row r="878" spans="1:28" s="55" customFormat="1" ht="45">
      <c r="A878" s="36" t="s">
        <v>3667</v>
      </c>
      <c r="B878" s="20">
        <v>1580</v>
      </c>
      <c r="C878" s="439" t="s">
        <v>3757</v>
      </c>
      <c r="D878" s="21" t="s">
        <v>12</v>
      </c>
      <c r="E878" s="21" t="s">
        <v>17</v>
      </c>
      <c r="F878" s="22">
        <v>10</v>
      </c>
      <c r="G878" s="22">
        <f t="shared" si="262"/>
        <v>6.4175000000000004</v>
      </c>
      <c r="H878" s="22">
        <f t="shared" si="267"/>
        <v>8.14</v>
      </c>
      <c r="I878" s="147">
        <f t="shared" si="268"/>
        <v>81.400000000000006</v>
      </c>
      <c r="J878" s="148"/>
      <c r="K878" s="148"/>
      <c r="L878" s="148"/>
      <c r="M878" s="148">
        <v>7.15</v>
      </c>
      <c r="N878" s="148">
        <v>9.07</v>
      </c>
      <c r="O878" s="148">
        <v>90.7</v>
      </c>
      <c r="P878" s="494"/>
      <c r="Q878" s="148">
        <f t="shared" si="271"/>
        <v>0</v>
      </c>
      <c r="R878" s="148"/>
      <c r="S878" s="148">
        <f t="shared" si="269"/>
        <v>0</v>
      </c>
      <c r="T878" s="148">
        <f t="shared" si="270"/>
        <v>10</v>
      </c>
      <c r="U878" s="148">
        <f t="shared" si="252"/>
        <v>90.7</v>
      </c>
      <c r="V878" s="379"/>
      <c r="W878" s="379"/>
      <c r="X878" s="57" t="e">
        <f>IF(B878&lt;&gt;0,VLOOKUP(B878,#REF!,4,FALSE),"")</f>
        <v>#REF!</v>
      </c>
      <c r="Y878" s="334" t="s">
        <v>3155</v>
      </c>
      <c r="Z878" s="334">
        <f t="shared" si="263"/>
        <v>64.175000000000011</v>
      </c>
      <c r="AA878" s="57"/>
      <c r="AB878" s="58" t="e">
        <f>IF(B878&lt;&gt;0,VLOOKUP(B878,#REF!,2,FALSE),"")</f>
        <v>#REF!</v>
      </c>
    </row>
    <row r="879" spans="1:28" s="55" customFormat="1" ht="45">
      <c r="A879" s="19" t="s">
        <v>1270</v>
      </c>
      <c r="B879" s="20">
        <v>91930</v>
      </c>
      <c r="C879" s="19" t="s">
        <v>1731</v>
      </c>
      <c r="D879" s="21" t="s">
        <v>12</v>
      </c>
      <c r="E879" s="21" t="s">
        <v>52</v>
      </c>
      <c r="F879" s="22">
        <v>2</v>
      </c>
      <c r="G879" s="22">
        <f t="shared" si="262"/>
        <v>7.0379999999999994</v>
      </c>
      <c r="H879" s="22">
        <f t="shared" si="267"/>
        <v>8.92</v>
      </c>
      <c r="I879" s="147">
        <f t="shared" si="268"/>
        <v>17.84</v>
      </c>
      <c r="J879" s="148"/>
      <c r="K879" s="148"/>
      <c r="L879" s="148"/>
      <c r="M879" s="148">
        <v>7.84</v>
      </c>
      <c r="N879" s="148">
        <v>9.94</v>
      </c>
      <c r="O879" s="148">
        <v>19.88</v>
      </c>
      <c r="P879" s="494"/>
      <c r="Q879" s="148">
        <f t="shared" si="271"/>
        <v>0</v>
      </c>
      <c r="R879" s="148"/>
      <c r="S879" s="148">
        <f t="shared" si="269"/>
        <v>0</v>
      </c>
      <c r="T879" s="148">
        <f t="shared" si="270"/>
        <v>2</v>
      </c>
      <c r="U879" s="148">
        <f t="shared" si="252"/>
        <v>19.88</v>
      </c>
      <c r="V879" s="379"/>
      <c r="W879" s="379"/>
      <c r="X879" s="57" t="e">
        <f>IF(B879&lt;&gt;0,VLOOKUP(B879,#REF!,4,FALSE),"")</f>
        <v>#REF!</v>
      </c>
      <c r="Y879" s="334" t="s">
        <v>3110</v>
      </c>
      <c r="Z879" s="334">
        <f t="shared" si="263"/>
        <v>14.075999999999999</v>
      </c>
      <c r="AA879" s="57"/>
      <c r="AB879" s="58" t="e">
        <f>IF(B879&lt;&gt;0,VLOOKUP(B879,#REF!,2,FALSE),"")</f>
        <v>#REF!</v>
      </c>
    </row>
    <row r="880" spans="1:28" s="55" customFormat="1" ht="15" customHeight="1">
      <c r="A880" s="229" t="s">
        <v>1271</v>
      </c>
      <c r="B880" s="229"/>
      <c r="C880" s="229" t="s">
        <v>271</v>
      </c>
      <c r="D880" s="230"/>
      <c r="E880" s="230"/>
      <c r="F880" s="230"/>
      <c r="G880" s="22"/>
      <c r="H880" s="230"/>
      <c r="I880" s="445"/>
      <c r="J880" s="440"/>
      <c r="K880" s="440"/>
      <c r="L880" s="440"/>
      <c r="M880" s="440"/>
      <c r="N880" s="440"/>
      <c r="O880" s="440"/>
      <c r="P880" s="492"/>
      <c r="Q880" s="148">
        <f t="shared" si="271"/>
        <v>0</v>
      </c>
      <c r="R880" s="440"/>
      <c r="S880" s="440"/>
      <c r="T880" s="148"/>
      <c r="U880" s="148"/>
      <c r="V880" s="330"/>
      <c r="W880" s="330"/>
      <c r="X880" s="58"/>
      <c r="Y880" s="334"/>
      <c r="Z880" s="334">
        <f t="shared" si="263"/>
        <v>0</v>
      </c>
      <c r="AA880" s="58"/>
      <c r="AB880" s="58"/>
    </row>
    <row r="881" spans="1:28" s="55" customFormat="1" ht="75">
      <c r="A881" s="36" t="s">
        <v>3668</v>
      </c>
      <c r="B881" s="20">
        <v>101878</v>
      </c>
      <c r="C881" s="439" t="s">
        <v>3758</v>
      </c>
      <c r="D881" s="21" t="s">
        <v>12</v>
      </c>
      <c r="E881" s="21" t="s">
        <v>17</v>
      </c>
      <c r="F881" s="22">
        <v>1</v>
      </c>
      <c r="G881" s="22">
        <f t="shared" si="262"/>
        <v>428.91849999999999</v>
      </c>
      <c r="H881" s="22">
        <f t="shared" ref="H881:H894" si="272">ROUND(G881*(1+$X$14),2)</f>
        <v>543.91</v>
      </c>
      <c r="I881" s="147">
        <f t="shared" ref="I881:I894" si="273">ROUND(H881*F881,2)</f>
        <v>543.91</v>
      </c>
      <c r="J881" s="148"/>
      <c r="K881" s="148"/>
      <c r="L881" s="148"/>
      <c r="M881" s="148">
        <v>477.82</v>
      </c>
      <c r="N881" s="148">
        <v>605.91999999999996</v>
      </c>
      <c r="O881" s="148">
        <v>605.91999999999996</v>
      </c>
      <c r="P881" s="494"/>
      <c r="Q881" s="148">
        <f t="shared" si="271"/>
        <v>0</v>
      </c>
      <c r="R881" s="148"/>
      <c r="S881" s="148">
        <f t="shared" ref="S881:S894" si="274">ROUND(R881*P881,2)</f>
        <v>0</v>
      </c>
      <c r="T881" s="148">
        <f t="shared" si="270"/>
        <v>1</v>
      </c>
      <c r="U881" s="148">
        <f t="shared" ref="U881:U944" si="275">O881+Q881-S881+L881</f>
        <v>605.91999999999996</v>
      </c>
      <c r="V881" s="379"/>
      <c r="W881" s="379"/>
      <c r="X881" s="57" t="e">
        <f>IF(B881&lt;&gt;0,VLOOKUP(B881,#REF!,4,FALSE),"")</f>
        <v>#REF!</v>
      </c>
      <c r="Y881" s="334" t="s">
        <v>3246</v>
      </c>
      <c r="Z881" s="334">
        <f t="shared" si="263"/>
        <v>428.91849999999999</v>
      </c>
      <c r="AA881" s="57"/>
      <c r="AB881" s="58" t="e">
        <f>IF(B881&lt;&gt;0,VLOOKUP(B881,#REF!,2,FALSE),"")</f>
        <v>#REF!</v>
      </c>
    </row>
    <row r="882" spans="1:28" s="55" customFormat="1" ht="30">
      <c r="A882" s="19" t="s">
        <v>1272</v>
      </c>
      <c r="B882" s="20">
        <f>B869</f>
        <v>9041</v>
      </c>
      <c r="C882" s="30" t="str">
        <f>C869</f>
        <v>DISPOSITIVO DE PROTEÇÃO CONTRA SURTO DE TENSÃO DPS 60KA - 275V</v>
      </c>
      <c r="D882" s="21" t="s">
        <v>44</v>
      </c>
      <c r="E882" s="21" t="s">
        <v>17</v>
      </c>
      <c r="F882" s="22">
        <v>4</v>
      </c>
      <c r="G882" s="22">
        <f t="shared" si="262"/>
        <v>97.393000000000001</v>
      </c>
      <c r="H882" s="22">
        <f t="shared" si="272"/>
        <v>123.5</v>
      </c>
      <c r="I882" s="147">
        <f t="shared" si="273"/>
        <v>494</v>
      </c>
      <c r="J882" s="148"/>
      <c r="K882" s="148"/>
      <c r="L882" s="148"/>
      <c r="M882" s="148">
        <v>108.5</v>
      </c>
      <c r="N882" s="148">
        <v>137.59</v>
      </c>
      <c r="O882" s="148">
        <v>550.36</v>
      </c>
      <c r="P882" s="494"/>
      <c r="Q882" s="148">
        <f t="shared" si="271"/>
        <v>0</v>
      </c>
      <c r="R882" s="148"/>
      <c r="S882" s="148">
        <f t="shared" si="274"/>
        <v>0</v>
      </c>
      <c r="T882" s="148">
        <f t="shared" si="270"/>
        <v>4</v>
      </c>
      <c r="U882" s="148">
        <f t="shared" si="275"/>
        <v>550.36</v>
      </c>
      <c r="V882" s="379"/>
      <c r="W882" s="379"/>
      <c r="X882" s="57">
        <f>X869</f>
        <v>97.39</v>
      </c>
      <c r="Y882" s="334">
        <v>114.58</v>
      </c>
      <c r="Z882" s="334">
        <f t="shared" si="263"/>
        <v>389.572</v>
      </c>
      <c r="AA882" s="57"/>
      <c r="AB882" s="58"/>
    </row>
    <row r="883" spans="1:28" s="55" customFormat="1" ht="30">
      <c r="A883" s="19" t="s">
        <v>1273</v>
      </c>
      <c r="B883" s="20">
        <v>93669</v>
      </c>
      <c r="C883" s="19" t="s">
        <v>1732</v>
      </c>
      <c r="D883" s="21" t="s">
        <v>12</v>
      </c>
      <c r="E883" s="21" t="s">
        <v>17</v>
      </c>
      <c r="F883" s="22">
        <v>4</v>
      </c>
      <c r="G883" s="22">
        <f t="shared" si="262"/>
        <v>61.429499999999997</v>
      </c>
      <c r="H883" s="22">
        <f t="shared" si="272"/>
        <v>77.900000000000006</v>
      </c>
      <c r="I883" s="147">
        <f t="shared" si="273"/>
        <v>311.60000000000002</v>
      </c>
      <c r="J883" s="148"/>
      <c r="K883" s="148"/>
      <c r="L883" s="148"/>
      <c r="M883" s="148">
        <v>68.430000000000007</v>
      </c>
      <c r="N883" s="148">
        <v>86.78</v>
      </c>
      <c r="O883" s="148">
        <v>347.12</v>
      </c>
      <c r="P883" s="494"/>
      <c r="Q883" s="148">
        <f t="shared" si="271"/>
        <v>0</v>
      </c>
      <c r="R883" s="148"/>
      <c r="S883" s="148">
        <f t="shared" si="274"/>
        <v>0</v>
      </c>
      <c r="T883" s="148">
        <f t="shared" si="270"/>
        <v>4</v>
      </c>
      <c r="U883" s="148">
        <f t="shared" si="275"/>
        <v>347.12</v>
      </c>
      <c r="V883" s="379"/>
      <c r="W883" s="379"/>
      <c r="X883" s="57" t="e">
        <f>IF(B883&lt;&gt;0,VLOOKUP(B883,#REF!,4,FALSE),"")</f>
        <v>#REF!</v>
      </c>
      <c r="Y883" s="334" t="s">
        <v>3242</v>
      </c>
      <c r="Z883" s="334">
        <f t="shared" si="263"/>
        <v>245.71799999999999</v>
      </c>
      <c r="AA883" s="57"/>
      <c r="AB883" s="58" t="e">
        <f>IF(B883&lt;&gt;0,VLOOKUP(B883,#REF!,2,FALSE),"")</f>
        <v>#REF!</v>
      </c>
    </row>
    <row r="884" spans="1:28" s="55" customFormat="1" ht="45">
      <c r="A884" s="36" t="s">
        <v>3669</v>
      </c>
      <c r="B884" s="20">
        <v>101895</v>
      </c>
      <c r="C884" s="439" t="s">
        <v>3753</v>
      </c>
      <c r="D884" s="21" t="s">
        <v>12</v>
      </c>
      <c r="E884" s="21" t="s">
        <v>17</v>
      </c>
      <c r="F884" s="22">
        <v>2</v>
      </c>
      <c r="G884" s="22">
        <f t="shared" si="262"/>
        <v>337.58600000000001</v>
      </c>
      <c r="H884" s="22">
        <f t="shared" si="272"/>
        <v>428.09</v>
      </c>
      <c r="I884" s="147">
        <f t="shared" si="273"/>
        <v>856.18</v>
      </c>
      <c r="J884" s="148"/>
      <c r="K884" s="148"/>
      <c r="L884" s="148"/>
      <c r="M884" s="148">
        <v>376.07</v>
      </c>
      <c r="N884" s="148">
        <v>476.89</v>
      </c>
      <c r="O884" s="148">
        <v>953.78</v>
      </c>
      <c r="P884" s="494"/>
      <c r="Q884" s="148">
        <f t="shared" si="271"/>
        <v>0</v>
      </c>
      <c r="R884" s="148"/>
      <c r="S884" s="148">
        <f t="shared" si="274"/>
        <v>0</v>
      </c>
      <c r="T884" s="148">
        <f t="shared" si="270"/>
        <v>2</v>
      </c>
      <c r="U884" s="148">
        <f t="shared" si="275"/>
        <v>953.78</v>
      </c>
      <c r="V884" s="379"/>
      <c r="W884" s="379"/>
      <c r="X884" s="57" t="e">
        <f>IF(B884&lt;&gt;0,VLOOKUP(B884,#REF!,4,FALSE),"")</f>
        <v>#REF!</v>
      </c>
      <c r="Y884" s="334" t="s">
        <v>3251</v>
      </c>
      <c r="Z884" s="334">
        <f t="shared" si="263"/>
        <v>675.17200000000003</v>
      </c>
      <c r="AA884" s="57"/>
      <c r="AB884" s="58" t="e">
        <f>IF(B884&lt;&gt;0,VLOOKUP(B884,#REF!,2,FALSE),"")</f>
        <v>#REF!</v>
      </c>
    </row>
    <row r="885" spans="1:28" s="55" customFormat="1" ht="45">
      <c r="A885" s="36" t="s">
        <v>3670</v>
      </c>
      <c r="B885" s="20">
        <v>101896</v>
      </c>
      <c r="C885" s="439" t="s">
        <v>3756</v>
      </c>
      <c r="D885" s="21" t="s">
        <v>12</v>
      </c>
      <c r="E885" s="21" t="s">
        <v>17</v>
      </c>
      <c r="F885" s="22">
        <v>1</v>
      </c>
      <c r="G885" s="22">
        <f t="shared" si="262"/>
        <v>515.48250000000007</v>
      </c>
      <c r="H885" s="22">
        <f t="shared" si="272"/>
        <v>653.67999999999995</v>
      </c>
      <c r="I885" s="147">
        <f t="shared" si="273"/>
        <v>653.67999999999995</v>
      </c>
      <c r="J885" s="148"/>
      <c r="K885" s="148"/>
      <c r="L885" s="148"/>
      <c r="M885" s="148">
        <v>574.25</v>
      </c>
      <c r="N885" s="148">
        <v>728.21</v>
      </c>
      <c r="O885" s="148">
        <v>728.21</v>
      </c>
      <c r="P885" s="494"/>
      <c r="Q885" s="148">
        <f t="shared" si="271"/>
        <v>0</v>
      </c>
      <c r="R885" s="148"/>
      <c r="S885" s="148">
        <f t="shared" si="274"/>
        <v>0</v>
      </c>
      <c r="T885" s="148">
        <f t="shared" si="270"/>
        <v>1</v>
      </c>
      <c r="U885" s="148">
        <f t="shared" si="275"/>
        <v>728.21</v>
      </c>
      <c r="V885" s="379"/>
      <c r="W885" s="379"/>
      <c r="X885" s="57" t="e">
        <f>IF(B885&lt;&gt;0,VLOOKUP(B885,#REF!,4,FALSE),"")</f>
        <v>#REF!</v>
      </c>
      <c r="Y885" s="334" t="s">
        <v>3152</v>
      </c>
      <c r="Z885" s="334">
        <f t="shared" si="263"/>
        <v>515.48250000000007</v>
      </c>
      <c r="AA885" s="57"/>
      <c r="AB885" s="58" t="e">
        <f>IF(B885&lt;&gt;0,VLOOKUP(B885,#REF!,2,FALSE),"")</f>
        <v>#REF!</v>
      </c>
    </row>
    <row r="886" spans="1:28" s="55" customFormat="1" ht="45">
      <c r="A886" s="36" t="s">
        <v>3671</v>
      </c>
      <c r="B886" s="20">
        <v>1571</v>
      </c>
      <c r="C886" s="439" t="s">
        <v>3754</v>
      </c>
      <c r="D886" s="21" t="s">
        <v>12</v>
      </c>
      <c r="E886" s="21" t="s">
        <v>17</v>
      </c>
      <c r="F886" s="22">
        <v>8</v>
      </c>
      <c r="G886" s="22">
        <f t="shared" si="262"/>
        <v>1.0114999999999998</v>
      </c>
      <c r="H886" s="22">
        <f t="shared" si="272"/>
        <v>1.28</v>
      </c>
      <c r="I886" s="147">
        <f t="shared" si="273"/>
        <v>10.24</v>
      </c>
      <c r="J886" s="148"/>
      <c r="K886" s="148"/>
      <c r="L886" s="148"/>
      <c r="M886" s="148">
        <v>1.1299999999999999</v>
      </c>
      <c r="N886" s="148">
        <v>1.43</v>
      </c>
      <c r="O886" s="148">
        <v>11.44</v>
      </c>
      <c r="P886" s="494"/>
      <c r="Q886" s="148">
        <f t="shared" si="271"/>
        <v>0</v>
      </c>
      <c r="R886" s="148"/>
      <c r="S886" s="148">
        <f t="shared" si="274"/>
        <v>0</v>
      </c>
      <c r="T886" s="148">
        <f t="shared" si="270"/>
        <v>8</v>
      </c>
      <c r="U886" s="148">
        <f t="shared" si="275"/>
        <v>11.44</v>
      </c>
      <c r="V886" s="379"/>
      <c r="W886" s="379"/>
      <c r="X886" s="57" t="e">
        <f>IF(B886&lt;&gt;0,VLOOKUP(B886,#REF!,4,FALSE),"")</f>
        <v>#REF!</v>
      </c>
      <c r="Y886" s="334" t="s">
        <v>1843</v>
      </c>
      <c r="Z886" s="334">
        <f t="shared" si="263"/>
        <v>8.0919999999999987</v>
      </c>
      <c r="AA886" s="57"/>
      <c r="AB886" s="58" t="e">
        <f>IF(B886&lt;&gt;0,VLOOKUP(B886,#REF!,2,FALSE),"")</f>
        <v>#REF!</v>
      </c>
    </row>
    <row r="887" spans="1:28" s="55" customFormat="1" ht="45">
      <c r="A887" s="36" t="s">
        <v>3672</v>
      </c>
      <c r="B887" s="20">
        <v>1573</v>
      </c>
      <c r="C887" s="439" t="s">
        <v>3752</v>
      </c>
      <c r="D887" s="21" t="s">
        <v>12</v>
      </c>
      <c r="E887" s="21" t="s">
        <v>17</v>
      </c>
      <c r="F887" s="22">
        <v>22</v>
      </c>
      <c r="G887" s="22">
        <f t="shared" si="262"/>
        <v>1.1984999999999999</v>
      </c>
      <c r="H887" s="22">
        <f t="shared" si="272"/>
        <v>1.52</v>
      </c>
      <c r="I887" s="147">
        <f t="shared" si="273"/>
        <v>33.44</v>
      </c>
      <c r="J887" s="148"/>
      <c r="K887" s="148"/>
      <c r="L887" s="148"/>
      <c r="M887" s="148">
        <v>1.34</v>
      </c>
      <c r="N887" s="148">
        <v>1.7</v>
      </c>
      <c r="O887" s="148">
        <v>37.4</v>
      </c>
      <c r="P887" s="494"/>
      <c r="Q887" s="148">
        <f t="shared" si="271"/>
        <v>0</v>
      </c>
      <c r="R887" s="148"/>
      <c r="S887" s="148">
        <f t="shared" si="274"/>
        <v>0</v>
      </c>
      <c r="T887" s="148">
        <f t="shared" si="270"/>
        <v>22</v>
      </c>
      <c r="U887" s="148">
        <f t="shared" si="275"/>
        <v>37.4</v>
      </c>
      <c r="V887" s="379"/>
      <c r="W887" s="379"/>
      <c r="X887" s="57" t="e">
        <f>IF(B887&lt;&gt;0,VLOOKUP(B887,#REF!,4,FALSE),"")</f>
        <v>#REF!</v>
      </c>
      <c r="Y887" s="334" t="s">
        <v>3188</v>
      </c>
      <c r="Z887" s="334">
        <f t="shared" si="263"/>
        <v>26.366999999999997</v>
      </c>
      <c r="AA887" s="57"/>
      <c r="AB887" s="58" t="e">
        <f>IF(B887&lt;&gt;0,VLOOKUP(B887,#REF!,2,FALSE),"")</f>
        <v>#REF!</v>
      </c>
    </row>
    <row r="888" spans="1:28" s="55" customFormat="1" ht="45">
      <c r="A888" s="36" t="s">
        <v>3673</v>
      </c>
      <c r="B888" s="20">
        <v>1575</v>
      </c>
      <c r="C888" s="439" t="s">
        <v>3759</v>
      </c>
      <c r="D888" s="21" t="s">
        <v>12</v>
      </c>
      <c r="E888" s="21" t="s">
        <v>17</v>
      </c>
      <c r="F888" s="22">
        <v>1</v>
      </c>
      <c r="G888" s="22">
        <f t="shared" si="262"/>
        <v>1.5470000000000002</v>
      </c>
      <c r="H888" s="22">
        <f t="shared" si="272"/>
        <v>1.96</v>
      </c>
      <c r="I888" s="147">
        <f t="shared" si="273"/>
        <v>1.96</v>
      </c>
      <c r="J888" s="148"/>
      <c r="K888" s="148"/>
      <c r="L888" s="148"/>
      <c r="M888" s="148">
        <v>1.72</v>
      </c>
      <c r="N888" s="148">
        <v>2.1800000000000002</v>
      </c>
      <c r="O888" s="148">
        <v>2.1800000000000002</v>
      </c>
      <c r="P888" s="494"/>
      <c r="Q888" s="148">
        <f t="shared" si="271"/>
        <v>0</v>
      </c>
      <c r="R888" s="148"/>
      <c r="S888" s="148">
        <f t="shared" si="274"/>
        <v>0</v>
      </c>
      <c r="T888" s="148">
        <f t="shared" si="270"/>
        <v>1</v>
      </c>
      <c r="U888" s="148">
        <f t="shared" si="275"/>
        <v>2.1800000000000002</v>
      </c>
      <c r="V888" s="379"/>
      <c r="W888" s="379"/>
      <c r="X888" s="57" t="e">
        <f>IF(B888&lt;&gt;0,VLOOKUP(B888,#REF!,4,FALSE),"")</f>
        <v>#REF!</v>
      </c>
      <c r="Y888" s="334" t="s">
        <v>1861</v>
      </c>
      <c r="Z888" s="334">
        <f t="shared" si="263"/>
        <v>1.5470000000000002</v>
      </c>
      <c r="AA888" s="57"/>
      <c r="AB888" s="58" t="e">
        <f>IF(B888&lt;&gt;0,VLOOKUP(B888,#REF!,2,FALSE),"")</f>
        <v>#REF!</v>
      </c>
    </row>
    <row r="889" spans="1:28" s="55" customFormat="1" ht="45">
      <c r="A889" s="36" t="s">
        <v>3674</v>
      </c>
      <c r="B889" s="20">
        <v>1576</v>
      </c>
      <c r="C889" s="439" t="s">
        <v>3760</v>
      </c>
      <c r="D889" s="21" t="s">
        <v>12</v>
      </c>
      <c r="E889" s="21" t="s">
        <v>17</v>
      </c>
      <c r="F889" s="22">
        <v>1</v>
      </c>
      <c r="G889" s="22">
        <f t="shared" si="262"/>
        <v>2.1334999999999997</v>
      </c>
      <c r="H889" s="22">
        <f t="shared" si="272"/>
        <v>2.71</v>
      </c>
      <c r="I889" s="147">
        <f t="shared" si="273"/>
        <v>2.71</v>
      </c>
      <c r="J889" s="148"/>
      <c r="K889" s="148"/>
      <c r="L889" s="148"/>
      <c r="M889" s="148">
        <v>2.38</v>
      </c>
      <c r="N889" s="148">
        <v>3.02</v>
      </c>
      <c r="O889" s="148">
        <v>3.02</v>
      </c>
      <c r="P889" s="494"/>
      <c r="Q889" s="148">
        <f t="shared" si="271"/>
        <v>0</v>
      </c>
      <c r="R889" s="148"/>
      <c r="S889" s="148">
        <f t="shared" si="274"/>
        <v>0</v>
      </c>
      <c r="T889" s="148">
        <f t="shared" si="270"/>
        <v>1</v>
      </c>
      <c r="U889" s="148">
        <f t="shared" si="275"/>
        <v>3.02</v>
      </c>
      <c r="V889" s="379"/>
      <c r="W889" s="379"/>
      <c r="X889" s="57" t="e">
        <f>IF(B889&lt;&gt;0,VLOOKUP(B889,#REF!,4,FALSE),"")</f>
        <v>#REF!</v>
      </c>
      <c r="Y889" s="334" t="s">
        <v>3139</v>
      </c>
      <c r="Z889" s="334">
        <f t="shared" si="263"/>
        <v>2.1334999999999997</v>
      </c>
      <c r="AA889" s="57"/>
      <c r="AB889" s="58" t="e">
        <f>IF(B889&lt;&gt;0,VLOOKUP(B889,#REF!,2,FALSE),"")</f>
        <v>#REF!</v>
      </c>
    </row>
    <row r="890" spans="1:28" s="55" customFormat="1" ht="45">
      <c r="A890" s="36" t="s">
        <v>3675</v>
      </c>
      <c r="B890" s="20">
        <v>1577</v>
      </c>
      <c r="C890" s="439" t="s">
        <v>3747</v>
      </c>
      <c r="D890" s="21" t="s">
        <v>12</v>
      </c>
      <c r="E890" s="21" t="s">
        <v>17</v>
      </c>
      <c r="F890" s="22">
        <v>10</v>
      </c>
      <c r="G890" s="22">
        <f t="shared" si="262"/>
        <v>2.4055</v>
      </c>
      <c r="H890" s="22">
        <f t="shared" si="272"/>
        <v>3.05</v>
      </c>
      <c r="I890" s="147">
        <f t="shared" si="273"/>
        <v>30.5</v>
      </c>
      <c r="J890" s="148"/>
      <c r="K890" s="148"/>
      <c r="L890" s="148"/>
      <c r="M890" s="148">
        <v>2.68</v>
      </c>
      <c r="N890" s="148">
        <v>3.4</v>
      </c>
      <c r="O890" s="148">
        <v>34</v>
      </c>
      <c r="P890" s="494"/>
      <c r="Q890" s="148">
        <f t="shared" si="271"/>
        <v>0</v>
      </c>
      <c r="R890" s="148"/>
      <c r="S890" s="148">
        <f t="shared" si="274"/>
        <v>0</v>
      </c>
      <c r="T890" s="148">
        <f t="shared" si="270"/>
        <v>10</v>
      </c>
      <c r="U890" s="148">
        <f t="shared" si="275"/>
        <v>34</v>
      </c>
      <c r="V890" s="379"/>
      <c r="W890" s="379"/>
      <c r="X890" s="57" t="e">
        <f>IF(B890&lt;&gt;0,VLOOKUP(B890,#REF!,4,FALSE),"")</f>
        <v>#REF!</v>
      </c>
      <c r="Y890" s="334" t="s">
        <v>1894</v>
      </c>
      <c r="Z890" s="334">
        <f t="shared" si="263"/>
        <v>24.055</v>
      </c>
      <c r="AA890" s="57"/>
      <c r="AB890" s="58" t="e">
        <f>IF(B890&lt;&gt;0,VLOOKUP(B890,#REF!,2,FALSE),"")</f>
        <v>#REF!</v>
      </c>
    </row>
    <row r="891" spans="1:28" s="55" customFormat="1" ht="45">
      <c r="A891" s="36" t="s">
        <v>3676</v>
      </c>
      <c r="B891" s="20">
        <v>1578</v>
      </c>
      <c r="C891" s="439" t="s">
        <v>3746</v>
      </c>
      <c r="D891" s="21" t="s">
        <v>12</v>
      </c>
      <c r="E891" s="21" t="s">
        <v>17</v>
      </c>
      <c r="F891" s="22">
        <v>10</v>
      </c>
      <c r="G891" s="22">
        <f t="shared" si="262"/>
        <v>4.1820000000000004</v>
      </c>
      <c r="H891" s="22">
        <f t="shared" si="272"/>
        <v>5.3</v>
      </c>
      <c r="I891" s="147">
        <f t="shared" si="273"/>
        <v>53</v>
      </c>
      <c r="J891" s="148"/>
      <c r="K891" s="148"/>
      <c r="L891" s="148"/>
      <c r="M891" s="148">
        <v>4.66</v>
      </c>
      <c r="N891" s="148">
        <v>5.91</v>
      </c>
      <c r="O891" s="148">
        <v>59.1</v>
      </c>
      <c r="P891" s="494"/>
      <c r="Q891" s="148">
        <f t="shared" si="271"/>
        <v>0</v>
      </c>
      <c r="R891" s="148"/>
      <c r="S891" s="148">
        <f t="shared" si="274"/>
        <v>0</v>
      </c>
      <c r="T891" s="148">
        <f t="shared" si="270"/>
        <v>10</v>
      </c>
      <c r="U891" s="148">
        <f t="shared" si="275"/>
        <v>59.1</v>
      </c>
      <c r="V891" s="379"/>
      <c r="W891" s="379"/>
      <c r="X891" s="57" t="e">
        <f>IF(B891&lt;&gt;0,VLOOKUP(B891,#REF!,4,FALSE),"")</f>
        <v>#REF!</v>
      </c>
      <c r="Y891" s="334" t="s">
        <v>3141</v>
      </c>
      <c r="Z891" s="334">
        <f t="shared" si="263"/>
        <v>41.820000000000007</v>
      </c>
      <c r="AA891" s="57"/>
      <c r="AB891" s="58" t="e">
        <f>IF(B891&lt;&gt;0,VLOOKUP(B891,#REF!,2,FALSE),"")</f>
        <v>#REF!</v>
      </c>
    </row>
    <row r="892" spans="1:28" s="55" customFormat="1" ht="45">
      <c r="A892" s="36" t="s">
        <v>3677</v>
      </c>
      <c r="B892" s="20">
        <v>1579</v>
      </c>
      <c r="C892" s="439" t="s">
        <v>3755</v>
      </c>
      <c r="D892" s="21" t="s">
        <v>12</v>
      </c>
      <c r="E892" s="21" t="s">
        <v>17</v>
      </c>
      <c r="F892" s="22">
        <v>1</v>
      </c>
      <c r="G892" s="22">
        <f t="shared" si="262"/>
        <v>5.2104999999999997</v>
      </c>
      <c r="H892" s="22">
        <f t="shared" si="272"/>
        <v>6.61</v>
      </c>
      <c r="I892" s="147">
        <f t="shared" si="273"/>
        <v>6.61</v>
      </c>
      <c r="J892" s="148"/>
      <c r="K892" s="148"/>
      <c r="L892" s="148"/>
      <c r="M892" s="148">
        <v>5.8</v>
      </c>
      <c r="N892" s="148">
        <v>7.35</v>
      </c>
      <c r="O892" s="148">
        <v>7.35</v>
      </c>
      <c r="P892" s="494"/>
      <c r="Q892" s="148">
        <f t="shared" si="271"/>
        <v>0</v>
      </c>
      <c r="R892" s="148"/>
      <c r="S892" s="148">
        <f t="shared" si="274"/>
        <v>0</v>
      </c>
      <c r="T892" s="148">
        <f t="shared" si="270"/>
        <v>1</v>
      </c>
      <c r="U892" s="148">
        <f t="shared" si="275"/>
        <v>7.35</v>
      </c>
      <c r="V892" s="379"/>
      <c r="W892" s="379"/>
      <c r="X892" s="57" t="e">
        <f>IF(B892&lt;&gt;0,VLOOKUP(B892,#REF!,4,FALSE),"")</f>
        <v>#REF!</v>
      </c>
      <c r="Y892" s="334" t="s">
        <v>1846</v>
      </c>
      <c r="Z892" s="334">
        <f t="shared" si="263"/>
        <v>5.2104999999999997</v>
      </c>
      <c r="AA892" s="57"/>
      <c r="AB892" s="58" t="e">
        <f>IF(B892&lt;&gt;0,VLOOKUP(B892,#REF!,2,FALSE),"")</f>
        <v>#REF!</v>
      </c>
    </row>
    <row r="893" spans="1:28" s="55" customFormat="1" ht="60">
      <c r="A893" s="36" t="s">
        <v>3678</v>
      </c>
      <c r="B893" s="20">
        <v>1581</v>
      </c>
      <c r="C893" s="439" t="s">
        <v>3761</v>
      </c>
      <c r="D893" s="21" t="s">
        <v>12</v>
      </c>
      <c r="E893" s="21" t="s">
        <v>17</v>
      </c>
      <c r="F893" s="22">
        <v>10</v>
      </c>
      <c r="G893" s="22">
        <f t="shared" si="262"/>
        <v>9.0269999999999992</v>
      </c>
      <c r="H893" s="22">
        <f t="shared" si="272"/>
        <v>11.45</v>
      </c>
      <c r="I893" s="147">
        <f t="shared" si="273"/>
        <v>114.5</v>
      </c>
      <c r="J893" s="148"/>
      <c r="K893" s="148"/>
      <c r="L893" s="148"/>
      <c r="M893" s="148">
        <v>10.06</v>
      </c>
      <c r="N893" s="148">
        <v>12.76</v>
      </c>
      <c r="O893" s="148">
        <v>127.6</v>
      </c>
      <c r="P893" s="494"/>
      <c r="Q893" s="148">
        <f t="shared" si="271"/>
        <v>0</v>
      </c>
      <c r="R893" s="148"/>
      <c r="S893" s="148">
        <f t="shared" si="274"/>
        <v>0</v>
      </c>
      <c r="T893" s="148">
        <f t="shared" si="270"/>
        <v>10</v>
      </c>
      <c r="U893" s="148">
        <f t="shared" si="275"/>
        <v>127.6</v>
      </c>
      <c r="V893" s="379"/>
      <c r="W893" s="379"/>
      <c r="X893" s="57" t="e">
        <f>IF(B893&lt;&gt;0,VLOOKUP(B893,#REF!,4,FALSE),"")</f>
        <v>#REF!</v>
      </c>
      <c r="Y893" s="334" t="s">
        <v>3145</v>
      </c>
      <c r="Z893" s="334">
        <f t="shared" si="263"/>
        <v>90.27</v>
      </c>
      <c r="AA893" s="57"/>
      <c r="AB893" s="58" t="e">
        <f>IF(B893&lt;&gt;0,VLOOKUP(B893,#REF!,2,FALSE),"")</f>
        <v>#REF!</v>
      </c>
    </row>
    <row r="894" spans="1:28" s="55" customFormat="1" ht="45">
      <c r="A894" s="19" t="s">
        <v>1274</v>
      </c>
      <c r="B894" s="20">
        <v>91930</v>
      </c>
      <c r="C894" s="19" t="s">
        <v>1731</v>
      </c>
      <c r="D894" s="21" t="s">
        <v>12</v>
      </c>
      <c r="E894" s="21" t="s">
        <v>52</v>
      </c>
      <c r="F894" s="22">
        <v>2</v>
      </c>
      <c r="G894" s="22">
        <f t="shared" si="262"/>
        <v>7.0379999999999994</v>
      </c>
      <c r="H894" s="22">
        <f t="shared" si="272"/>
        <v>8.92</v>
      </c>
      <c r="I894" s="147">
        <f t="shared" si="273"/>
        <v>17.84</v>
      </c>
      <c r="J894" s="148"/>
      <c r="K894" s="148"/>
      <c r="L894" s="148"/>
      <c r="M894" s="148">
        <v>7.84</v>
      </c>
      <c r="N894" s="148">
        <v>9.94</v>
      </c>
      <c r="O894" s="148">
        <v>19.88</v>
      </c>
      <c r="P894" s="494"/>
      <c r="Q894" s="148">
        <f t="shared" si="271"/>
        <v>0</v>
      </c>
      <c r="R894" s="148"/>
      <c r="S894" s="148">
        <f t="shared" si="274"/>
        <v>0</v>
      </c>
      <c r="T894" s="148">
        <f t="shared" si="270"/>
        <v>2</v>
      </c>
      <c r="U894" s="148">
        <f t="shared" si="275"/>
        <v>19.88</v>
      </c>
      <c r="V894" s="379"/>
      <c r="W894" s="379"/>
      <c r="X894" s="57" t="e">
        <f>IF(B894&lt;&gt;0,VLOOKUP(B894,#REF!,4,FALSE),"")</f>
        <v>#REF!</v>
      </c>
      <c r="Y894" s="334" t="s">
        <v>3110</v>
      </c>
      <c r="Z894" s="334">
        <f t="shared" si="263"/>
        <v>14.075999999999999</v>
      </c>
      <c r="AA894" s="57"/>
      <c r="AB894" s="58" t="e">
        <f>IF(B894&lt;&gt;0,VLOOKUP(B894,#REF!,2,FALSE),"")</f>
        <v>#REF!</v>
      </c>
    </row>
    <row r="895" spans="1:28" s="55" customFormat="1" ht="15" customHeight="1">
      <c r="A895" s="229" t="s">
        <v>1275</v>
      </c>
      <c r="B895" s="229"/>
      <c r="C895" s="229" t="s">
        <v>272</v>
      </c>
      <c r="D895" s="230"/>
      <c r="E895" s="230"/>
      <c r="F895" s="230"/>
      <c r="G895" s="22"/>
      <c r="H895" s="230"/>
      <c r="I895" s="445"/>
      <c r="J895" s="440"/>
      <c r="K895" s="440"/>
      <c r="L895" s="440"/>
      <c r="M895" s="440"/>
      <c r="N895" s="440"/>
      <c r="O895" s="440"/>
      <c r="P895" s="492"/>
      <c r="Q895" s="148">
        <f t="shared" si="271"/>
        <v>0</v>
      </c>
      <c r="R895" s="440"/>
      <c r="S895" s="440"/>
      <c r="T895" s="148">
        <f t="shared" si="270"/>
        <v>0</v>
      </c>
      <c r="U895" s="148">
        <f t="shared" si="275"/>
        <v>0</v>
      </c>
      <c r="V895" s="330"/>
      <c r="W895" s="330"/>
      <c r="X895" s="58"/>
      <c r="Y895" s="334"/>
      <c r="Z895" s="334">
        <f t="shared" si="263"/>
        <v>0</v>
      </c>
      <c r="AA895" s="58"/>
      <c r="AB895" s="58"/>
    </row>
    <row r="896" spans="1:28" s="55" customFormat="1" ht="75">
      <c r="A896" s="36" t="s">
        <v>3680</v>
      </c>
      <c r="B896" s="20">
        <v>101878</v>
      </c>
      <c r="C896" s="439" t="s">
        <v>3758</v>
      </c>
      <c r="D896" s="21" t="s">
        <v>12</v>
      </c>
      <c r="E896" s="21" t="s">
        <v>17</v>
      </c>
      <c r="F896" s="22">
        <v>1</v>
      </c>
      <c r="G896" s="22">
        <f t="shared" si="262"/>
        <v>428.91849999999999</v>
      </c>
      <c r="H896" s="22">
        <f t="shared" ref="H896:H909" si="276">ROUND(G896*(1+$X$14),2)</f>
        <v>543.91</v>
      </c>
      <c r="I896" s="147">
        <f t="shared" ref="I896:I909" si="277">ROUND(H896*F896,2)</f>
        <v>543.91</v>
      </c>
      <c r="J896" s="148"/>
      <c r="K896" s="148"/>
      <c r="L896" s="148"/>
      <c r="M896" s="148">
        <v>477.82</v>
      </c>
      <c r="N896" s="148">
        <v>605.91999999999996</v>
      </c>
      <c r="O896" s="148">
        <v>605.91999999999996</v>
      </c>
      <c r="P896" s="494"/>
      <c r="Q896" s="148">
        <f t="shared" si="271"/>
        <v>0</v>
      </c>
      <c r="R896" s="148"/>
      <c r="S896" s="148">
        <f t="shared" ref="S896:S909" si="278">ROUND(R896*P896,2)</f>
        <v>0</v>
      </c>
      <c r="T896" s="148">
        <f t="shared" si="270"/>
        <v>1</v>
      </c>
      <c r="U896" s="148">
        <f t="shared" si="275"/>
        <v>605.91999999999996</v>
      </c>
      <c r="V896" s="379"/>
      <c r="W896" s="379"/>
      <c r="X896" s="57" t="e">
        <f>IF(B896&lt;&gt;0,VLOOKUP(B896,#REF!,4,FALSE),"")</f>
        <v>#REF!</v>
      </c>
      <c r="Y896" s="334" t="s">
        <v>3246</v>
      </c>
      <c r="Z896" s="334">
        <f t="shared" si="263"/>
        <v>428.91849999999999</v>
      </c>
      <c r="AA896" s="57"/>
      <c r="AB896" s="58" t="e">
        <f>IF(B896&lt;&gt;0,VLOOKUP(B896,#REF!,2,FALSE),"")</f>
        <v>#REF!</v>
      </c>
    </row>
    <row r="897" spans="1:28" s="55" customFormat="1" ht="30">
      <c r="A897" s="19" t="s">
        <v>1276</v>
      </c>
      <c r="B897" s="20">
        <f>B882</f>
        <v>9041</v>
      </c>
      <c r="C897" s="30" t="str">
        <f>C882</f>
        <v>DISPOSITIVO DE PROTEÇÃO CONTRA SURTO DE TENSÃO DPS 60KA - 275V</v>
      </c>
      <c r="D897" s="21" t="s">
        <v>44</v>
      </c>
      <c r="E897" s="21" t="s">
        <v>17</v>
      </c>
      <c r="F897" s="22">
        <v>4</v>
      </c>
      <c r="G897" s="22">
        <f t="shared" si="262"/>
        <v>97.393000000000001</v>
      </c>
      <c r="H897" s="22">
        <f t="shared" si="276"/>
        <v>123.5</v>
      </c>
      <c r="I897" s="147">
        <f t="shared" si="277"/>
        <v>494</v>
      </c>
      <c r="J897" s="148"/>
      <c r="K897" s="148"/>
      <c r="L897" s="148"/>
      <c r="M897" s="148">
        <v>108.5</v>
      </c>
      <c r="N897" s="148">
        <v>137.59</v>
      </c>
      <c r="O897" s="148">
        <v>550.36</v>
      </c>
      <c r="P897" s="494"/>
      <c r="Q897" s="148">
        <f t="shared" si="271"/>
        <v>0</v>
      </c>
      <c r="R897" s="148"/>
      <c r="S897" s="148">
        <f t="shared" si="278"/>
        <v>0</v>
      </c>
      <c r="T897" s="148">
        <f t="shared" si="270"/>
        <v>4</v>
      </c>
      <c r="U897" s="148">
        <f t="shared" si="275"/>
        <v>550.36</v>
      </c>
      <c r="V897" s="379"/>
      <c r="W897" s="379"/>
      <c r="X897" s="57">
        <f>X882</f>
        <v>97.39</v>
      </c>
      <c r="Y897" s="334">
        <v>114.58</v>
      </c>
      <c r="Z897" s="334">
        <f t="shared" si="263"/>
        <v>389.572</v>
      </c>
      <c r="AA897" s="57"/>
      <c r="AB897" s="58"/>
    </row>
    <row r="898" spans="1:28" s="55" customFormat="1" ht="30">
      <c r="A898" s="19" t="s">
        <v>1277</v>
      </c>
      <c r="B898" s="20">
        <v>93669</v>
      </c>
      <c r="C898" s="19" t="s">
        <v>1732</v>
      </c>
      <c r="D898" s="21" t="s">
        <v>12</v>
      </c>
      <c r="E898" s="21" t="s">
        <v>17</v>
      </c>
      <c r="F898" s="22">
        <v>4</v>
      </c>
      <c r="G898" s="22">
        <f t="shared" si="262"/>
        <v>61.429499999999997</v>
      </c>
      <c r="H898" s="22">
        <f t="shared" si="276"/>
        <v>77.900000000000006</v>
      </c>
      <c r="I898" s="147">
        <f t="shared" si="277"/>
        <v>311.60000000000002</v>
      </c>
      <c r="J898" s="148"/>
      <c r="K898" s="148"/>
      <c r="L898" s="148"/>
      <c r="M898" s="148">
        <v>68.430000000000007</v>
      </c>
      <c r="N898" s="148">
        <v>86.78</v>
      </c>
      <c r="O898" s="148">
        <v>347.12</v>
      </c>
      <c r="P898" s="494"/>
      <c r="Q898" s="148">
        <f t="shared" si="271"/>
        <v>0</v>
      </c>
      <c r="R898" s="148"/>
      <c r="S898" s="148">
        <f t="shared" si="278"/>
        <v>0</v>
      </c>
      <c r="T898" s="148">
        <f t="shared" si="270"/>
        <v>4</v>
      </c>
      <c r="U898" s="148">
        <f t="shared" si="275"/>
        <v>347.12</v>
      </c>
      <c r="V898" s="379"/>
      <c r="W898" s="379"/>
      <c r="X898" s="57" t="e">
        <f>IF(B898&lt;&gt;0,VLOOKUP(B898,#REF!,4,FALSE),"")</f>
        <v>#REF!</v>
      </c>
      <c r="Y898" s="334" t="s">
        <v>3242</v>
      </c>
      <c r="Z898" s="334">
        <f t="shared" si="263"/>
        <v>245.71799999999999</v>
      </c>
      <c r="AA898" s="57"/>
      <c r="AB898" s="58" t="e">
        <f>IF(B898&lt;&gt;0,VLOOKUP(B898,#REF!,2,FALSE),"")</f>
        <v>#REF!</v>
      </c>
    </row>
    <row r="899" spans="1:28" s="55" customFormat="1" ht="45">
      <c r="A899" s="19" t="s">
        <v>1278</v>
      </c>
      <c r="B899" s="20">
        <v>101894</v>
      </c>
      <c r="C899" s="19" t="s">
        <v>273</v>
      </c>
      <c r="D899" s="21" t="s">
        <v>12</v>
      </c>
      <c r="E899" s="21" t="s">
        <v>17</v>
      </c>
      <c r="F899" s="22">
        <v>1</v>
      </c>
      <c r="G899" s="22">
        <f t="shared" si="262"/>
        <v>120.09649999999999</v>
      </c>
      <c r="H899" s="22">
        <f t="shared" si="276"/>
        <v>152.29</v>
      </c>
      <c r="I899" s="147">
        <f t="shared" si="277"/>
        <v>152.29</v>
      </c>
      <c r="J899" s="148"/>
      <c r="K899" s="148"/>
      <c r="L899" s="148"/>
      <c r="M899" s="148">
        <v>133.79</v>
      </c>
      <c r="N899" s="148">
        <v>169.66</v>
      </c>
      <c r="O899" s="148">
        <v>169.66</v>
      </c>
      <c r="P899" s="494"/>
      <c r="Q899" s="148">
        <f t="shared" si="271"/>
        <v>0</v>
      </c>
      <c r="R899" s="148"/>
      <c r="S899" s="148">
        <f t="shared" si="278"/>
        <v>0</v>
      </c>
      <c r="T899" s="148">
        <f t="shared" si="270"/>
        <v>1</v>
      </c>
      <c r="U899" s="148">
        <f t="shared" si="275"/>
        <v>169.66</v>
      </c>
      <c r="V899" s="379"/>
      <c r="W899" s="379"/>
      <c r="X899" s="57" t="e">
        <f>IF(B899&lt;&gt;0,VLOOKUP(B899,#REF!,4,FALSE),"")</f>
        <v>#REF!</v>
      </c>
      <c r="Y899" s="334" t="s">
        <v>3250</v>
      </c>
      <c r="Z899" s="334">
        <f t="shared" si="263"/>
        <v>120.09649999999999</v>
      </c>
      <c r="AA899" s="57"/>
      <c r="AB899" s="58" t="e">
        <f>IF(B899&lt;&gt;0,VLOOKUP(B899,#REF!,2,FALSE),"")</f>
        <v>#REF!</v>
      </c>
    </row>
    <row r="900" spans="1:28" s="55" customFormat="1" ht="45">
      <c r="A900" s="36" t="s">
        <v>3681</v>
      </c>
      <c r="B900" s="20">
        <v>101895</v>
      </c>
      <c r="C900" s="439" t="s">
        <v>3753</v>
      </c>
      <c r="D900" s="21" t="s">
        <v>12</v>
      </c>
      <c r="E900" s="21" t="s">
        <v>17</v>
      </c>
      <c r="F900" s="22">
        <v>1</v>
      </c>
      <c r="G900" s="22">
        <f t="shared" si="262"/>
        <v>337.58600000000001</v>
      </c>
      <c r="H900" s="22">
        <f t="shared" si="276"/>
        <v>428.09</v>
      </c>
      <c r="I900" s="147">
        <f t="shared" si="277"/>
        <v>428.09</v>
      </c>
      <c r="J900" s="148"/>
      <c r="K900" s="148"/>
      <c r="L900" s="148"/>
      <c r="M900" s="148">
        <v>376.07</v>
      </c>
      <c r="N900" s="148">
        <v>476.89</v>
      </c>
      <c r="O900" s="148">
        <v>476.89</v>
      </c>
      <c r="P900" s="494"/>
      <c r="Q900" s="148">
        <f t="shared" si="271"/>
        <v>0</v>
      </c>
      <c r="R900" s="148"/>
      <c r="S900" s="148">
        <f t="shared" si="278"/>
        <v>0</v>
      </c>
      <c r="T900" s="148">
        <f t="shared" si="270"/>
        <v>1</v>
      </c>
      <c r="U900" s="148">
        <f t="shared" si="275"/>
        <v>476.89</v>
      </c>
      <c r="V900" s="379"/>
      <c r="W900" s="379"/>
      <c r="X900" s="57" t="e">
        <f>IF(B900&lt;&gt;0,VLOOKUP(B900,#REF!,4,FALSE),"")</f>
        <v>#REF!</v>
      </c>
      <c r="Y900" s="334" t="s">
        <v>3251</v>
      </c>
      <c r="Z900" s="334">
        <f t="shared" si="263"/>
        <v>337.58600000000001</v>
      </c>
      <c r="AA900" s="57"/>
      <c r="AB900" s="58" t="e">
        <f>IF(B900&lt;&gt;0,VLOOKUP(B900,#REF!,2,FALSE),"")</f>
        <v>#REF!</v>
      </c>
    </row>
    <row r="901" spans="1:28" s="55" customFormat="1" ht="45">
      <c r="A901" s="36" t="s">
        <v>3682</v>
      </c>
      <c r="B901" s="20">
        <v>101896</v>
      </c>
      <c r="C901" s="439" t="s">
        <v>3756</v>
      </c>
      <c r="D901" s="21" t="s">
        <v>12</v>
      </c>
      <c r="E901" s="21" t="s">
        <v>17</v>
      </c>
      <c r="F901" s="22">
        <v>1</v>
      </c>
      <c r="G901" s="22">
        <f t="shared" si="262"/>
        <v>515.48250000000007</v>
      </c>
      <c r="H901" s="22">
        <f t="shared" si="276"/>
        <v>653.67999999999995</v>
      </c>
      <c r="I901" s="147">
        <f t="shared" si="277"/>
        <v>653.67999999999995</v>
      </c>
      <c r="J901" s="148"/>
      <c r="K901" s="148"/>
      <c r="L901" s="148"/>
      <c r="M901" s="148">
        <v>574.25</v>
      </c>
      <c r="N901" s="148">
        <v>728.21</v>
      </c>
      <c r="O901" s="148">
        <v>728.21</v>
      </c>
      <c r="P901" s="494"/>
      <c r="Q901" s="148">
        <f t="shared" si="271"/>
        <v>0</v>
      </c>
      <c r="R901" s="148"/>
      <c r="S901" s="148">
        <f t="shared" si="278"/>
        <v>0</v>
      </c>
      <c r="T901" s="148">
        <f t="shared" si="270"/>
        <v>1</v>
      </c>
      <c r="U901" s="148">
        <f t="shared" si="275"/>
        <v>728.21</v>
      </c>
      <c r="V901" s="379"/>
      <c r="W901" s="379"/>
      <c r="X901" s="57" t="e">
        <f>IF(B901&lt;&gt;0,VLOOKUP(B901,#REF!,4,FALSE),"")</f>
        <v>#REF!</v>
      </c>
      <c r="Y901" s="334" t="s">
        <v>3152</v>
      </c>
      <c r="Z901" s="334">
        <f t="shared" si="263"/>
        <v>515.48250000000007</v>
      </c>
      <c r="AA901" s="57"/>
      <c r="AB901" s="58" t="e">
        <f>IF(B901&lt;&gt;0,VLOOKUP(B901,#REF!,2,FALSE),"")</f>
        <v>#REF!</v>
      </c>
    </row>
    <row r="902" spans="1:28" s="55" customFormat="1" ht="45">
      <c r="A902" s="36" t="s">
        <v>3683</v>
      </c>
      <c r="B902" s="20">
        <v>1571</v>
      </c>
      <c r="C902" s="439" t="s">
        <v>3754</v>
      </c>
      <c r="D902" s="21" t="s">
        <v>12</v>
      </c>
      <c r="E902" s="21" t="s">
        <v>17</v>
      </c>
      <c r="F902" s="22">
        <v>8</v>
      </c>
      <c r="G902" s="22">
        <f t="shared" si="262"/>
        <v>1.0114999999999998</v>
      </c>
      <c r="H902" s="22">
        <f t="shared" si="276"/>
        <v>1.28</v>
      </c>
      <c r="I902" s="147">
        <f t="shared" si="277"/>
        <v>10.24</v>
      </c>
      <c r="J902" s="148"/>
      <c r="K902" s="148"/>
      <c r="L902" s="148"/>
      <c r="M902" s="148">
        <v>1.1299999999999999</v>
      </c>
      <c r="N902" s="148">
        <v>1.43</v>
      </c>
      <c r="O902" s="148">
        <v>11.44</v>
      </c>
      <c r="P902" s="494"/>
      <c r="Q902" s="148">
        <f t="shared" si="271"/>
        <v>0</v>
      </c>
      <c r="R902" s="148"/>
      <c r="S902" s="148">
        <f t="shared" si="278"/>
        <v>0</v>
      </c>
      <c r="T902" s="148">
        <f t="shared" si="270"/>
        <v>8</v>
      </c>
      <c r="U902" s="148">
        <f t="shared" si="275"/>
        <v>11.44</v>
      </c>
      <c r="V902" s="379"/>
      <c r="W902" s="379"/>
      <c r="X902" s="57" t="e">
        <f>IF(B902&lt;&gt;0,VLOOKUP(B902,#REF!,4,FALSE),"")</f>
        <v>#REF!</v>
      </c>
      <c r="Y902" s="334" t="s">
        <v>1843</v>
      </c>
      <c r="Z902" s="334">
        <f t="shared" si="263"/>
        <v>8.0919999999999987</v>
      </c>
      <c r="AA902" s="57"/>
      <c r="AB902" s="58" t="e">
        <f>IF(B902&lt;&gt;0,VLOOKUP(B902,#REF!,2,FALSE),"")</f>
        <v>#REF!</v>
      </c>
    </row>
    <row r="903" spans="1:28" s="55" customFormat="1" ht="45">
      <c r="A903" s="36" t="s">
        <v>3684</v>
      </c>
      <c r="B903" s="20">
        <v>1573</v>
      </c>
      <c r="C903" s="439" t="s">
        <v>3752</v>
      </c>
      <c r="D903" s="21" t="s">
        <v>12</v>
      </c>
      <c r="E903" s="21" t="s">
        <v>17</v>
      </c>
      <c r="F903" s="22">
        <v>22</v>
      </c>
      <c r="G903" s="22">
        <f t="shared" si="262"/>
        <v>1.1984999999999999</v>
      </c>
      <c r="H903" s="22">
        <f t="shared" si="276"/>
        <v>1.52</v>
      </c>
      <c r="I903" s="147">
        <f t="shared" si="277"/>
        <v>33.44</v>
      </c>
      <c r="J903" s="148"/>
      <c r="K903" s="148"/>
      <c r="L903" s="148"/>
      <c r="M903" s="148">
        <v>1.34</v>
      </c>
      <c r="N903" s="148">
        <v>1.7</v>
      </c>
      <c r="O903" s="148">
        <v>37.4</v>
      </c>
      <c r="P903" s="494"/>
      <c r="Q903" s="148">
        <f t="shared" si="271"/>
        <v>0</v>
      </c>
      <c r="R903" s="148"/>
      <c r="S903" s="148">
        <f t="shared" si="278"/>
        <v>0</v>
      </c>
      <c r="T903" s="148">
        <f t="shared" si="270"/>
        <v>22</v>
      </c>
      <c r="U903" s="148">
        <f t="shared" si="275"/>
        <v>37.4</v>
      </c>
      <c r="V903" s="379"/>
      <c r="W903" s="379"/>
      <c r="X903" s="57" t="e">
        <f>IF(B903&lt;&gt;0,VLOOKUP(B903,#REF!,4,FALSE),"")</f>
        <v>#REF!</v>
      </c>
      <c r="Y903" s="334" t="s">
        <v>3188</v>
      </c>
      <c r="Z903" s="334">
        <f t="shared" si="263"/>
        <v>26.366999999999997</v>
      </c>
      <c r="AA903" s="57"/>
      <c r="AB903" s="58" t="e">
        <f>IF(B903&lt;&gt;0,VLOOKUP(B903,#REF!,2,FALSE),"")</f>
        <v>#REF!</v>
      </c>
    </row>
    <row r="904" spans="1:28" s="55" customFormat="1" ht="45">
      <c r="A904" s="36" t="s">
        <v>3685</v>
      </c>
      <c r="B904" s="20">
        <v>1575</v>
      </c>
      <c r="C904" s="439" t="s">
        <v>3759</v>
      </c>
      <c r="D904" s="21" t="s">
        <v>12</v>
      </c>
      <c r="E904" s="21" t="s">
        <v>17</v>
      </c>
      <c r="F904" s="22">
        <v>1</v>
      </c>
      <c r="G904" s="22">
        <f t="shared" si="262"/>
        <v>1.5470000000000002</v>
      </c>
      <c r="H904" s="22">
        <f t="shared" si="276"/>
        <v>1.96</v>
      </c>
      <c r="I904" s="147">
        <f t="shared" si="277"/>
        <v>1.96</v>
      </c>
      <c r="J904" s="148"/>
      <c r="K904" s="148"/>
      <c r="L904" s="148"/>
      <c r="M904" s="148">
        <v>1.72</v>
      </c>
      <c r="N904" s="148">
        <v>2.1800000000000002</v>
      </c>
      <c r="O904" s="148">
        <v>2.1800000000000002</v>
      </c>
      <c r="P904" s="494"/>
      <c r="Q904" s="148">
        <f t="shared" si="271"/>
        <v>0</v>
      </c>
      <c r="R904" s="148"/>
      <c r="S904" s="148">
        <f t="shared" si="278"/>
        <v>0</v>
      </c>
      <c r="T904" s="148">
        <f t="shared" si="270"/>
        <v>1</v>
      </c>
      <c r="U904" s="148">
        <f t="shared" si="275"/>
        <v>2.1800000000000002</v>
      </c>
      <c r="V904" s="379"/>
      <c r="W904" s="379"/>
      <c r="X904" s="57" t="e">
        <f>IF(B904&lt;&gt;0,VLOOKUP(B904,#REF!,4,FALSE),"")</f>
        <v>#REF!</v>
      </c>
      <c r="Y904" s="334" t="s">
        <v>1861</v>
      </c>
      <c r="Z904" s="334">
        <f t="shared" si="263"/>
        <v>1.5470000000000002</v>
      </c>
      <c r="AA904" s="57"/>
      <c r="AB904" s="58" t="e">
        <f>IF(B904&lt;&gt;0,VLOOKUP(B904,#REF!,2,FALSE),"")</f>
        <v>#REF!</v>
      </c>
    </row>
    <row r="905" spans="1:28" s="55" customFormat="1" ht="75">
      <c r="A905" s="36" t="s">
        <v>3686</v>
      </c>
      <c r="B905" s="20">
        <v>1576</v>
      </c>
      <c r="C905" s="439" t="s">
        <v>3560</v>
      </c>
      <c r="D905" s="21" t="s">
        <v>12</v>
      </c>
      <c r="E905" s="21" t="s">
        <v>17</v>
      </c>
      <c r="F905" s="22">
        <v>11</v>
      </c>
      <c r="G905" s="22">
        <f t="shared" si="262"/>
        <v>2.1334999999999997</v>
      </c>
      <c r="H905" s="22">
        <f t="shared" si="276"/>
        <v>2.71</v>
      </c>
      <c r="I905" s="147">
        <f t="shared" si="277"/>
        <v>29.81</v>
      </c>
      <c r="J905" s="148"/>
      <c r="K905" s="148"/>
      <c r="L905" s="148"/>
      <c r="M905" s="148">
        <v>2.38</v>
      </c>
      <c r="N905" s="148">
        <v>3.02</v>
      </c>
      <c r="O905" s="148">
        <v>33.22</v>
      </c>
      <c r="P905" s="494"/>
      <c r="Q905" s="148">
        <f t="shared" si="271"/>
        <v>0</v>
      </c>
      <c r="R905" s="148"/>
      <c r="S905" s="148">
        <f t="shared" si="278"/>
        <v>0</v>
      </c>
      <c r="T905" s="148">
        <f t="shared" si="270"/>
        <v>11</v>
      </c>
      <c r="U905" s="148">
        <f t="shared" si="275"/>
        <v>33.22</v>
      </c>
      <c r="V905" s="379"/>
      <c r="W905" s="379"/>
      <c r="X905" s="57" t="e">
        <f>IF(B905&lt;&gt;0,VLOOKUP(B905,#REF!,4,FALSE),"")</f>
        <v>#REF!</v>
      </c>
      <c r="Y905" s="334" t="s">
        <v>3139</v>
      </c>
      <c r="Z905" s="334">
        <f t="shared" si="263"/>
        <v>23.468499999999999</v>
      </c>
      <c r="AA905" s="57"/>
      <c r="AB905" s="58" t="e">
        <f>IF(B905&lt;&gt;0,VLOOKUP(B905,#REF!,2,FALSE),"")</f>
        <v>#REF!</v>
      </c>
    </row>
    <row r="906" spans="1:28" s="55" customFormat="1" ht="75">
      <c r="A906" s="36" t="s">
        <v>3687</v>
      </c>
      <c r="B906" s="20">
        <v>1578</v>
      </c>
      <c r="C906" s="439" t="s">
        <v>3562</v>
      </c>
      <c r="D906" s="21" t="s">
        <v>12</v>
      </c>
      <c r="E906" s="21" t="s">
        <v>17</v>
      </c>
      <c r="F906" s="22">
        <v>10</v>
      </c>
      <c r="G906" s="22">
        <f t="shared" si="262"/>
        <v>4.1820000000000004</v>
      </c>
      <c r="H906" s="22">
        <f t="shared" si="276"/>
        <v>5.3</v>
      </c>
      <c r="I906" s="147">
        <f t="shared" si="277"/>
        <v>53</v>
      </c>
      <c r="J906" s="148"/>
      <c r="K906" s="148"/>
      <c r="L906" s="148"/>
      <c r="M906" s="148">
        <v>4.66</v>
      </c>
      <c r="N906" s="148">
        <v>5.91</v>
      </c>
      <c r="O906" s="148">
        <v>59.1</v>
      </c>
      <c r="P906" s="494"/>
      <c r="Q906" s="148">
        <f t="shared" si="271"/>
        <v>0</v>
      </c>
      <c r="R906" s="148"/>
      <c r="S906" s="148">
        <f t="shared" si="278"/>
        <v>0</v>
      </c>
      <c r="T906" s="148">
        <f t="shared" si="270"/>
        <v>10</v>
      </c>
      <c r="U906" s="148">
        <f t="shared" si="275"/>
        <v>59.1</v>
      </c>
      <c r="V906" s="379"/>
      <c r="W906" s="379"/>
      <c r="X906" s="57" t="e">
        <f>IF(B906&lt;&gt;0,VLOOKUP(B906,#REF!,4,FALSE),"")</f>
        <v>#REF!</v>
      </c>
      <c r="Y906" s="334" t="s">
        <v>3141</v>
      </c>
      <c r="Z906" s="334">
        <f t="shared" si="263"/>
        <v>41.820000000000007</v>
      </c>
      <c r="AA906" s="57"/>
      <c r="AB906" s="58" t="e">
        <f>IF(B906&lt;&gt;0,VLOOKUP(B906,#REF!,2,FALSE),"")</f>
        <v>#REF!</v>
      </c>
    </row>
    <row r="907" spans="1:28" s="55" customFormat="1" ht="75">
      <c r="A907" s="36" t="s">
        <v>3688</v>
      </c>
      <c r="B907" s="20">
        <v>1579</v>
      </c>
      <c r="C907" s="439" t="s">
        <v>3618</v>
      </c>
      <c r="D907" s="21" t="s">
        <v>12</v>
      </c>
      <c r="E907" s="21" t="s">
        <v>17</v>
      </c>
      <c r="F907" s="22">
        <v>1</v>
      </c>
      <c r="G907" s="22">
        <f t="shared" si="262"/>
        <v>5.2104999999999997</v>
      </c>
      <c r="H907" s="22">
        <f t="shared" si="276"/>
        <v>6.61</v>
      </c>
      <c r="I907" s="147">
        <f t="shared" si="277"/>
        <v>6.61</v>
      </c>
      <c r="J907" s="148"/>
      <c r="K907" s="148"/>
      <c r="L907" s="148"/>
      <c r="M907" s="148">
        <v>5.8</v>
      </c>
      <c r="N907" s="148">
        <v>7.35</v>
      </c>
      <c r="O907" s="148">
        <v>7.35</v>
      </c>
      <c r="P907" s="494"/>
      <c r="Q907" s="148">
        <f t="shared" si="271"/>
        <v>0</v>
      </c>
      <c r="R907" s="148"/>
      <c r="S907" s="148">
        <f t="shared" si="278"/>
        <v>0</v>
      </c>
      <c r="T907" s="148">
        <f t="shared" si="270"/>
        <v>1</v>
      </c>
      <c r="U907" s="148">
        <f t="shared" si="275"/>
        <v>7.35</v>
      </c>
      <c r="V907" s="379"/>
      <c r="W907" s="379"/>
      <c r="X907" s="57" t="e">
        <f>IF(B907&lt;&gt;0,VLOOKUP(B907,#REF!,4,FALSE),"")</f>
        <v>#REF!</v>
      </c>
      <c r="Y907" s="334" t="s">
        <v>1846</v>
      </c>
      <c r="Z907" s="334">
        <f t="shared" si="263"/>
        <v>5.2104999999999997</v>
      </c>
      <c r="AA907" s="57"/>
      <c r="AB907" s="58" t="e">
        <f>IF(B907&lt;&gt;0,VLOOKUP(B907,#REF!,2,FALSE),"")</f>
        <v>#REF!</v>
      </c>
    </row>
    <row r="908" spans="1:28" s="55" customFormat="1" ht="60">
      <c r="A908" s="36" t="s">
        <v>3689</v>
      </c>
      <c r="B908" s="20">
        <v>1581</v>
      </c>
      <c r="C908" s="439" t="s">
        <v>3679</v>
      </c>
      <c r="D908" s="21" t="s">
        <v>12</v>
      </c>
      <c r="E908" s="21" t="s">
        <v>17</v>
      </c>
      <c r="F908" s="22">
        <v>10</v>
      </c>
      <c r="G908" s="22">
        <f t="shared" si="262"/>
        <v>9.0269999999999992</v>
      </c>
      <c r="H908" s="22">
        <f t="shared" si="276"/>
        <v>11.45</v>
      </c>
      <c r="I908" s="147">
        <f t="shared" si="277"/>
        <v>114.5</v>
      </c>
      <c r="J908" s="148"/>
      <c r="K908" s="148"/>
      <c r="L908" s="148"/>
      <c r="M908" s="148">
        <v>10.06</v>
      </c>
      <c r="N908" s="148">
        <v>12.76</v>
      </c>
      <c r="O908" s="148">
        <v>127.6</v>
      </c>
      <c r="P908" s="494"/>
      <c r="Q908" s="148">
        <f t="shared" si="271"/>
        <v>0</v>
      </c>
      <c r="R908" s="148"/>
      <c r="S908" s="148">
        <f t="shared" si="278"/>
        <v>0</v>
      </c>
      <c r="T908" s="148">
        <f t="shared" si="270"/>
        <v>10</v>
      </c>
      <c r="U908" s="148">
        <f t="shared" si="275"/>
        <v>127.6</v>
      </c>
      <c r="V908" s="379"/>
      <c r="W908" s="379"/>
      <c r="X908" s="57" t="e">
        <f>IF(B908&lt;&gt;0,VLOOKUP(B908,#REF!,4,FALSE),"")</f>
        <v>#REF!</v>
      </c>
      <c r="Y908" s="334" t="s">
        <v>3145</v>
      </c>
      <c r="Z908" s="334">
        <f t="shared" si="263"/>
        <v>90.27</v>
      </c>
      <c r="AA908" s="57"/>
      <c r="AB908" s="58" t="e">
        <f>IF(B908&lt;&gt;0,VLOOKUP(B908,#REF!,2,FALSE),"")</f>
        <v>#REF!</v>
      </c>
    </row>
    <row r="909" spans="1:28" s="55" customFormat="1" ht="45">
      <c r="A909" s="19" t="s">
        <v>1279</v>
      </c>
      <c r="B909" s="20">
        <v>91930</v>
      </c>
      <c r="C909" s="439" t="s">
        <v>1731</v>
      </c>
      <c r="D909" s="21" t="s">
        <v>12</v>
      </c>
      <c r="E909" s="21" t="s">
        <v>52</v>
      </c>
      <c r="F909" s="22">
        <v>2</v>
      </c>
      <c r="G909" s="22">
        <f t="shared" si="262"/>
        <v>7.0379999999999994</v>
      </c>
      <c r="H909" s="22">
        <f t="shared" si="276"/>
        <v>8.92</v>
      </c>
      <c r="I909" s="147">
        <f t="shared" si="277"/>
        <v>17.84</v>
      </c>
      <c r="J909" s="148"/>
      <c r="K909" s="148"/>
      <c r="L909" s="148"/>
      <c r="M909" s="148">
        <v>7.84</v>
      </c>
      <c r="N909" s="148">
        <v>9.94</v>
      </c>
      <c r="O909" s="148">
        <v>19.88</v>
      </c>
      <c r="P909" s="494"/>
      <c r="Q909" s="148">
        <f t="shared" si="271"/>
        <v>0</v>
      </c>
      <c r="R909" s="148"/>
      <c r="S909" s="148">
        <f t="shared" si="278"/>
        <v>0</v>
      </c>
      <c r="T909" s="148">
        <f t="shared" si="270"/>
        <v>2</v>
      </c>
      <c r="U909" s="148">
        <f t="shared" si="275"/>
        <v>19.88</v>
      </c>
      <c r="V909" s="379"/>
      <c r="W909" s="379"/>
      <c r="X909" s="57" t="e">
        <f>IF(B909&lt;&gt;0,VLOOKUP(B909,#REF!,4,FALSE),"")</f>
        <v>#REF!</v>
      </c>
      <c r="Y909" s="334" t="s">
        <v>3110</v>
      </c>
      <c r="Z909" s="334">
        <f t="shared" si="263"/>
        <v>14.075999999999999</v>
      </c>
      <c r="AA909" s="57"/>
      <c r="AB909" s="58" t="e">
        <f>IF(B909&lt;&gt;0,VLOOKUP(B909,#REF!,2,FALSE),"")</f>
        <v>#REF!</v>
      </c>
    </row>
    <row r="910" spans="1:28" s="55" customFormat="1" ht="15" customHeight="1">
      <c r="A910" s="229" t="s">
        <v>1280</v>
      </c>
      <c r="B910" s="229"/>
      <c r="C910" s="229" t="s">
        <v>274</v>
      </c>
      <c r="D910" s="230"/>
      <c r="E910" s="230"/>
      <c r="F910" s="230"/>
      <c r="G910" s="22"/>
      <c r="H910" s="230"/>
      <c r="I910" s="445"/>
      <c r="J910" s="440"/>
      <c r="K910" s="440"/>
      <c r="L910" s="440"/>
      <c r="M910" s="440"/>
      <c r="N910" s="440"/>
      <c r="O910" s="440"/>
      <c r="P910" s="492"/>
      <c r="Q910" s="148">
        <f t="shared" si="271"/>
        <v>0</v>
      </c>
      <c r="R910" s="440"/>
      <c r="S910" s="440"/>
      <c r="T910" s="148">
        <f t="shared" si="270"/>
        <v>0</v>
      </c>
      <c r="U910" s="148">
        <f t="shared" si="275"/>
        <v>0</v>
      </c>
      <c r="V910" s="330"/>
      <c r="W910" s="330"/>
      <c r="X910" s="58"/>
      <c r="Y910" s="334"/>
      <c r="Z910" s="334">
        <f t="shared" si="263"/>
        <v>0</v>
      </c>
      <c r="AA910" s="58"/>
      <c r="AB910" s="58"/>
    </row>
    <row r="911" spans="1:28" s="55" customFormat="1" ht="75">
      <c r="A911" s="36" t="s">
        <v>3690</v>
      </c>
      <c r="B911" s="20">
        <v>101878</v>
      </c>
      <c r="C911" s="439" t="s">
        <v>3758</v>
      </c>
      <c r="D911" s="21" t="s">
        <v>12</v>
      </c>
      <c r="E911" s="21" t="s">
        <v>17</v>
      </c>
      <c r="F911" s="22">
        <v>1</v>
      </c>
      <c r="G911" s="22">
        <f t="shared" si="262"/>
        <v>428.91849999999999</v>
      </c>
      <c r="H911" s="22">
        <f t="shared" ref="H911:H921" si="279">ROUND(G911*(1+$X$14),2)</f>
        <v>543.91</v>
      </c>
      <c r="I911" s="147">
        <f t="shared" ref="I911:I921" si="280">ROUND(H911*F911,2)</f>
        <v>543.91</v>
      </c>
      <c r="J911" s="148"/>
      <c r="K911" s="148"/>
      <c r="L911" s="148"/>
      <c r="M911" s="148">
        <v>477.82</v>
      </c>
      <c r="N911" s="148">
        <v>605.91999999999996</v>
      </c>
      <c r="O911" s="148">
        <v>605.91999999999996</v>
      </c>
      <c r="P911" s="494"/>
      <c r="Q911" s="148">
        <f t="shared" si="271"/>
        <v>0</v>
      </c>
      <c r="R911" s="148"/>
      <c r="S911" s="148">
        <f t="shared" ref="S911:S921" si="281">ROUND(R911*P911,2)</f>
        <v>0</v>
      </c>
      <c r="T911" s="148">
        <f t="shared" si="270"/>
        <v>1</v>
      </c>
      <c r="U911" s="148">
        <f t="shared" si="275"/>
        <v>605.91999999999996</v>
      </c>
      <c r="V911" s="379"/>
      <c r="W911" s="379"/>
      <c r="X911" s="57" t="e">
        <f>IF(B911&lt;&gt;0,VLOOKUP(B911,#REF!,4,FALSE),"")</f>
        <v>#REF!</v>
      </c>
      <c r="Y911" s="334" t="s">
        <v>3246</v>
      </c>
      <c r="Z911" s="334">
        <f t="shared" si="263"/>
        <v>428.91849999999999</v>
      </c>
      <c r="AA911" s="57"/>
      <c r="AB911" s="58" t="e">
        <f>IF(B911&lt;&gt;0,VLOOKUP(B911,#REF!,2,FALSE),"")</f>
        <v>#REF!</v>
      </c>
    </row>
    <row r="912" spans="1:28" s="55" customFormat="1" ht="30">
      <c r="A912" s="19" t="s">
        <v>1281</v>
      </c>
      <c r="B912" s="20">
        <f>B897</f>
        <v>9041</v>
      </c>
      <c r="C912" s="19" t="str">
        <f>C897</f>
        <v>DISPOSITIVO DE PROTEÇÃO CONTRA SURTO DE TENSÃO DPS 60KA - 275V</v>
      </c>
      <c r="D912" s="21" t="s">
        <v>44</v>
      </c>
      <c r="E912" s="21" t="s">
        <v>17</v>
      </c>
      <c r="F912" s="22">
        <v>4</v>
      </c>
      <c r="G912" s="22">
        <f t="shared" si="262"/>
        <v>97.393000000000001</v>
      </c>
      <c r="H912" s="22">
        <f t="shared" si="279"/>
        <v>123.5</v>
      </c>
      <c r="I912" s="147">
        <f t="shared" si="280"/>
        <v>494</v>
      </c>
      <c r="J912" s="148"/>
      <c r="K912" s="148"/>
      <c r="L912" s="148"/>
      <c r="M912" s="148">
        <v>108.5</v>
      </c>
      <c r="N912" s="148">
        <v>137.59</v>
      </c>
      <c r="O912" s="148">
        <v>550.36</v>
      </c>
      <c r="P912" s="494"/>
      <c r="Q912" s="148">
        <f t="shared" si="271"/>
        <v>0</v>
      </c>
      <c r="R912" s="148"/>
      <c r="S912" s="148">
        <f t="shared" si="281"/>
        <v>0</v>
      </c>
      <c r="T912" s="148">
        <f t="shared" si="270"/>
        <v>4</v>
      </c>
      <c r="U912" s="148">
        <f t="shared" si="275"/>
        <v>550.36</v>
      </c>
      <c r="V912" s="379"/>
      <c r="W912" s="379"/>
      <c r="X912" s="57">
        <f>X897</f>
        <v>97.39</v>
      </c>
      <c r="Y912" s="334">
        <v>114.58</v>
      </c>
      <c r="Z912" s="334">
        <f t="shared" si="263"/>
        <v>389.572</v>
      </c>
      <c r="AA912" s="57"/>
      <c r="AB912" s="58"/>
    </row>
    <row r="913" spans="1:28" s="55" customFormat="1" ht="30">
      <c r="A913" s="19" t="s">
        <v>1282</v>
      </c>
      <c r="B913" s="20">
        <v>93654</v>
      </c>
      <c r="C913" s="19" t="s">
        <v>1730</v>
      </c>
      <c r="D913" s="21" t="s">
        <v>12</v>
      </c>
      <c r="E913" s="21" t="s">
        <v>17</v>
      </c>
      <c r="F913" s="22">
        <v>2</v>
      </c>
      <c r="G913" s="22">
        <f t="shared" si="262"/>
        <v>9.6050000000000004</v>
      </c>
      <c r="H913" s="22">
        <f t="shared" si="279"/>
        <v>12.18</v>
      </c>
      <c r="I913" s="147">
        <f t="shared" si="280"/>
        <v>24.36</v>
      </c>
      <c r="J913" s="148"/>
      <c r="K913" s="148"/>
      <c r="L913" s="148"/>
      <c r="M913" s="148">
        <v>10.7</v>
      </c>
      <c r="N913" s="148">
        <v>13.57</v>
      </c>
      <c r="O913" s="148">
        <v>27.14</v>
      </c>
      <c r="P913" s="494"/>
      <c r="Q913" s="148">
        <f t="shared" si="271"/>
        <v>0</v>
      </c>
      <c r="R913" s="148"/>
      <c r="S913" s="148">
        <f t="shared" si="281"/>
        <v>0</v>
      </c>
      <c r="T913" s="148">
        <f t="shared" si="270"/>
        <v>2</v>
      </c>
      <c r="U913" s="148">
        <f t="shared" si="275"/>
        <v>27.14</v>
      </c>
      <c r="V913" s="379"/>
      <c r="W913" s="379"/>
      <c r="X913" s="57" t="e">
        <f>IF(B913&lt;&gt;0,VLOOKUP(B913,#REF!,4,FALSE),"")</f>
        <v>#REF!</v>
      </c>
      <c r="Y913" s="334" t="s">
        <v>3240</v>
      </c>
      <c r="Z913" s="334">
        <f t="shared" si="263"/>
        <v>19.21</v>
      </c>
      <c r="AA913" s="57"/>
      <c r="AB913" s="58" t="e">
        <f>IF(B913&lt;&gt;0,VLOOKUP(B913,#REF!,2,FALSE),"")</f>
        <v>#REF!</v>
      </c>
    </row>
    <row r="914" spans="1:28" s="55" customFormat="1" ht="30">
      <c r="A914" s="19" t="s">
        <v>1283</v>
      </c>
      <c r="B914" s="20">
        <v>93669</v>
      </c>
      <c r="C914" s="19" t="s">
        <v>1732</v>
      </c>
      <c r="D914" s="21" t="s">
        <v>12</v>
      </c>
      <c r="E914" s="21" t="s">
        <v>17</v>
      </c>
      <c r="F914" s="22">
        <v>1</v>
      </c>
      <c r="G914" s="22">
        <f t="shared" si="262"/>
        <v>61.429499999999997</v>
      </c>
      <c r="H914" s="22">
        <f t="shared" si="279"/>
        <v>77.900000000000006</v>
      </c>
      <c r="I914" s="147">
        <f t="shared" si="280"/>
        <v>77.900000000000006</v>
      </c>
      <c r="J914" s="148"/>
      <c r="K914" s="148"/>
      <c r="L914" s="148"/>
      <c r="M914" s="148">
        <v>68.430000000000007</v>
      </c>
      <c r="N914" s="148">
        <v>86.78</v>
      </c>
      <c r="O914" s="148">
        <v>86.78</v>
      </c>
      <c r="P914" s="494"/>
      <c r="Q914" s="148">
        <f t="shared" si="271"/>
        <v>0</v>
      </c>
      <c r="R914" s="148"/>
      <c r="S914" s="148">
        <f t="shared" si="281"/>
        <v>0</v>
      </c>
      <c r="T914" s="148">
        <f t="shared" si="270"/>
        <v>1</v>
      </c>
      <c r="U914" s="148">
        <f t="shared" si="275"/>
        <v>86.78</v>
      </c>
      <c r="V914" s="379"/>
      <c r="W914" s="379"/>
      <c r="X914" s="57" t="e">
        <f>IF(B914&lt;&gt;0,VLOOKUP(B914,#REF!,4,FALSE),"")</f>
        <v>#REF!</v>
      </c>
      <c r="Y914" s="334" t="s">
        <v>3242</v>
      </c>
      <c r="Z914" s="334">
        <f t="shared" si="263"/>
        <v>61.429499999999997</v>
      </c>
      <c r="AA914" s="57"/>
      <c r="AB914" s="58" t="e">
        <f>IF(B914&lt;&gt;0,VLOOKUP(B914,#REF!,2,FALSE),"")</f>
        <v>#REF!</v>
      </c>
    </row>
    <row r="915" spans="1:28" s="55" customFormat="1" ht="30">
      <c r="A915" s="19" t="s">
        <v>1284</v>
      </c>
      <c r="B915" s="20">
        <v>93671</v>
      </c>
      <c r="C915" s="19" t="s">
        <v>1733</v>
      </c>
      <c r="D915" s="21" t="s">
        <v>12</v>
      </c>
      <c r="E915" s="21" t="s">
        <v>17</v>
      </c>
      <c r="F915" s="22">
        <v>1</v>
      </c>
      <c r="G915" s="22">
        <f t="shared" si="262"/>
        <v>64.021999999999991</v>
      </c>
      <c r="H915" s="22">
        <f t="shared" si="279"/>
        <v>81.19</v>
      </c>
      <c r="I915" s="147">
        <f t="shared" si="280"/>
        <v>81.19</v>
      </c>
      <c r="J915" s="148"/>
      <c r="K915" s="148"/>
      <c r="L915" s="148"/>
      <c r="M915" s="148">
        <v>71.319999999999993</v>
      </c>
      <c r="N915" s="148">
        <v>90.44</v>
      </c>
      <c r="O915" s="148">
        <v>90.44</v>
      </c>
      <c r="P915" s="494"/>
      <c r="Q915" s="148">
        <f t="shared" si="271"/>
        <v>0</v>
      </c>
      <c r="R915" s="148"/>
      <c r="S915" s="148">
        <f t="shared" si="281"/>
        <v>0</v>
      </c>
      <c r="T915" s="148">
        <f t="shared" si="270"/>
        <v>1</v>
      </c>
      <c r="U915" s="148">
        <f t="shared" si="275"/>
        <v>90.44</v>
      </c>
      <c r="V915" s="379"/>
      <c r="W915" s="379"/>
      <c r="X915" s="57" t="e">
        <f>IF(B915&lt;&gt;0,VLOOKUP(B915,#REF!,4,FALSE),"")</f>
        <v>#REF!</v>
      </c>
      <c r="Y915" s="334" t="s">
        <v>3178</v>
      </c>
      <c r="Z915" s="334">
        <f t="shared" si="263"/>
        <v>64.021999999999991</v>
      </c>
      <c r="AA915" s="57"/>
      <c r="AB915" s="58" t="e">
        <f>IF(B915&lt;&gt;0,VLOOKUP(B915,#REF!,2,FALSE),"")</f>
        <v>#REF!</v>
      </c>
    </row>
    <row r="916" spans="1:28" s="55" customFormat="1" ht="30">
      <c r="A916" s="19" t="s">
        <v>1285</v>
      </c>
      <c r="B916" s="20">
        <v>93672</v>
      </c>
      <c r="C916" s="19" t="s">
        <v>1734</v>
      </c>
      <c r="D916" s="21" t="s">
        <v>12</v>
      </c>
      <c r="E916" s="21" t="s">
        <v>17</v>
      </c>
      <c r="F916" s="22">
        <v>1</v>
      </c>
      <c r="G916" s="22">
        <f t="shared" si="262"/>
        <v>67.915000000000006</v>
      </c>
      <c r="H916" s="22">
        <f t="shared" si="279"/>
        <v>86.12</v>
      </c>
      <c r="I916" s="147">
        <f t="shared" si="280"/>
        <v>86.12</v>
      </c>
      <c r="J916" s="148"/>
      <c r="K916" s="148"/>
      <c r="L916" s="148"/>
      <c r="M916" s="148">
        <v>75.66</v>
      </c>
      <c r="N916" s="148">
        <v>95.94</v>
      </c>
      <c r="O916" s="148">
        <v>95.94</v>
      </c>
      <c r="P916" s="494"/>
      <c r="Q916" s="148">
        <f t="shared" si="271"/>
        <v>0</v>
      </c>
      <c r="R916" s="148"/>
      <c r="S916" s="148">
        <f t="shared" si="281"/>
        <v>0</v>
      </c>
      <c r="T916" s="148">
        <f t="shared" si="270"/>
        <v>1</v>
      </c>
      <c r="U916" s="148">
        <f t="shared" si="275"/>
        <v>95.94</v>
      </c>
      <c r="V916" s="379"/>
      <c r="W916" s="379"/>
      <c r="X916" s="57" t="e">
        <f>IF(B916&lt;&gt;0,VLOOKUP(B916,#REF!,4,FALSE),"")</f>
        <v>#REF!</v>
      </c>
      <c r="Y916" s="334" t="s">
        <v>3243</v>
      </c>
      <c r="Z916" s="334">
        <f t="shared" si="263"/>
        <v>67.915000000000006</v>
      </c>
      <c r="AA916" s="57"/>
      <c r="AB916" s="58" t="e">
        <f>IF(B916&lt;&gt;0,VLOOKUP(B916,#REF!,2,FALSE),"")</f>
        <v>#REF!</v>
      </c>
    </row>
    <row r="917" spans="1:28" s="55" customFormat="1" ht="45">
      <c r="A917" s="36" t="s">
        <v>3691</v>
      </c>
      <c r="B917" s="20">
        <v>1571</v>
      </c>
      <c r="C917" s="439" t="s">
        <v>3754</v>
      </c>
      <c r="D917" s="21" t="s">
        <v>12</v>
      </c>
      <c r="E917" s="21" t="s">
        <v>17</v>
      </c>
      <c r="F917" s="22">
        <v>4</v>
      </c>
      <c r="G917" s="22">
        <f t="shared" ref="G917:G980" si="282">Y917-(Y917*$Y$15)</f>
        <v>1.0114999999999998</v>
      </c>
      <c r="H917" s="22">
        <f t="shared" si="279"/>
        <v>1.28</v>
      </c>
      <c r="I917" s="147">
        <f t="shared" si="280"/>
        <v>5.12</v>
      </c>
      <c r="J917" s="148"/>
      <c r="K917" s="148"/>
      <c r="L917" s="148"/>
      <c r="M917" s="148">
        <v>1.1299999999999999</v>
      </c>
      <c r="N917" s="148">
        <v>1.43</v>
      </c>
      <c r="O917" s="148">
        <v>5.72</v>
      </c>
      <c r="P917" s="494"/>
      <c r="Q917" s="148">
        <f t="shared" si="271"/>
        <v>0</v>
      </c>
      <c r="R917" s="148"/>
      <c r="S917" s="148">
        <f t="shared" si="281"/>
        <v>0</v>
      </c>
      <c r="T917" s="148">
        <f t="shared" si="270"/>
        <v>4</v>
      </c>
      <c r="U917" s="148">
        <f t="shared" si="275"/>
        <v>5.72</v>
      </c>
      <c r="V917" s="379"/>
      <c r="W917" s="379"/>
      <c r="X917" s="57" t="e">
        <f>IF(B917&lt;&gt;0,VLOOKUP(B917,#REF!,4,FALSE),"")</f>
        <v>#REF!</v>
      </c>
      <c r="Y917" s="334" t="s">
        <v>1843</v>
      </c>
      <c r="Z917" s="334">
        <f t="shared" ref="Z917:Z980" si="283">F917*G917</f>
        <v>4.0459999999999994</v>
      </c>
      <c r="AA917" s="57"/>
      <c r="AB917" s="58" t="e">
        <f>IF(B917&lt;&gt;0,VLOOKUP(B917,#REF!,2,FALSE),"")</f>
        <v>#REF!</v>
      </c>
    </row>
    <row r="918" spans="1:28" s="55" customFormat="1" ht="45">
      <c r="A918" s="36" t="s">
        <v>3692</v>
      </c>
      <c r="B918" s="20">
        <v>1573</v>
      </c>
      <c r="C918" s="439" t="s">
        <v>3752</v>
      </c>
      <c r="D918" s="21" t="s">
        <v>12</v>
      </c>
      <c r="E918" s="21" t="s">
        <v>17</v>
      </c>
      <c r="F918" s="22">
        <v>22</v>
      </c>
      <c r="G918" s="22">
        <f t="shared" si="282"/>
        <v>1.1984999999999999</v>
      </c>
      <c r="H918" s="22">
        <f t="shared" si="279"/>
        <v>1.52</v>
      </c>
      <c r="I918" s="147">
        <f t="shared" si="280"/>
        <v>33.44</v>
      </c>
      <c r="J918" s="148"/>
      <c r="K918" s="148"/>
      <c r="L918" s="148"/>
      <c r="M918" s="148">
        <v>1.34</v>
      </c>
      <c r="N918" s="148">
        <v>1.7</v>
      </c>
      <c r="O918" s="148">
        <v>37.4</v>
      </c>
      <c r="P918" s="494"/>
      <c r="Q918" s="148">
        <f t="shared" si="271"/>
        <v>0</v>
      </c>
      <c r="R918" s="148"/>
      <c r="S918" s="148">
        <f t="shared" si="281"/>
        <v>0</v>
      </c>
      <c r="T918" s="148">
        <f t="shared" si="270"/>
        <v>22</v>
      </c>
      <c r="U918" s="148">
        <f t="shared" si="275"/>
        <v>37.4</v>
      </c>
      <c r="V918" s="379"/>
      <c r="W918" s="379"/>
      <c r="X918" s="57" t="e">
        <f>IF(B918&lt;&gt;0,VLOOKUP(B918,#REF!,4,FALSE),"")</f>
        <v>#REF!</v>
      </c>
      <c r="Y918" s="334" t="s">
        <v>3188</v>
      </c>
      <c r="Z918" s="334">
        <f t="shared" si="283"/>
        <v>26.366999999999997</v>
      </c>
      <c r="AA918" s="57"/>
      <c r="AB918" s="58" t="e">
        <f>IF(B918&lt;&gt;0,VLOOKUP(B918,#REF!,2,FALSE),"")</f>
        <v>#REF!</v>
      </c>
    </row>
    <row r="919" spans="1:28" s="55" customFormat="1" ht="45">
      <c r="A919" s="36" t="s">
        <v>3693</v>
      </c>
      <c r="B919" s="20">
        <v>1574</v>
      </c>
      <c r="C919" s="439" t="s">
        <v>3762</v>
      </c>
      <c r="D919" s="21" t="s">
        <v>12</v>
      </c>
      <c r="E919" s="21" t="s">
        <v>17</v>
      </c>
      <c r="F919" s="22">
        <v>11</v>
      </c>
      <c r="G919" s="22">
        <f t="shared" si="282"/>
        <v>1.3005</v>
      </c>
      <c r="H919" s="22">
        <f t="shared" si="279"/>
        <v>1.65</v>
      </c>
      <c r="I919" s="147">
        <f t="shared" si="280"/>
        <v>18.149999999999999</v>
      </c>
      <c r="J919" s="148"/>
      <c r="K919" s="148"/>
      <c r="L919" s="148"/>
      <c r="M919" s="148">
        <v>1.45</v>
      </c>
      <c r="N919" s="148">
        <v>1.84</v>
      </c>
      <c r="O919" s="148">
        <v>20.239999999999998</v>
      </c>
      <c r="P919" s="494"/>
      <c r="Q919" s="148">
        <f t="shared" si="271"/>
        <v>0</v>
      </c>
      <c r="R919" s="148"/>
      <c r="S919" s="148">
        <f t="shared" si="281"/>
        <v>0</v>
      </c>
      <c r="T919" s="148">
        <f t="shared" si="270"/>
        <v>11</v>
      </c>
      <c r="U919" s="148">
        <f t="shared" si="275"/>
        <v>20.239999999999998</v>
      </c>
      <c r="V919" s="379"/>
      <c r="W919" s="379"/>
      <c r="X919" s="57" t="e">
        <f>IF(B919&lt;&gt;0,VLOOKUP(B919,#REF!,4,FALSE),"")</f>
        <v>#REF!</v>
      </c>
      <c r="Y919" s="334" t="s">
        <v>3033</v>
      </c>
      <c r="Z919" s="334">
        <f t="shared" si="283"/>
        <v>14.3055</v>
      </c>
      <c r="AA919" s="57"/>
      <c r="AB919" s="58" t="e">
        <f>IF(B919&lt;&gt;0,VLOOKUP(B919,#REF!,2,FALSE),"")</f>
        <v>#REF!</v>
      </c>
    </row>
    <row r="920" spans="1:28" s="55" customFormat="1" ht="45">
      <c r="A920" s="36" t="s">
        <v>3694</v>
      </c>
      <c r="B920" s="20">
        <v>1575</v>
      </c>
      <c r="C920" s="439" t="s">
        <v>3759</v>
      </c>
      <c r="D920" s="21" t="s">
        <v>12</v>
      </c>
      <c r="E920" s="21" t="s">
        <v>17</v>
      </c>
      <c r="F920" s="22">
        <v>11</v>
      </c>
      <c r="G920" s="22">
        <f t="shared" si="282"/>
        <v>1.5470000000000002</v>
      </c>
      <c r="H920" s="22">
        <f t="shared" si="279"/>
        <v>1.96</v>
      </c>
      <c r="I920" s="147">
        <f t="shared" si="280"/>
        <v>21.56</v>
      </c>
      <c r="J920" s="148"/>
      <c r="K920" s="148"/>
      <c r="L920" s="148"/>
      <c r="M920" s="148">
        <v>1.72</v>
      </c>
      <c r="N920" s="148">
        <v>2.1800000000000002</v>
      </c>
      <c r="O920" s="148">
        <v>23.98</v>
      </c>
      <c r="P920" s="494"/>
      <c r="Q920" s="148">
        <f t="shared" si="271"/>
        <v>0</v>
      </c>
      <c r="R920" s="148"/>
      <c r="S920" s="148">
        <f t="shared" si="281"/>
        <v>0</v>
      </c>
      <c r="T920" s="148">
        <f t="shared" si="270"/>
        <v>11</v>
      </c>
      <c r="U920" s="148">
        <f t="shared" si="275"/>
        <v>23.98</v>
      </c>
      <c r="V920" s="379"/>
      <c r="W920" s="379"/>
      <c r="X920" s="57" t="e">
        <f>IF(B920&lt;&gt;0,VLOOKUP(B920,#REF!,4,FALSE),"")</f>
        <v>#REF!</v>
      </c>
      <c r="Y920" s="334" t="s">
        <v>1861</v>
      </c>
      <c r="Z920" s="334">
        <f t="shared" si="283"/>
        <v>17.017000000000003</v>
      </c>
      <c r="AA920" s="57"/>
      <c r="AB920" s="58" t="e">
        <f>IF(B920&lt;&gt;0,VLOOKUP(B920,#REF!,2,FALSE),"")</f>
        <v>#REF!</v>
      </c>
    </row>
    <row r="921" spans="1:28" s="55" customFormat="1" ht="45">
      <c r="A921" s="19" t="s">
        <v>1286</v>
      </c>
      <c r="B921" s="20">
        <v>91930</v>
      </c>
      <c r="C921" s="19" t="s">
        <v>1731</v>
      </c>
      <c r="D921" s="21" t="s">
        <v>12</v>
      </c>
      <c r="E921" s="21" t="s">
        <v>52</v>
      </c>
      <c r="F921" s="22">
        <v>2</v>
      </c>
      <c r="G921" s="22">
        <f t="shared" si="282"/>
        <v>7.0379999999999994</v>
      </c>
      <c r="H921" s="22">
        <f t="shared" si="279"/>
        <v>8.92</v>
      </c>
      <c r="I921" s="147">
        <f t="shared" si="280"/>
        <v>17.84</v>
      </c>
      <c r="J921" s="148"/>
      <c r="K921" s="148"/>
      <c r="L921" s="148"/>
      <c r="M921" s="148">
        <v>7.84</v>
      </c>
      <c r="N921" s="148">
        <v>9.94</v>
      </c>
      <c r="O921" s="148">
        <v>19.88</v>
      </c>
      <c r="P921" s="494"/>
      <c r="Q921" s="148">
        <f t="shared" si="271"/>
        <v>0</v>
      </c>
      <c r="R921" s="148"/>
      <c r="S921" s="148">
        <f t="shared" si="281"/>
        <v>0</v>
      </c>
      <c r="T921" s="148">
        <f t="shared" si="270"/>
        <v>2</v>
      </c>
      <c r="U921" s="148">
        <f t="shared" si="275"/>
        <v>19.88</v>
      </c>
      <c r="V921" s="379"/>
      <c r="W921" s="379"/>
      <c r="X921" s="57" t="e">
        <f>IF(B921&lt;&gt;0,VLOOKUP(B921,#REF!,4,FALSE),"")</f>
        <v>#REF!</v>
      </c>
      <c r="Y921" s="334" t="s">
        <v>3110</v>
      </c>
      <c r="Z921" s="334">
        <f t="shared" si="283"/>
        <v>14.075999999999999</v>
      </c>
      <c r="AA921" s="57"/>
      <c r="AB921" s="58" t="e">
        <f>IF(B921&lt;&gt;0,VLOOKUP(B921,#REF!,2,FALSE),"")</f>
        <v>#REF!</v>
      </c>
    </row>
    <row r="922" spans="1:28" s="55" customFormat="1" ht="15" customHeight="1">
      <c r="A922" s="229" t="s">
        <v>1287</v>
      </c>
      <c r="B922" s="229"/>
      <c r="C922" s="229" t="s">
        <v>275</v>
      </c>
      <c r="D922" s="230"/>
      <c r="E922" s="230"/>
      <c r="F922" s="230"/>
      <c r="G922" s="22"/>
      <c r="H922" s="230"/>
      <c r="I922" s="445"/>
      <c r="J922" s="440"/>
      <c r="K922" s="440"/>
      <c r="L922" s="440"/>
      <c r="M922" s="440"/>
      <c r="N922" s="440"/>
      <c r="O922" s="440"/>
      <c r="P922" s="492"/>
      <c r="Q922" s="148">
        <f t="shared" si="271"/>
        <v>0</v>
      </c>
      <c r="R922" s="440"/>
      <c r="S922" s="440"/>
      <c r="T922" s="148">
        <f t="shared" si="270"/>
        <v>0</v>
      </c>
      <c r="U922" s="148">
        <f t="shared" si="275"/>
        <v>0</v>
      </c>
      <c r="V922" s="330"/>
      <c r="W922" s="330"/>
      <c r="X922" s="58"/>
      <c r="Y922" s="334"/>
      <c r="Z922" s="334">
        <f t="shared" si="283"/>
        <v>0</v>
      </c>
      <c r="AA922" s="58"/>
      <c r="AB922" s="58"/>
    </row>
    <row r="923" spans="1:28" s="55" customFormat="1" ht="75">
      <c r="A923" s="36" t="s">
        <v>3695</v>
      </c>
      <c r="B923" s="20">
        <v>101878</v>
      </c>
      <c r="C923" s="439" t="s">
        <v>3758</v>
      </c>
      <c r="D923" s="21" t="s">
        <v>12</v>
      </c>
      <c r="E923" s="21" t="s">
        <v>17</v>
      </c>
      <c r="F923" s="22">
        <v>1</v>
      </c>
      <c r="G923" s="22">
        <f t="shared" si="282"/>
        <v>428.91849999999999</v>
      </c>
      <c r="H923" s="22">
        <f t="shared" ref="H923:H933" si="284">ROUND(G923*(1+$X$14),2)</f>
        <v>543.91</v>
      </c>
      <c r="I923" s="147">
        <f t="shared" ref="I923:I933" si="285">ROUND(H923*F923,2)</f>
        <v>543.91</v>
      </c>
      <c r="J923" s="148"/>
      <c r="K923" s="148"/>
      <c r="L923" s="148"/>
      <c r="M923" s="148">
        <v>477.82</v>
      </c>
      <c r="N923" s="148">
        <v>605.91999999999996</v>
      </c>
      <c r="O923" s="148">
        <v>605.91999999999996</v>
      </c>
      <c r="P923" s="494"/>
      <c r="Q923" s="148">
        <f t="shared" si="271"/>
        <v>0</v>
      </c>
      <c r="R923" s="148"/>
      <c r="S923" s="148">
        <f t="shared" ref="S923:S933" si="286">ROUND(R923*P923,2)</f>
        <v>0</v>
      </c>
      <c r="T923" s="148">
        <f t="shared" si="270"/>
        <v>1</v>
      </c>
      <c r="U923" s="148">
        <f t="shared" si="275"/>
        <v>605.91999999999996</v>
      </c>
      <c r="V923" s="379"/>
      <c r="W923" s="379"/>
      <c r="X923" s="57" t="e">
        <f>IF(B923&lt;&gt;0,VLOOKUP(B923,#REF!,4,FALSE),"")</f>
        <v>#REF!</v>
      </c>
      <c r="Y923" s="334" t="s">
        <v>3246</v>
      </c>
      <c r="Z923" s="334">
        <f t="shared" si="283"/>
        <v>428.91849999999999</v>
      </c>
      <c r="AA923" s="57"/>
      <c r="AB923" s="58" t="e">
        <f>IF(B923&lt;&gt;0,VLOOKUP(B923,#REF!,2,FALSE),"")</f>
        <v>#REF!</v>
      </c>
    </row>
    <row r="924" spans="1:28" s="55" customFormat="1" ht="30">
      <c r="A924" s="19" t="s">
        <v>1288</v>
      </c>
      <c r="B924" s="20">
        <v>9041</v>
      </c>
      <c r="C924" s="30" t="str">
        <f>C912</f>
        <v>DISPOSITIVO DE PROTEÇÃO CONTRA SURTO DE TENSÃO DPS 60KA - 275V</v>
      </c>
      <c r="D924" s="21" t="s">
        <v>44</v>
      </c>
      <c r="E924" s="21" t="s">
        <v>17</v>
      </c>
      <c r="F924" s="22">
        <v>4</v>
      </c>
      <c r="G924" s="22">
        <f t="shared" si="282"/>
        <v>97.393000000000001</v>
      </c>
      <c r="H924" s="22">
        <f t="shared" si="284"/>
        <v>123.5</v>
      </c>
      <c r="I924" s="147">
        <f t="shared" si="285"/>
        <v>494</v>
      </c>
      <c r="J924" s="148"/>
      <c r="K924" s="148"/>
      <c r="L924" s="148"/>
      <c r="M924" s="148">
        <v>108.5</v>
      </c>
      <c r="N924" s="148">
        <v>137.59</v>
      </c>
      <c r="O924" s="148">
        <v>550.36</v>
      </c>
      <c r="P924" s="494"/>
      <c r="Q924" s="148">
        <f t="shared" si="271"/>
        <v>0</v>
      </c>
      <c r="R924" s="148"/>
      <c r="S924" s="148">
        <f t="shared" si="286"/>
        <v>0</v>
      </c>
      <c r="T924" s="148">
        <f t="shared" si="270"/>
        <v>4</v>
      </c>
      <c r="U924" s="148">
        <f t="shared" si="275"/>
        <v>550.36</v>
      </c>
      <c r="V924" s="379"/>
      <c r="W924" s="379"/>
      <c r="X924" s="57">
        <f>X912</f>
        <v>97.39</v>
      </c>
      <c r="Y924" s="334">
        <v>114.58</v>
      </c>
      <c r="Z924" s="334">
        <f t="shared" si="283"/>
        <v>389.572</v>
      </c>
      <c r="AA924" s="57"/>
      <c r="AB924" s="58"/>
    </row>
    <row r="925" spans="1:28" s="55" customFormat="1" ht="30">
      <c r="A925" s="19" t="s">
        <v>1289</v>
      </c>
      <c r="B925" s="20">
        <v>93654</v>
      </c>
      <c r="C925" s="19" t="s">
        <v>1730</v>
      </c>
      <c r="D925" s="21" t="s">
        <v>12</v>
      </c>
      <c r="E925" s="21" t="s">
        <v>17</v>
      </c>
      <c r="F925" s="22">
        <v>2</v>
      </c>
      <c r="G925" s="22">
        <f t="shared" si="282"/>
        <v>9.6050000000000004</v>
      </c>
      <c r="H925" s="22">
        <f t="shared" si="284"/>
        <v>12.18</v>
      </c>
      <c r="I925" s="147">
        <f t="shared" si="285"/>
        <v>24.36</v>
      </c>
      <c r="J925" s="148"/>
      <c r="K925" s="148"/>
      <c r="L925" s="148"/>
      <c r="M925" s="148">
        <v>10.7</v>
      </c>
      <c r="N925" s="148">
        <v>13.57</v>
      </c>
      <c r="O925" s="148">
        <v>27.14</v>
      </c>
      <c r="P925" s="494"/>
      <c r="Q925" s="148">
        <f t="shared" si="271"/>
        <v>0</v>
      </c>
      <c r="R925" s="148"/>
      <c r="S925" s="148">
        <f t="shared" si="286"/>
        <v>0</v>
      </c>
      <c r="T925" s="148">
        <f t="shared" si="270"/>
        <v>2</v>
      </c>
      <c r="U925" s="148">
        <f t="shared" si="275"/>
        <v>27.14</v>
      </c>
      <c r="V925" s="379"/>
      <c r="W925" s="379"/>
      <c r="X925" s="57" t="e">
        <f>IF(B925&lt;&gt;0,VLOOKUP(B925,#REF!,4,FALSE),"")</f>
        <v>#REF!</v>
      </c>
      <c r="Y925" s="334" t="s">
        <v>3240</v>
      </c>
      <c r="Z925" s="334">
        <f t="shared" si="283"/>
        <v>19.21</v>
      </c>
      <c r="AA925" s="57"/>
      <c r="AB925" s="58" t="e">
        <f>IF(B925&lt;&gt;0,VLOOKUP(B925,#REF!,2,FALSE),"")</f>
        <v>#REF!</v>
      </c>
    </row>
    <row r="926" spans="1:28" s="55" customFormat="1" ht="30">
      <c r="A926" s="19" t="s">
        <v>1290</v>
      </c>
      <c r="B926" s="20">
        <v>93669</v>
      </c>
      <c r="C926" s="19" t="s">
        <v>1732</v>
      </c>
      <c r="D926" s="21" t="s">
        <v>12</v>
      </c>
      <c r="E926" s="21" t="s">
        <v>17</v>
      </c>
      <c r="F926" s="22">
        <v>1</v>
      </c>
      <c r="G926" s="22">
        <f t="shared" si="282"/>
        <v>61.429499999999997</v>
      </c>
      <c r="H926" s="22">
        <f t="shared" si="284"/>
        <v>77.900000000000006</v>
      </c>
      <c r="I926" s="147">
        <f t="shared" si="285"/>
        <v>77.900000000000006</v>
      </c>
      <c r="J926" s="148"/>
      <c r="K926" s="148"/>
      <c r="L926" s="148"/>
      <c r="M926" s="148">
        <v>68.430000000000007</v>
      </c>
      <c r="N926" s="148">
        <v>86.78</v>
      </c>
      <c r="O926" s="148">
        <v>86.78</v>
      </c>
      <c r="P926" s="494"/>
      <c r="Q926" s="148">
        <f t="shared" si="271"/>
        <v>0</v>
      </c>
      <c r="R926" s="148"/>
      <c r="S926" s="148">
        <f t="shared" si="286"/>
        <v>0</v>
      </c>
      <c r="T926" s="148">
        <f t="shared" si="270"/>
        <v>1</v>
      </c>
      <c r="U926" s="148">
        <f t="shared" si="275"/>
        <v>86.78</v>
      </c>
      <c r="V926" s="379"/>
      <c r="W926" s="379"/>
      <c r="X926" s="57" t="e">
        <f>IF(B926&lt;&gt;0,VLOOKUP(B926,#REF!,4,FALSE),"")</f>
        <v>#REF!</v>
      </c>
      <c r="Y926" s="334" t="s">
        <v>3242</v>
      </c>
      <c r="Z926" s="334">
        <f t="shared" si="283"/>
        <v>61.429499999999997</v>
      </c>
      <c r="AA926" s="57"/>
      <c r="AB926" s="58" t="e">
        <f>IF(B926&lt;&gt;0,VLOOKUP(B926,#REF!,2,FALSE),"")</f>
        <v>#REF!</v>
      </c>
    </row>
    <row r="927" spans="1:28" s="55" customFormat="1" ht="30">
      <c r="A927" s="19" t="s">
        <v>1291</v>
      </c>
      <c r="B927" s="20">
        <v>93671</v>
      </c>
      <c r="C927" s="19" t="s">
        <v>1733</v>
      </c>
      <c r="D927" s="21" t="s">
        <v>12</v>
      </c>
      <c r="E927" s="21" t="s">
        <v>17</v>
      </c>
      <c r="F927" s="22">
        <v>1</v>
      </c>
      <c r="G927" s="22">
        <f t="shared" si="282"/>
        <v>64.021999999999991</v>
      </c>
      <c r="H927" s="22">
        <f t="shared" si="284"/>
        <v>81.19</v>
      </c>
      <c r="I927" s="147">
        <f t="shared" si="285"/>
        <v>81.19</v>
      </c>
      <c r="J927" s="148"/>
      <c r="K927" s="148"/>
      <c r="L927" s="148"/>
      <c r="M927" s="148">
        <v>71.319999999999993</v>
      </c>
      <c r="N927" s="148">
        <v>90.44</v>
      </c>
      <c r="O927" s="148">
        <v>90.44</v>
      </c>
      <c r="P927" s="494"/>
      <c r="Q927" s="148">
        <f t="shared" si="271"/>
        <v>0</v>
      </c>
      <c r="R927" s="148"/>
      <c r="S927" s="148">
        <f t="shared" si="286"/>
        <v>0</v>
      </c>
      <c r="T927" s="148">
        <f t="shared" si="270"/>
        <v>1</v>
      </c>
      <c r="U927" s="148">
        <f t="shared" si="275"/>
        <v>90.44</v>
      </c>
      <c r="V927" s="379"/>
      <c r="W927" s="379"/>
      <c r="X927" s="57" t="e">
        <f>IF(B927&lt;&gt;0,VLOOKUP(B927,#REF!,4,FALSE),"")</f>
        <v>#REF!</v>
      </c>
      <c r="Y927" s="334" t="s">
        <v>3178</v>
      </c>
      <c r="Z927" s="334">
        <f t="shared" si="283"/>
        <v>64.021999999999991</v>
      </c>
      <c r="AA927" s="57"/>
      <c r="AB927" s="58" t="e">
        <f>IF(B927&lt;&gt;0,VLOOKUP(B927,#REF!,2,FALSE),"")</f>
        <v>#REF!</v>
      </c>
    </row>
    <row r="928" spans="1:28" s="55" customFormat="1" ht="30">
      <c r="A928" s="19" t="s">
        <v>1292</v>
      </c>
      <c r="B928" s="20">
        <v>93672</v>
      </c>
      <c r="C928" s="19" t="s">
        <v>1734</v>
      </c>
      <c r="D928" s="21" t="s">
        <v>12</v>
      </c>
      <c r="E928" s="21" t="s">
        <v>17</v>
      </c>
      <c r="F928" s="22">
        <v>1</v>
      </c>
      <c r="G928" s="22">
        <f t="shared" si="282"/>
        <v>67.915000000000006</v>
      </c>
      <c r="H928" s="22">
        <f t="shared" si="284"/>
        <v>86.12</v>
      </c>
      <c r="I928" s="147">
        <f t="shared" si="285"/>
        <v>86.12</v>
      </c>
      <c r="J928" s="148"/>
      <c r="K928" s="148"/>
      <c r="L928" s="148"/>
      <c r="M928" s="148">
        <v>75.66</v>
      </c>
      <c r="N928" s="148">
        <v>95.94</v>
      </c>
      <c r="O928" s="148">
        <v>95.94</v>
      </c>
      <c r="P928" s="494"/>
      <c r="Q928" s="148">
        <f t="shared" si="271"/>
        <v>0</v>
      </c>
      <c r="R928" s="148"/>
      <c r="S928" s="148">
        <f t="shared" si="286"/>
        <v>0</v>
      </c>
      <c r="T928" s="148">
        <f t="shared" si="270"/>
        <v>1</v>
      </c>
      <c r="U928" s="148">
        <f t="shared" si="275"/>
        <v>95.94</v>
      </c>
      <c r="V928" s="379"/>
      <c r="W928" s="379"/>
      <c r="X928" s="57" t="e">
        <f>IF(B928&lt;&gt;0,VLOOKUP(B928,#REF!,4,FALSE),"")</f>
        <v>#REF!</v>
      </c>
      <c r="Y928" s="334" t="s">
        <v>3243</v>
      </c>
      <c r="Z928" s="334">
        <f t="shared" si="283"/>
        <v>67.915000000000006</v>
      </c>
      <c r="AA928" s="57"/>
      <c r="AB928" s="58" t="e">
        <f>IF(B928&lt;&gt;0,VLOOKUP(B928,#REF!,2,FALSE),"")</f>
        <v>#REF!</v>
      </c>
    </row>
    <row r="929" spans="1:28" s="55" customFormat="1" ht="45">
      <c r="A929" s="36" t="s">
        <v>3696</v>
      </c>
      <c r="B929" s="20">
        <v>1571</v>
      </c>
      <c r="C929" s="439" t="s">
        <v>3754</v>
      </c>
      <c r="D929" s="21" t="s">
        <v>12</v>
      </c>
      <c r="E929" s="21" t="s">
        <v>17</v>
      </c>
      <c r="F929" s="22">
        <v>4</v>
      </c>
      <c r="G929" s="22">
        <f t="shared" si="282"/>
        <v>1.0114999999999998</v>
      </c>
      <c r="H929" s="22">
        <f t="shared" si="284"/>
        <v>1.28</v>
      </c>
      <c r="I929" s="147">
        <f t="shared" si="285"/>
        <v>5.12</v>
      </c>
      <c r="J929" s="148"/>
      <c r="K929" s="148"/>
      <c r="L929" s="148"/>
      <c r="M929" s="148">
        <v>1.1299999999999999</v>
      </c>
      <c r="N929" s="148">
        <v>1.43</v>
      </c>
      <c r="O929" s="148">
        <v>5.72</v>
      </c>
      <c r="P929" s="494"/>
      <c r="Q929" s="148">
        <f t="shared" si="271"/>
        <v>0</v>
      </c>
      <c r="R929" s="148"/>
      <c r="S929" s="148">
        <f t="shared" si="286"/>
        <v>0</v>
      </c>
      <c r="T929" s="148">
        <f t="shared" si="270"/>
        <v>4</v>
      </c>
      <c r="U929" s="148">
        <f t="shared" si="275"/>
        <v>5.72</v>
      </c>
      <c r="V929" s="379"/>
      <c r="W929" s="379"/>
      <c r="X929" s="57" t="e">
        <f>IF(B929&lt;&gt;0,VLOOKUP(B929,#REF!,4,FALSE),"")</f>
        <v>#REF!</v>
      </c>
      <c r="Y929" s="334" t="s">
        <v>1843</v>
      </c>
      <c r="Z929" s="334">
        <f t="shared" si="283"/>
        <v>4.0459999999999994</v>
      </c>
      <c r="AA929" s="57"/>
      <c r="AB929" s="58" t="e">
        <f>IF(B929&lt;&gt;0,VLOOKUP(B929,#REF!,2,FALSE),"")</f>
        <v>#REF!</v>
      </c>
    </row>
    <row r="930" spans="1:28" s="55" customFormat="1" ht="45">
      <c r="A930" s="36" t="s">
        <v>3697</v>
      </c>
      <c r="B930" s="20">
        <v>1573</v>
      </c>
      <c r="C930" s="439" t="s">
        <v>3752</v>
      </c>
      <c r="D930" s="21" t="s">
        <v>12</v>
      </c>
      <c r="E930" s="21" t="s">
        <v>17</v>
      </c>
      <c r="F930" s="22">
        <v>22</v>
      </c>
      <c r="G930" s="22">
        <f t="shared" si="282"/>
        <v>1.1984999999999999</v>
      </c>
      <c r="H930" s="22">
        <f t="shared" si="284"/>
        <v>1.52</v>
      </c>
      <c r="I930" s="147">
        <f t="shared" si="285"/>
        <v>33.44</v>
      </c>
      <c r="J930" s="148"/>
      <c r="K930" s="148"/>
      <c r="L930" s="148"/>
      <c r="M930" s="148">
        <v>1.34</v>
      </c>
      <c r="N930" s="148">
        <v>1.7</v>
      </c>
      <c r="O930" s="148">
        <v>37.4</v>
      </c>
      <c r="P930" s="494"/>
      <c r="Q930" s="148">
        <f t="shared" si="271"/>
        <v>0</v>
      </c>
      <c r="R930" s="148"/>
      <c r="S930" s="148">
        <f t="shared" si="286"/>
        <v>0</v>
      </c>
      <c r="T930" s="148">
        <f t="shared" si="270"/>
        <v>22</v>
      </c>
      <c r="U930" s="148">
        <f t="shared" si="275"/>
        <v>37.4</v>
      </c>
      <c r="V930" s="379"/>
      <c r="W930" s="379"/>
      <c r="X930" s="57" t="e">
        <f>IF(B930&lt;&gt;0,VLOOKUP(B930,#REF!,4,FALSE),"")</f>
        <v>#REF!</v>
      </c>
      <c r="Y930" s="334" t="s">
        <v>3188</v>
      </c>
      <c r="Z930" s="334">
        <f t="shared" si="283"/>
        <v>26.366999999999997</v>
      </c>
      <c r="AA930" s="57"/>
      <c r="AB930" s="58" t="e">
        <f>IF(B930&lt;&gt;0,VLOOKUP(B930,#REF!,2,FALSE),"")</f>
        <v>#REF!</v>
      </c>
    </row>
    <row r="931" spans="1:28" s="55" customFormat="1" ht="45">
      <c r="A931" s="36" t="s">
        <v>3698</v>
      </c>
      <c r="B931" s="20">
        <v>1574</v>
      </c>
      <c r="C931" s="439" t="s">
        <v>3762</v>
      </c>
      <c r="D931" s="21" t="s">
        <v>12</v>
      </c>
      <c r="E931" s="21" t="s">
        <v>17</v>
      </c>
      <c r="F931" s="22">
        <v>11</v>
      </c>
      <c r="G931" s="22">
        <f t="shared" si="282"/>
        <v>1.3005</v>
      </c>
      <c r="H931" s="22">
        <f t="shared" si="284"/>
        <v>1.65</v>
      </c>
      <c r="I931" s="147">
        <f t="shared" si="285"/>
        <v>18.149999999999999</v>
      </c>
      <c r="J931" s="148"/>
      <c r="K931" s="148"/>
      <c r="L931" s="148"/>
      <c r="M931" s="148">
        <v>1.45</v>
      </c>
      <c r="N931" s="148">
        <v>1.84</v>
      </c>
      <c r="O931" s="148">
        <v>20.239999999999998</v>
      </c>
      <c r="P931" s="494"/>
      <c r="Q931" s="148">
        <f t="shared" si="271"/>
        <v>0</v>
      </c>
      <c r="R931" s="148"/>
      <c r="S931" s="148">
        <f t="shared" si="286"/>
        <v>0</v>
      </c>
      <c r="T931" s="148">
        <f t="shared" si="270"/>
        <v>11</v>
      </c>
      <c r="U931" s="148">
        <f t="shared" si="275"/>
        <v>20.239999999999998</v>
      </c>
      <c r="V931" s="379"/>
      <c r="W931" s="379"/>
      <c r="X931" s="57" t="e">
        <f>IF(B931&lt;&gt;0,VLOOKUP(B931,#REF!,4,FALSE),"")</f>
        <v>#REF!</v>
      </c>
      <c r="Y931" s="334" t="s">
        <v>3033</v>
      </c>
      <c r="Z931" s="334">
        <f t="shared" si="283"/>
        <v>14.3055</v>
      </c>
      <c r="AA931" s="57"/>
      <c r="AB931" s="58" t="e">
        <f>IF(B931&lt;&gt;0,VLOOKUP(B931,#REF!,2,FALSE),"")</f>
        <v>#REF!</v>
      </c>
    </row>
    <row r="932" spans="1:28" s="55" customFormat="1" ht="45">
      <c r="A932" s="36" t="s">
        <v>3699</v>
      </c>
      <c r="B932" s="20">
        <v>1575</v>
      </c>
      <c r="C932" s="439" t="s">
        <v>3759</v>
      </c>
      <c r="D932" s="21" t="s">
        <v>12</v>
      </c>
      <c r="E932" s="21" t="s">
        <v>17</v>
      </c>
      <c r="F932" s="22">
        <v>11</v>
      </c>
      <c r="G932" s="22">
        <f t="shared" si="282"/>
        <v>1.5470000000000002</v>
      </c>
      <c r="H932" s="22">
        <f t="shared" si="284"/>
        <v>1.96</v>
      </c>
      <c r="I932" s="147">
        <f t="shared" si="285"/>
        <v>21.56</v>
      </c>
      <c r="J932" s="148"/>
      <c r="K932" s="148"/>
      <c r="L932" s="148"/>
      <c r="M932" s="148">
        <v>1.72</v>
      </c>
      <c r="N932" s="148">
        <v>2.1800000000000002</v>
      </c>
      <c r="O932" s="148">
        <v>23.98</v>
      </c>
      <c r="P932" s="494"/>
      <c r="Q932" s="148">
        <f t="shared" si="271"/>
        <v>0</v>
      </c>
      <c r="R932" s="148"/>
      <c r="S932" s="148">
        <f t="shared" si="286"/>
        <v>0</v>
      </c>
      <c r="T932" s="148">
        <f t="shared" si="270"/>
        <v>11</v>
      </c>
      <c r="U932" s="148">
        <f t="shared" si="275"/>
        <v>23.98</v>
      </c>
      <c r="V932" s="379"/>
      <c r="W932" s="379"/>
      <c r="X932" s="57" t="e">
        <f>IF(B932&lt;&gt;0,VLOOKUP(B932,#REF!,4,FALSE),"")</f>
        <v>#REF!</v>
      </c>
      <c r="Y932" s="334" t="s">
        <v>1861</v>
      </c>
      <c r="Z932" s="334">
        <f t="shared" si="283"/>
        <v>17.017000000000003</v>
      </c>
      <c r="AA932" s="57"/>
      <c r="AB932" s="58" t="e">
        <f>IF(B932&lt;&gt;0,VLOOKUP(B932,#REF!,2,FALSE),"")</f>
        <v>#REF!</v>
      </c>
    </row>
    <row r="933" spans="1:28" s="55" customFormat="1" ht="45">
      <c r="A933" s="19" t="s">
        <v>1293</v>
      </c>
      <c r="B933" s="20">
        <v>91930</v>
      </c>
      <c r="C933" s="19" t="s">
        <v>1731</v>
      </c>
      <c r="D933" s="21" t="s">
        <v>12</v>
      </c>
      <c r="E933" s="21" t="s">
        <v>52</v>
      </c>
      <c r="F933" s="22">
        <v>2</v>
      </c>
      <c r="G933" s="22">
        <f t="shared" si="282"/>
        <v>7.0379999999999994</v>
      </c>
      <c r="H933" s="22">
        <f t="shared" si="284"/>
        <v>8.92</v>
      </c>
      <c r="I933" s="147">
        <f t="shared" si="285"/>
        <v>17.84</v>
      </c>
      <c r="J933" s="148"/>
      <c r="K933" s="148"/>
      <c r="L933" s="148"/>
      <c r="M933" s="148">
        <v>7.84</v>
      </c>
      <c r="N933" s="148">
        <v>9.94</v>
      </c>
      <c r="O933" s="148">
        <v>19.88</v>
      </c>
      <c r="P933" s="494"/>
      <c r="Q933" s="148">
        <f t="shared" si="271"/>
        <v>0</v>
      </c>
      <c r="R933" s="148"/>
      <c r="S933" s="148">
        <f t="shared" si="286"/>
        <v>0</v>
      </c>
      <c r="T933" s="148">
        <f t="shared" si="270"/>
        <v>2</v>
      </c>
      <c r="U933" s="148">
        <f t="shared" si="275"/>
        <v>19.88</v>
      </c>
      <c r="V933" s="379"/>
      <c r="W933" s="379"/>
      <c r="X933" s="57" t="e">
        <f>IF(B933&lt;&gt;0,VLOOKUP(B933,#REF!,4,FALSE),"")</f>
        <v>#REF!</v>
      </c>
      <c r="Y933" s="334" t="s">
        <v>3110</v>
      </c>
      <c r="Z933" s="334">
        <f t="shared" si="283"/>
        <v>14.075999999999999</v>
      </c>
      <c r="AA933" s="57"/>
      <c r="AB933" s="58" t="e">
        <f>IF(B933&lt;&gt;0,VLOOKUP(B933,#REF!,2,FALSE),"")</f>
        <v>#REF!</v>
      </c>
    </row>
    <row r="934" spans="1:28" s="55" customFormat="1" ht="15" customHeight="1">
      <c r="A934" s="229" t="s">
        <v>1294</v>
      </c>
      <c r="B934" s="229"/>
      <c r="C934" s="229" t="s">
        <v>276</v>
      </c>
      <c r="D934" s="230"/>
      <c r="E934" s="230"/>
      <c r="F934" s="230"/>
      <c r="G934" s="22"/>
      <c r="H934" s="230"/>
      <c r="I934" s="445"/>
      <c r="J934" s="440"/>
      <c r="K934" s="440"/>
      <c r="L934" s="440"/>
      <c r="M934" s="440"/>
      <c r="N934" s="440"/>
      <c r="O934" s="440"/>
      <c r="P934" s="492"/>
      <c r="Q934" s="148">
        <f t="shared" si="271"/>
        <v>0</v>
      </c>
      <c r="R934" s="440"/>
      <c r="S934" s="440"/>
      <c r="T934" s="148">
        <f t="shared" ref="T934:T997" si="287">F934+P934-R934</f>
        <v>0</v>
      </c>
      <c r="U934" s="148">
        <f t="shared" si="275"/>
        <v>0</v>
      </c>
      <c r="V934" s="330"/>
      <c r="W934" s="330"/>
      <c r="X934" s="58"/>
      <c r="Y934" s="334"/>
      <c r="Z934" s="334">
        <f t="shared" si="283"/>
        <v>0</v>
      </c>
      <c r="AA934" s="58"/>
      <c r="AB934" s="58"/>
    </row>
    <row r="935" spans="1:28" s="55" customFormat="1" ht="75">
      <c r="A935" s="36" t="s">
        <v>3700</v>
      </c>
      <c r="B935" s="20">
        <v>101878</v>
      </c>
      <c r="C935" s="439" t="s">
        <v>3758</v>
      </c>
      <c r="D935" s="21" t="s">
        <v>12</v>
      </c>
      <c r="E935" s="21" t="s">
        <v>17</v>
      </c>
      <c r="F935" s="22">
        <v>1</v>
      </c>
      <c r="G935" s="22">
        <f t="shared" si="282"/>
        <v>428.91849999999999</v>
      </c>
      <c r="H935" s="22">
        <f t="shared" ref="H935:H948" si="288">ROUND(G935*(1+$X$14),2)</f>
        <v>543.91</v>
      </c>
      <c r="I935" s="147">
        <f t="shared" ref="I935:I948" si="289">ROUND(H935*F935,2)</f>
        <v>543.91</v>
      </c>
      <c r="J935" s="148"/>
      <c r="K935" s="148"/>
      <c r="L935" s="148"/>
      <c r="M935" s="148">
        <v>477.82</v>
      </c>
      <c r="N935" s="148">
        <v>605.91999999999996</v>
      </c>
      <c r="O935" s="148">
        <v>605.91999999999996</v>
      </c>
      <c r="P935" s="494"/>
      <c r="Q935" s="148">
        <f t="shared" si="271"/>
        <v>0</v>
      </c>
      <c r="R935" s="148"/>
      <c r="S935" s="148">
        <f t="shared" ref="S935:S948" si="290">ROUND(R935*P935,2)</f>
        <v>0</v>
      </c>
      <c r="T935" s="148">
        <f t="shared" si="287"/>
        <v>1</v>
      </c>
      <c r="U935" s="148">
        <f t="shared" si="275"/>
        <v>605.91999999999996</v>
      </c>
      <c r="V935" s="379"/>
      <c r="W935" s="379"/>
      <c r="X935" s="57" t="e">
        <f>IF(B935&lt;&gt;0,VLOOKUP(B935,#REF!,4,FALSE),"")</f>
        <v>#REF!</v>
      </c>
      <c r="Y935" s="334" t="s">
        <v>3246</v>
      </c>
      <c r="Z935" s="334">
        <f t="shared" si="283"/>
        <v>428.91849999999999</v>
      </c>
      <c r="AA935" s="57"/>
      <c r="AB935" s="58" t="e">
        <f>IF(B935&lt;&gt;0,VLOOKUP(B935,#REF!,2,FALSE),"")</f>
        <v>#REF!</v>
      </c>
    </row>
    <row r="936" spans="1:28" s="55" customFormat="1" ht="30">
      <c r="A936" s="19" t="s">
        <v>1295</v>
      </c>
      <c r="B936" s="20">
        <f>B924</f>
        <v>9041</v>
      </c>
      <c r="C936" s="19" t="str">
        <f>C924</f>
        <v>DISPOSITIVO DE PROTEÇÃO CONTRA SURTO DE TENSÃO DPS 60KA - 275V</v>
      </c>
      <c r="D936" s="21" t="s">
        <v>44</v>
      </c>
      <c r="E936" s="21" t="s">
        <v>17</v>
      </c>
      <c r="F936" s="22">
        <v>4</v>
      </c>
      <c r="G936" s="22">
        <f t="shared" si="282"/>
        <v>97.393000000000001</v>
      </c>
      <c r="H936" s="22">
        <f t="shared" si="288"/>
        <v>123.5</v>
      </c>
      <c r="I936" s="147">
        <f t="shared" si="289"/>
        <v>494</v>
      </c>
      <c r="J936" s="148"/>
      <c r="K936" s="148"/>
      <c r="L936" s="148"/>
      <c r="M936" s="148">
        <v>108.5</v>
      </c>
      <c r="N936" s="148">
        <v>137.59</v>
      </c>
      <c r="O936" s="148">
        <v>550.36</v>
      </c>
      <c r="P936" s="494"/>
      <c r="Q936" s="148">
        <f t="shared" ref="Q936:Q999" si="291">ROUND(P936*N936,2)</f>
        <v>0</v>
      </c>
      <c r="R936" s="148"/>
      <c r="S936" s="148">
        <f t="shared" si="290"/>
        <v>0</v>
      </c>
      <c r="T936" s="148">
        <f t="shared" si="287"/>
        <v>4</v>
      </c>
      <c r="U936" s="148">
        <f t="shared" si="275"/>
        <v>550.36</v>
      </c>
      <c r="V936" s="379"/>
      <c r="W936" s="379"/>
      <c r="X936" s="57">
        <f>'COMPOSIÇÃO DE CUSTOS'!G1869</f>
        <v>97.39</v>
      </c>
      <c r="Y936" s="334">
        <v>114.58</v>
      </c>
      <c r="Z936" s="334">
        <f t="shared" si="283"/>
        <v>389.572</v>
      </c>
      <c r="AA936" s="57"/>
      <c r="AB936" s="58"/>
    </row>
    <row r="937" spans="1:28" s="55" customFormat="1" ht="30">
      <c r="A937" s="19" t="s">
        <v>1296</v>
      </c>
      <c r="B937" s="20">
        <v>93653</v>
      </c>
      <c r="C937" s="19" t="s">
        <v>1735</v>
      </c>
      <c r="D937" s="21" t="s">
        <v>12</v>
      </c>
      <c r="E937" s="21" t="s">
        <v>17</v>
      </c>
      <c r="F937" s="22">
        <v>1</v>
      </c>
      <c r="G937" s="22">
        <f t="shared" si="282"/>
        <v>9.2735000000000003</v>
      </c>
      <c r="H937" s="22">
        <f t="shared" si="288"/>
        <v>11.76</v>
      </c>
      <c r="I937" s="147">
        <f t="shared" si="289"/>
        <v>11.76</v>
      </c>
      <c r="J937" s="148"/>
      <c r="K937" s="148"/>
      <c r="L937" s="148"/>
      <c r="M937" s="148">
        <v>10.33</v>
      </c>
      <c r="N937" s="148">
        <v>13.1</v>
      </c>
      <c r="O937" s="148">
        <v>13.1</v>
      </c>
      <c r="P937" s="494"/>
      <c r="Q937" s="148">
        <f t="shared" si="291"/>
        <v>0</v>
      </c>
      <c r="R937" s="148"/>
      <c r="S937" s="148">
        <f t="shared" si="290"/>
        <v>0</v>
      </c>
      <c r="T937" s="148">
        <f t="shared" si="287"/>
        <v>1</v>
      </c>
      <c r="U937" s="148">
        <f t="shared" si="275"/>
        <v>13.1</v>
      </c>
      <c r="V937" s="379"/>
      <c r="W937" s="379"/>
      <c r="X937" s="57" t="e">
        <f>IF(B937&lt;&gt;0,VLOOKUP(B937,#REF!,4,FALSE),"")</f>
        <v>#REF!</v>
      </c>
      <c r="Y937" s="334" t="s">
        <v>3226</v>
      </c>
      <c r="Z937" s="334">
        <f t="shared" si="283"/>
        <v>9.2735000000000003</v>
      </c>
      <c r="AA937" s="57"/>
      <c r="AB937" s="58" t="e">
        <f>IF(B937&lt;&gt;0,VLOOKUP(B937,#REF!,2,FALSE),"")</f>
        <v>#REF!</v>
      </c>
    </row>
    <row r="938" spans="1:28" s="55" customFormat="1" ht="30">
      <c r="A938" s="19" t="s">
        <v>1297</v>
      </c>
      <c r="B938" s="20">
        <v>93672</v>
      </c>
      <c r="C938" s="19" t="s">
        <v>1734</v>
      </c>
      <c r="D938" s="21" t="s">
        <v>12</v>
      </c>
      <c r="E938" s="21" t="s">
        <v>17</v>
      </c>
      <c r="F938" s="22">
        <v>3</v>
      </c>
      <c r="G938" s="22">
        <f t="shared" si="282"/>
        <v>67.915000000000006</v>
      </c>
      <c r="H938" s="22">
        <f t="shared" si="288"/>
        <v>86.12</v>
      </c>
      <c r="I938" s="147">
        <f t="shared" si="289"/>
        <v>258.36</v>
      </c>
      <c r="J938" s="148"/>
      <c r="K938" s="148"/>
      <c r="L938" s="148"/>
      <c r="M938" s="148">
        <v>75.66</v>
      </c>
      <c r="N938" s="148">
        <v>95.94</v>
      </c>
      <c r="O938" s="148">
        <v>287.82</v>
      </c>
      <c r="P938" s="494"/>
      <c r="Q938" s="148">
        <f t="shared" si="291"/>
        <v>0</v>
      </c>
      <c r="R938" s="148"/>
      <c r="S938" s="148">
        <f t="shared" si="290"/>
        <v>0</v>
      </c>
      <c r="T938" s="148">
        <f t="shared" si="287"/>
        <v>3</v>
      </c>
      <c r="U938" s="148">
        <f t="shared" si="275"/>
        <v>287.82</v>
      </c>
      <c r="V938" s="379"/>
      <c r="W938" s="379"/>
      <c r="X938" s="57" t="e">
        <f>IF(B938&lt;&gt;0,VLOOKUP(B938,#REF!,4,FALSE),"")</f>
        <v>#REF!</v>
      </c>
      <c r="Y938" s="334" t="s">
        <v>3243</v>
      </c>
      <c r="Z938" s="334">
        <f t="shared" si="283"/>
        <v>203.745</v>
      </c>
      <c r="AA938" s="57"/>
      <c r="AB938" s="58" t="e">
        <f>IF(B938&lt;&gt;0,VLOOKUP(B938,#REF!,2,FALSE),"")</f>
        <v>#REF!</v>
      </c>
    </row>
    <row r="939" spans="1:28" s="55" customFormat="1">
      <c r="A939" s="19" t="s">
        <v>1298</v>
      </c>
      <c r="B939" s="21" t="s">
        <v>2321</v>
      </c>
      <c r="C939" s="19" t="s">
        <v>277</v>
      </c>
      <c r="D939" s="21" t="s">
        <v>1914</v>
      </c>
      <c r="E939" s="21" t="s">
        <v>17</v>
      </c>
      <c r="F939" s="22">
        <v>2</v>
      </c>
      <c r="G939" s="22">
        <f t="shared" si="282"/>
        <v>100.232</v>
      </c>
      <c r="H939" s="22">
        <f t="shared" si="288"/>
        <v>127.1</v>
      </c>
      <c r="I939" s="147">
        <f t="shared" si="289"/>
        <v>254.2</v>
      </c>
      <c r="J939" s="148"/>
      <c r="K939" s="148"/>
      <c r="L939" s="148"/>
      <c r="M939" s="148">
        <v>111.66</v>
      </c>
      <c r="N939" s="148">
        <v>141.6</v>
      </c>
      <c r="O939" s="148">
        <v>283.2</v>
      </c>
      <c r="P939" s="494"/>
      <c r="Q939" s="148">
        <f t="shared" si="291"/>
        <v>0</v>
      </c>
      <c r="R939" s="148"/>
      <c r="S939" s="148">
        <f t="shared" si="290"/>
        <v>0</v>
      </c>
      <c r="T939" s="148">
        <f t="shared" si="287"/>
        <v>2</v>
      </c>
      <c r="U939" s="148">
        <f t="shared" si="275"/>
        <v>283.2</v>
      </c>
      <c r="V939" s="379"/>
      <c r="W939" s="379"/>
      <c r="X939" s="57">
        <f>'COMPOSIÇÃO DE CUSTOS'!G1413</f>
        <v>100.23</v>
      </c>
      <c r="Y939" s="334">
        <v>117.92</v>
      </c>
      <c r="Z939" s="334">
        <f t="shared" si="283"/>
        <v>200.464</v>
      </c>
      <c r="AA939" s="57"/>
      <c r="AB939" s="58"/>
    </row>
    <row r="940" spans="1:28" s="55" customFormat="1">
      <c r="A940" s="19" t="s">
        <v>1299</v>
      </c>
      <c r="B940" s="21" t="s">
        <v>2322</v>
      </c>
      <c r="C940" s="19" t="s">
        <v>278</v>
      </c>
      <c r="D940" s="21" t="s">
        <v>1914</v>
      </c>
      <c r="E940" s="21" t="s">
        <v>17</v>
      </c>
      <c r="F940" s="22">
        <v>2</v>
      </c>
      <c r="G940" s="22">
        <f t="shared" si="282"/>
        <v>113.61949999999999</v>
      </c>
      <c r="H940" s="22">
        <f t="shared" si="288"/>
        <v>144.08000000000001</v>
      </c>
      <c r="I940" s="147">
        <f t="shared" si="289"/>
        <v>288.16000000000003</v>
      </c>
      <c r="J940" s="148"/>
      <c r="K940" s="148"/>
      <c r="L940" s="148"/>
      <c r="M940" s="148">
        <v>126.57</v>
      </c>
      <c r="N940" s="148">
        <v>160.5</v>
      </c>
      <c r="O940" s="148">
        <v>321</v>
      </c>
      <c r="P940" s="494"/>
      <c r="Q940" s="148">
        <f t="shared" si="291"/>
        <v>0</v>
      </c>
      <c r="R940" s="148"/>
      <c r="S940" s="148">
        <f t="shared" si="290"/>
        <v>0</v>
      </c>
      <c r="T940" s="148">
        <f t="shared" si="287"/>
        <v>2</v>
      </c>
      <c r="U940" s="148">
        <f t="shared" si="275"/>
        <v>321</v>
      </c>
      <c r="V940" s="379"/>
      <c r="W940" s="379"/>
      <c r="X940" s="57">
        <f>'COMPOSIÇÃO DE CUSTOS'!G1420</f>
        <v>113.62</v>
      </c>
      <c r="Y940" s="334">
        <v>133.66999999999999</v>
      </c>
      <c r="Z940" s="334">
        <f t="shared" si="283"/>
        <v>227.23899999999998</v>
      </c>
      <c r="AA940" s="57"/>
      <c r="AB940" s="58"/>
    </row>
    <row r="941" spans="1:28" s="55" customFormat="1" ht="45">
      <c r="A941" s="19" t="s">
        <v>1300</v>
      </c>
      <c r="B941" s="21" t="s">
        <v>2326</v>
      </c>
      <c r="C941" s="19" t="s">
        <v>279</v>
      </c>
      <c r="D941" s="21" t="s">
        <v>1914</v>
      </c>
      <c r="E941" s="21" t="s">
        <v>17</v>
      </c>
      <c r="F941" s="22">
        <v>3</v>
      </c>
      <c r="G941" s="22">
        <f t="shared" si="282"/>
        <v>597.32899999999995</v>
      </c>
      <c r="H941" s="22">
        <f t="shared" si="288"/>
        <v>757.47</v>
      </c>
      <c r="I941" s="147">
        <f t="shared" si="289"/>
        <v>2272.41</v>
      </c>
      <c r="J941" s="148"/>
      <c r="K941" s="148"/>
      <c r="L941" s="148"/>
      <c r="M941" s="148">
        <v>665.43</v>
      </c>
      <c r="N941" s="148">
        <v>843.83</v>
      </c>
      <c r="O941" s="148">
        <v>2531.4899999999998</v>
      </c>
      <c r="P941" s="494"/>
      <c r="Q941" s="148">
        <f t="shared" si="291"/>
        <v>0</v>
      </c>
      <c r="R941" s="148"/>
      <c r="S941" s="148">
        <f t="shared" si="290"/>
        <v>0</v>
      </c>
      <c r="T941" s="148">
        <f t="shared" si="287"/>
        <v>3</v>
      </c>
      <c r="U941" s="148">
        <f t="shared" si="275"/>
        <v>2531.4899999999998</v>
      </c>
      <c r="V941" s="379"/>
      <c r="W941" s="379"/>
      <c r="X941" s="57">
        <f>'COMPOSIÇÃO DE CUSTOS'!G1428</f>
        <v>597.33000000000004</v>
      </c>
      <c r="Y941" s="334">
        <v>702.74</v>
      </c>
      <c r="Z941" s="334">
        <f t="shared" si="283"/>
        <v>1791.9869999999999</v>
      </c>
      <c r="AA941" s="57"/>
      <c r="AB941" s="58"/>
    </row>
    <row r="942" spans="1:28" s="55" customFormat="1" ht="30">
      <c r="A942" s="19" t="s">
        <v>1301</v>
      </c>
      <c r="B942" s="20">
        <v>64355</v>
      </c>
      <c r="C942" s="19" t="s">
        <v>280</v>
      </c>
      <c r="D942" s="21" t="s">
        <v>1914</v>
      </c>
      <c r="E942" s="21" t="s">
        <v>17</v>
      </c>
      <c r="F942" s="22">
        <v>1</v>
      </c>
      <c r="G942" s="22">
        <f t="shared" si="282"/>
        <v>182.55450000000002</v>
      </c>
      <c r="H942" s="22">
        <f t="shared" si="288"/>
        <v>231.5</v>
      </c>
      <c r="I942" s="147">
        <f t="shared" si="289"/>
        <v>231.5</v>
      </c>
      <c r="J942" s="148"/>
      <c r="K942" s="148"/>
      <c r="L942" s="148"/>
      <c r="M942" s="148">
        <v>203.37</v>
      </c>
      <c r="N942" s="148">
        <v>257.89</v>
      </c>
      <c r="O942" s="148">
        <v>257.89</v>
      </c>
      <c r="P942" s="494"/>
      <c r="Q942" s="148">
        <f t="shared" si="291"/>
        <v>0</v>
      </c>
      <c r="R942" s="148"/>
      <c r="S942" s="148">
        <f t="shared" si="290"/>
        <v>0</v>
      </c>
      <c r="T942" s="148">
        <f t="shared" si="287"/>
        <v>1</v>
      </c>
      <c r="U942" s="148">
        <f t="shared" si="275"/>
        <v>257.89</v>
      </c>
      <c r="V942" s="379"/>
      <c r="W942" s="379"/>
      <c r="X942" s="57">
        <f>'COMPOSIÇÃO DE CUSTOS'!G1435</f>
        <v>182.56</v>
      </c>
      <c r="Y942" s="334">
        <v>214.77</v>
      </c>
      <c r="Z942" s="334">
        <f t="shared" si="283"/>
        <v>182.55450000000002</v>
      </c>
      <c r="AA942" s="57"/>
      <c r="AB942" s="58"/>
    </row>
    <row r="943" spans="1:28" s="55" customFormat="1">
      <c r="A943" s="19" t="s">
        <v>1302</v>
      </c>
      <c r="B943" s="20">
        <v>3820</v>
      </c>
      <c r="C943" s="19" t="s">
        <v>281</v>
      </c>
      <c r="D943" s="21" t="s">
        <v>44</v>
      </c>
      <c r="E943" s="21" t="s">
        <v>17</v>
      </c>
      <c r="F943" s="22">
        <v>2</v>
      </c>
      <c r="G943" s="22">
        <f t="shared" si="282"/>
        <v>72.955500000000001</v>
      </c>
      <c r="H943" s="22">
        <f t="shared" si="288"/>
        <v>92.51</v>
      </c>
      <c r="I943" s="147">
        <f t="shared" si="289"/>
        <v>185.02</v>
      </c>
      <c r="J943" s="148"/>
      <c r="K943" s="148"/>
      <c r="L943" s="148"/>
      <c r="M943" s="148">
        <v>81.27</v>
      </c>
      <c r="N943" s="148">
        <v>103.06</v>
      </c>
      <c r="O943" s="148">
        <v>206.12</v>
      </c>
      <c r="P943" s="494"/>
      <c r="Q943" s="148">
        <f t="shared" si="291"/>
        <v>0</v>
      </c>
      <c r="R943" s="148"/>
      <c r="S943" s="148">
        <f t="shared" si="290"/>
        <v>0</v>
      </c>
      <c r="T943" s="148">
        <f t="shared" si="287"/>
        <v>2</v>
      </c>
      <c r="U943" s="148">
        <f t="shared" si="275"/>
        <v>206.12</v>
      </c>
      <c r="V943" s="379"/>
      <c r="W943" s="379"/>
      <c r="X943" s="57">
        <f>'COMPOSIÇÃO DE CUSTOS'!G1442</f>
        <v>72.959999999999994</v>
      </c>
      <c r="Y943" s="334">
        <v>85.83</v>
      </c>
      <c r="Z943" s="334">
        <f t="shared" si="283"/>
        <v>145.911</v>
      </c>
      <c r="AA943" s="57"/>
      <c r="AB943" s="58"/>
    </row>
    <row r="944" spans="1:28" s="55" customFormat="1">
      <c r="A944" s="19" t="s">
        <v>1303</v>
      </c>
      <c r="B944" s="20">
        <v>3803</v>
      </c>
      <c r="C944" s="19" t="s">
        <v>282</v>
      </c>
      <c r="D944" s="21" t="s">
        <v>44</v>
      </c>
      <c r="E944" s="21" t="s">
        <v>17</v>
      </c>
      <c r="F944" s="22">
        <v>4</v>
      </c>
      <c r="G944" s="22">
        <f t="shared" si="282"/>
        <v>51.858499999999999</v>
      </c>
      <c r="H944" s="22">
        <f t="shared" si="288"/>
        <v>65.760000000000005</v>
      </c>
      <c r="I944" s="147">
        <f t="shared" si="289"/>
        <v>263.04000000000002</v>
      </c>
      <c r="J944" s="148"/>
      <c r="K944" s="148"/>
      <c r="L944" s="148"/>
      <c r="M944" s="148">
        <v>57.77</v>
      </c>
      <c r="N944" s="148">
        <v>73.260000000000005</v>
      </c>
      <c r="O944" s="148">
        <v>293.04000000000002</v>
      </c>
      <c r="P944" s="494"/>
      <c r="Q944" s="148">
        <f t="shared" si="291"/>
        <v>0</v>
      </c>
      <c r="R944" s="148"/>
      <c r="S944" s="148">
        <f t="shared" si="290"/>
        <v>0</v>
      </c>
      <c r="T944" s="148">
        <f t="shared" si="287"/>
        <v>4</v>
      </c>
      <c r="U944" s="148">
        <f t="shared" si="275"/>
        <v>293.04000000000002</v>
      </c>
      <c r="V944" s="379"/>
      <c r="W944" s="379"/>
      <c r="X944" s="57">
        <f>'COMPOSIÇÃO DE CUSTOS'!G1449</f>
        <v>51.86</v>
      </c>
      <c r="Y944" s="334">
        <v>61.01</v>
      </c>
      <c r="Z944" s="334">
        <f t="shared" si="283"/>
        <v>207.434</v>
      </c>
      <c r="AA944" s="57"/>
      <c r="AB944" s="58"/>
    </row>
    <row r="945" spans="1:28" s="55" customFormat="1">
      <c r="A945" s="19" t="s">
        <v>1304</v>
      </c>
      <c r="B945" s="21" t="s">
        <v>2330</v>
      </c>
      <c r="C945" s="19" t="s">
        <v>283</v>
      </c>
      <c r="D945" s="21" t="s">
        <v>1914</v>
      </c>
      <c r="E945" s="21" t="s">
        <v>17</v>
      </c>
      <c r="F945" s="22">
        <v>4</v>
      </c>
      <c r="G945" s="22">
        <f t="shared" si="282"/>
        <v>40.910499999999999</v>
      </c>
      <c r="H945" s="22">
        <f t="shared" si="288"/>
        <v>51.88</v>
      </c>
      <c r="I945" s="147">
        <f t="shared" si="289"/>
        <v>207.52</v>
      </c>
      <c r="J945" s="148"/>
      <c r="K945" s="148"/>
      <c r="L945" s="148"/>
      <c r="M945" s="148">
        <v>45.57</v>
      </c>
      <c r="N945" s="148">
        <v>57.79</v>
      </c>
      <c r="O945" s="148">
        <v>231.16</v>
      </c>
      <c r="P945" s="494"/>
      <c r="Q945" s="148">
        <f t="shared" si="291"/>
        <v>0</v>
      </c>
      <c r="R945" s="148"/>
      <c r="S945" s="148">
        <f t="shared" si="290"/>
        <v>0</v>
      </c>
      <c r="T945" s="148">
        <f t="shared" si="287"/>
        <v>4</v>
      </c>
      <c r="U945" s="148">
        <f t="shared" ref="U945:U1008" si="292">O945+Q945-S945+L945</f>
        <v>231.16</v>
      </c>
      <c r="V945" s="379"/>
      <c r="W945" s="379"/>
      <c r="X945" s="57">
        <f>'COMPOSIÇÃO DE CUSTOS'!G1456</f>
        <v>40.909999999999997</v>
      </c>
      <c r="Y945" s="334">
        <v>48.13</v>
      </c>
      <c r="Z945" s="334">
        <f t="shared" si="283"/>
        <v>163.642</v>
      </c>
      <c r="AA945" s="57"/>
      <c r="AB945" s="58"/>
    </row>
    <row r="946" spans="1:28" s="55" customFormat="1" ht="45">
      <c r="A946" s="36" t="s">
        <v>3701</v>
      </c>
      <c r="B946" s="20">
        <v>1573</v>
      </c>
      <c r="C946" s="439" t="s">
        <v>3752</v>
      </c>
      <c r="D946" s="21" t="s">
        <v>12</v>
      </c>
      <c r="E946" s="21" t="s">
        <v>17</v>
      </c>
      <c r="F946" s="22">
        <v>44</v>
      </c>
      <c r="G946" s="22">
        <f t="shared" si="282"/>
        <v>1.1984999999999999</v>
      </c>
      <c r="H946" s="22">
        <f t="shared" si="288"/>
        <v>1.52</v>
      </c>
      <c r="I946" s="147">
        <f t="shared" si="289"/>
        <v>66.88</v>
      </c>
      <c r="J946" s="148"/>
      <c r="K946" s="148"/>
      <c r="L946" s="148"/>
      <c r="M946" s="148">
        <v>1.34</v>
      </c>
      <c r="N946" s="148">
        <v>1.7</v>
      </c>
      <c r="O946" s="148">
        <v>74.8</v>
      </c>
      <c r="P946" s="494"/>
      <c r="Q946" s="148">
        <f t="shared" si="291"/>
        <v>0</v>
      </c>
      <c r="R946" s="148"/>
      <c r="S946" s="148">
        <f t="shared" si="290"/>
        <v>0</v>
      </c>
      <c r="T946" s="148">
        <f t="shared" si="287"/>
        <v>44</v>
      </c>
      <c r="U946" s="148">
        <f t="shared" si="292"/>
        <v>74.8</v>
      </c>
      <c r="V946" s="379"/>
      <c r="W946" s="379"/>
      <c r="X946" s="57" t="e">
        <f>IF(B946&lt;&gt;0,VLOOKUP(B946,#REF!,4,FALSE),"")</f>
        <v>#REF!</v>
      </c>
      <c r="Y946" s="334" t="s">
        <v>3188</v>
      </c>
      <c r="Z946" s="334">
        <f t="shared" si="283"/>
        <v>52.733999999999995</v>
      </c>
      <c r="AA946" s="57"/>
      <c r="AB946" s="58" t="e">
        <f>IF(B946&lt;&gt;0,VLOOKUP(B946,#REF!,2,FALSE),"")</f>
        <v>#REF!</v>
      </c>
    </row>
    <row r="947" spans="1:28" s="55" customFormat="1" ht="45">
      <c r="A947" s="19" t="s">
        <v>1305</v>
      </c>
      <c r="B947" s="20">
        <v>91924</v>
      </c>
      <c r="C947" s="19" t="s">
        <v>1736</v>
      </c>
      <c r="D947" s="21" t="s">
        <v>12</v>
      </c>
      <c r="E947" s="21" t="s">
        <v>52</v>
      </c>
      <c r="F947" s="22">
        <v>15</v>
      </c>
      <c r="G947" s="22">
        <f t="shared" si="282"/>
        <v>2.0825</v>
      </c>
      <c r="H947" s="22">
        <f t="shared" si="288"/>
        <v>2.64</v>
      </c>
      <c r="I947" s="147">
        <f t="shared" si="289"/>
        <v>39.6</v>
      </c>
      <c r="J947" s="148"/>
      <c r="K947" s="148"/>
      <c r="L947" s="148"/>
      <c r="M947" s="148">
        <v>2.3199999999999998</v>
      </c>
      <c r="N947" s="148">
        <v>2.94</v>
      </c>
      <c r="O947" s="148">
        <v>44.1</v>
      </c>
      <c r="P947" s="494"/>
      <c r="Q947" s="148">
        <f t="shared" si="291"/>
        <v>0</v>
      </c>
      <c r="R947" s="148"/>
      <c r="S947" s="148">
        <f t="shared" si="290"/>
        <v>0</v>
      </c>
      <c r="T947" s="148">
        <f t="shared" si="287"/>
        <v>15</v>
      </c>
      <c r="U947" s="148">
        <f t="shared" si="292"/>
        <v>44.1</v>
      </c>
      <c r="V947" s="379"/>
      <c r="W947" s="379"/>
      <c r="X947" s="57" t="e">
        <f>IF(B947&lt;&gt;0,VLOOKUP(B947,#REF!,4,FALSE),"")</f>
        <v>#REF!</v>
      </c>
      <c r="Y947" s="334" t="s">
        <v>1838</v>
      </c>
      <c r="Z947" s="334">
        <f t="shared" si="283"/>
        <v>31.237500000000001</v>
      </c>
      <c r="AA947" s="57"/>
      <c r="AB947" s="58" t="e">
        <f>IF(B947&lt;&gt;0,VLOOKUP(B947,#REF!,2,FALSE),"")</f>
        <v>#REF!</v>
      </c>
    </row>
    <row r="948" spans="1:28" s="55" customFormat="1" ht="45">
      <c r="A948" s="19" t="s">
        <v>1306</v>
      </c>
      <c r="B948" s="20">
        <v>91930</v>
      </c>
      <c r="C948" s="19" t="s">
        <v>1731</v>
      </c>
      <c r="D948" s="21" t="s">
        <v>12</v>
      </c>
      <c r="E948" s="21" t="s">
        <v>52</v>
      </c>
      <c r="F948" s="22">
        <v>2</v>
      </c>
      <c r="G948" s="22">
        <f t="shared" si="282"/>
        <v>7.0379999999999994</v>
      </c>
      <c r="H948" s="22">
        <f t="shared" si="288"/>
        <v>8.92</v>
      </c>
      <c r="I948" s="147">
        <f t="shared" si="289"/>
        <v>17.84</v>
      </c>
      <c r="J948" s="148"/>
      <c r="K948" s="148"/>
      <c r="L948" s="148"/>
      <c r="M948" s="148">
        <v>7.84</v>
      </c>
      <c r="N948" s="148">
        <v>9.94</v>
      </c>
      <c r="O948" s="148">
        <v>19.88</v>
      </c>
      <c r="P948" s="494"/>
      <c r="Q948" s="148">
        <f t="shared" si="291"/>
        <v>0</v>
      </c>
      <c r="R948" s="148"/>
      <c r="S948" s="148">
        <f t="shared" si="290"/>
        <v>0</v>
      </c>
      <c r="T948" s="148">
        <f t="shared" si="287"/>
        <v>2</v>
      </c>
      <c r="U948" s="148">
        <f t="shared" si="292"/>
        <v>19.88</v>
      </c>
      <c r="V948" s="379"/>
      <c r="W948" s="379"/>
      <c r="X948" s="57" t="e">
        <f>IF(B948&lt;&gt;0,VLOOKUP(B948,#REF!,4,FALSE),"")</f>
        <v>#REF!</v>
      </c>
      <c r="Y948" s="334" t="s">
        <v>3110</v>
      </c>
      <c r="Z948" s="334">
        <f t="shared" si="283"/>
        <v>14.075999999999999</v>
      </c>
      <c r="AA948" s="57"/>
      <c r="AB948" s="58" t="e">
        <f>IF(B948&lt;&gt;0,VLOOKUP(B948,#REF!,2,FALSE),"")</f>
        <v>#REF!</v>
      </c>
    </row>
    <row r="949" spans="1:28" s="55" customFormat="1" ht="15" customHeight="1">
      <c r="A949" s="229" t="s">
        <v>1307</v>
      </c>
      <c r="B949" s="229"/>
      <c r="C949" s="229" t="s">
        <v>284</v>
      </c>
      <c r="D949" s="230"/>
      <c r="E949" s="230"/>
      <c r="F949" s="230"/>
      <c r="G949" s="22"/>
      <c r="H949" s="230"/>
      <c r="I949" s="445"/>
      <c r="J949" s="440"/>
      <c r="K949" s="440"/>
      <c r="L949" s="440"/>
      <c r="M949" s="440"/>
      <c r="N949" s="440"/>
      <c r="O949" s="440"/>
      <c r="P949" s="492"/>
      <c r="Q949" s="148">
        <f t="shared" si="291"/>
        <v>0</v>
      </c>
      <c r="R949" s="440"/>
      <c r="S949" s="440"/>
      <c r="T949" s="148">
        <f t="shared" si="287"/>
        <v>0</v>
      </c>
      <c r="U949" s="148">
        <f t="shared" si="292"/>
        <v>0</v>
      </c>
      <c r="V949" s="330"/>
      <c r="W949" s="330"/>
      <c r="X949" s="58"/>
      <c r="Y949" s="334"/>
      <c r="Z949" s="334">
        <f t="shared" si="283"/>
        <v>0</v>
      </c>
      <c r="AA949" s="58"/>
      <c r="AB949" s="58"/>
    </row>
    <row r="950" spans="1:28" s="55" customFormat="1" ht="75">
      <c r="A950" s="36" t="s">
        <v>3702</v>
      </c>
      <c r="B950" s="20">
        <v>101875</v>
      </c>
      <c r="C950" s="439" t="s">
        <v>3763</v>
      </c>
      <c r="D950" s="21" t="s">
        <v>12</v>
      </c>
      <c r="E950" s="21" t="s">
        <v>17</v>
      </c>
      <c r="F950" s="22">
        <v>1</v>
      </c>
      <c r="G950" s="22">
        <f t="shared" si="282"/>
        <v>316.88</v>
      </c>
      <c r="H950" s="22">
        <f>ROUND(G950*(1+$X$14),2)</f>
        <v>401.84</v>
      </c>
      <c r="I950" s="147">
        <f>ROUND(H950*F950,2)</f>
        <v>401.84</v>
      </c>
      <c r="J950" s="148"/>
      <c r="K950" s="148"/>
      <c r="L950" s="148"/>
      <c r="M950" s="148">
        <v>353.01</v>
      </c>
      <c r="N950" s="148">
        <v>447.65</v>
      </c>
      <c r="O950" s="148">
        <v>447.65</v>
      </c>
      <c r="P950" s="494"/>
      <c r="Q950" s="148">
        <f t="shared" si="291"/>
        <v>0</v>
      </c>
      <c r="R950" s="148"/>
      <c r="S950" s="148">
        <f>ROUND(R950*P950,2)</f>
        <v>0</v>
      </c>
      <c r="T950" s="148">
        <f t="shared" si="287"/>
        <v>1</v>
      </c>
      <c r="U950" s="148">
        <f t="shared" si="292"/>
        <v>447.65</v>
      </c>
      <c r="V950" s="379"/>
      <c r="W950" s="379"/>
      <c r="X950" s="57" t="e">
        <f>IF(B950&lt;&gt;0,VLOOKUP(B950,#REF!,4,FALSE),"")</f>
        <v>#REF!</v>
      </c>
      <c r="Y950" s="334" t="s">
        <v>3245</v>
      </c>
      <c r="Z950" s="334">
        <f t="shared" si="283"/>
        <v>316.88</v>
      </c>
      <c r="AA950" s="57"/>
      <c r="AB950" s="58" t="e">
        <f>IF(B950&lt;&gt;0,VLOOKUP(B950,#REF!,2,FALSE),"")</f>
        <v>#REF!</v>
      </c>
    </row>
    <row r="951" spans="1:28" s="55" customFormat="1">
      <c r="A951" s="19" t="s">
        <v>1308</v>
      </c>
      <c r="B951" s="20">
        <v>101894</v>
      </c>
      <c r="C951" s="19" t="s">
        <v>2486</v>
      </c>
      <c r="D951" s="21" t="s">
        <v>12</v>
      </c>
      <c r="E951" s="21" t="s">
        <v>17</v>
      </c>
      <c r="F951" s="22">
        <v>1</v>
      </c>
      <c r="G951" s="22">
        <f t="shared" si="282"/>
        <v>120.09649999999999</v>
      </c>
      <c r="H951" s="22">
        <f>ROUND(G951*(1+$X$14),2)</f>
        <v>152.29</v>
      </c>
      <c r="I951" s="147">
        <f>ROUND(H951*F951,2)</f>
        <v>152.29</v>
      </c>
      <c r="J951" s="148"/>
      <c r="K951" s="148"/>
      <c r="L951" s="148"/>
      <c r="M951" s="148">
        <v>133.79</v>
      </c>
      <c r="N951" s="148">
        <v>169.66</v>
      </c>
      <c r="O951" s="148">
        <v>169.66</v>
      </c>
      <c r="P951" s="494"/>
      <c r="Q951" s="148">
        <f t="shared" si="291"/>
        <v>0</v>
      </c>
      <c r="R951" s="148"/>
      <c r="S951" s="148">
        <f>ROUND(R951*P951,2)</f>
        <v>0</v>
      </c>
      <c r="T951" s="148">
        <f t="shared" si="287"/>
        <v>1</v>
      </c>
      <c r="U951" s="148">
        <f t="shared" si="292"/>
        <v>169.66</v>
      </c>
      <c r="V951" s="379"/>
      <c r="W951" s="379"/>
      <c r="X951" s="57" t="e">
        <f>IF(B951&lt;&gt;0,VLOOKUP(B951,#REF!,4,FALSE),"")</f>
        <v>#REF!</v>
      </c>
      <c r="Y951" s="334" t="s">
        <v>3250</v>
      </c>
      <c r="Z951" s="334">
        <f t="shared" si="283"/>
        <v>120.09649999999999</v>
      </c>
      <c r="AA951" s="57"/>
      <c r="AB951" s="58" t="e">
        <f>IF(B951&lt;&gt;0,VLOOKUP(B951,#REF!,2,FALSE),"")</f>
        <v>#REF!</v>
      </c>
    </row>
    <row r="952" spans="1:28" s="55" customFormat="1" ht="45">
      <c r="A952" s="36" t="s">
        <v>3703</v>
      </c>
      <c r="B952" s="20">
        <v>1577</v>
      </c>
      <c r="C952" s="439" t="s">
        <v>3747</v>
      </c>
      <c r="D952" s="21" t="s">
        <v>12</v>
      </c>
      <c r="E952" s="21" t="s">
        <v>17</v>
      </c>
      <c r="F952" s="22">
        <v>2</v>
      </c>
      <c r="G952" s="22">
        <f t="shared" si="282"/>
        <v>2.4055</v>
      </c>
      <c r="H952" s="22">
        <f>ROUND(G952*(1+$X$14),2)</f>
        <v>3.05</v>
      </c>
      <c r="I952" s="147">
        <f>ROUND(H952*F952,2)</f>
        <v>6.1</v>
      </c>
      <c r="J952" s="148"/>
      <c r="K952" s="148"/>
      <c r="L952" s="148"/>
      <c r="M952" s="148">
        <v>2.68</v>
      </c>
      <c r="N952" s="148">
        <v>3.4</v>
      </c>
      <c r="O952" s="148">
        <v>6.8</v>
      </c>
      <c r="P952" s="494"/>
      <c r="Q952" s="148">
        <f t="shared" si="291"/>
        <v>0</v>
      </c>
      <c r="R952" s="148"/>
      <c r="S952" s="148">
        <f>ROUND(R952*P952,2)</f>
        <v>0</v>
      </c>
      <c r="T952" s="148">
        <f t="shared" si="287"/>
        <v>2</v>
      </c>
      <c r="U952" s="148">
        <f t="shared" si="292"/>
        <v>6.8</v>
      </c>
      <c r="V952" s="379"/>
      <c r="W952" s="379"/>
      <c r="X952" s="57" t="e">
        <f>IF(B952&lt;&gt;0,VLOOKUP(B952,#REF!,4,FALSE),"")</f>
        <v>#REF!</v>
      </c>
      <c r="Y952" s="334" t="s">
        <v>1894</v>
      </c>
      <c r="Z952" s="334">
        <f t="shared" si="283"/>
        <v>4.8109999999999999</v>
      </c>
      <c r="AA952" s="57"/>
      <c r="AB952" s="58" t="e">
        <f>IF(B952&lt;&gt;0,VLOOKUP(B952,#REF!,2,FALSE),"")</f>
        <v>#REF!</v>
      </c>
    </row>
    <row r="953" spans="1:28" s="55" customFormat="1" ht="45">
      <c r="A953" s="36" t="s">
        <v>3704</v>
      </c>
      <c r="B953" s="20">
        <v>1579</v>
      </c>
      <c r="C953" s="439" t="s">
        <v>3755</v>
      </c>
      <c r="D953" s="21" t="s">
        <v>12</v>
      </c>
      <c r="E953" s="21" t="s">
        <v>17</v>
      </c>
      <c r="F953" s="22">
        <v>8</v>
      </c>
      <c r="G953" s="22">
        <f t="shared" si="282"/>
        <v>5.2104999999999997</v>
      </c>
      <c r="H953" s="22">
        <f>ROUND(G953*(1+$X$14),2)</f>
        <v>6.61</v>
      </c>
      <c r="I953" s="147">
        <f>ROUND(H953*F953,2)</f>
        <v>52.88</v>
      </c>
      <c r="J953" s="148"/>
      <c r="K953" s="148"/>
      <c r="L953" s="148"/>
      <c r="M953" s="148">
        <v>5.8</v>
      </c>
      <c r="N953" s="148">
        <v>7.35</v>
      </c>
      <c r="O953" s="148">
        <v>58.8</v>
      </c>
      <c r="P953" s="494"/>
      <c r="Q953" s="148">
        <f t="shared" si="291"/>
        <v>0</v>
      </c>
      <c r="R953" s="148"/>
      <c r="S953" s="148">
        <f>ROUND(R953*P953,2)</f>
        <v>0</v>
      </c>
      <c r="T953" s="148">
        <f t="shared" si="287"/>
        <v>8</v>
      </c>
      <c r="U953" s="148">
        <f t="shared" si="292"/>
        <v>58.8</v>
      </c>
      <c r="V953" s="379"/>
      <c r="W953" s="379"/>
      <c r="X953" s="57" t="e">
        <f>IF(B953&lt;&gt;0,VLOOKUP(B953,#REF!,4,FALSE),"")</f>
        <v>#REF!</v>
      </c>
      <c r="Y953" s="334" t="s">
        <v>1846</v>
      </c>
      <c r="Z953" s="334">
        <f t="shared" si="283"/>
        <v>41.683999999999997</v>
      </c>
      <c r="AA953" s="57"/>
      <c r="AB953" s="58" t="e">
        <f>IF(B953&lt;&gt;0,VLOOKUP(B953,#REF!,2,FALSE),"")</f>
        <v>#REF!</v>
      </c>
    </row>
    <row r="954" spans="1:28" s="55" customFormat="1" ht="15" customHeight="1">
      <c r="A954" s="229" t="s">
        <v>1309</v>
      </c>
      <c r="B954" s="229"/>
      <c r="C954" s="229" t="s">
        <v>285</v>
      </c>
      <c r="D954" s="230"/>
      <c r="E954" s="230"/>
      <c r="F954" s="230"/>
      <c r="G954" s="22"/>
      <c r="H954" s="230"/>
      <c r="I954" s="445"/>
      <c r="J954" s="440"/>
      <c r="K954" s="440"/>
      <c r="L954" s="440"/>
      <c r="M954" s="440"/>
      <c r="N954" s="440"/>
      <c r="O954" s="440"/>
      <c r="P954" s="492"/>
      <c r="Q954" s="148">
        <f t="shared" si="291"/>
        <v>0</v>
      </c>
      <c r="R954" s="440"/>
      <c r="S954" s="440"/>
      <c r="T954" s="148">
        <f t="shared" si="287"/>
        <v>0</v>
      </c>
      <c r="U954" s="148">
        <f t="shared" si="292"/>
        <v>0</v>
      </c>
      <c r="V954" s="330"/>
      <c r="W954" s="330"/>
      <c r="X954" s="58"/>
      <c r="Y954" s="334"/>
      <c r="Z954" s="334">
        <f t="shared" si="283"/>
        <v>0</v>
      </c>
      <c r="AA954" s="58"/>
      <c r="AB954" s="58"/>
    </row>
    <row r="955" spans="1:28" s="55" customFormat="1" ht="75">
      <c r="A955" s="36" t="s">
        <v>3705</v>
      </c>
      <c r="B955" s="20">
        <v>101875</v>
      </c>
      <c r="C955" s="439" t="s">
        <v>3763</v>
      </c>
      <c r="D955" s="21" t="s">
        <v>12</v>
      </c>
      <c r="E955" s="21" t="s">
        <v>17</v>
      </c>
      <c r="F955" s="22">
        <v>1</v>
      </c>
      <c r="G955" s="22">
        <f t="shared" si="282"/>
        <v>316.88</v>
      </c>
      <c r="H955" s="22">
        <f>ROUND(G955*(1+$X$14),2)</f>
        <v>401.84</v>
      </c>
      <c r="I955" s="147">
        <f>ROUND(H955*F955,2)</f>
        <v>401.84</v>
      </c>
      <c r="J955" s="148"/>
      <c r="K955" s="148"/>
      <c r="L955" s="148"/>
      <c r="M955" s="148">
        <v>353.01</v>
      </c>
      <c r="N955" s="148">
        <v>447.65</v>
      </c>
      <c r="O955" s="148">
        <v>447.65</v>
      </c>
      <c r="P955" s="494"/>
      <c r="Q955" s="148">
        <f t="shared" si="291"/>
        <v>0</v>
      </c>
      <c r="R955" s="148"/>
      <c r="S955" s="148">
        <f>ROUND(R955*P955,2)</f>
        <v>0</v>
      </c>
      <c r="T955" s="148">
        <f t="shared" si="287"/>
        <v>1</v>
      </c>
      <c r="U955" s="148">
        <f t="shared" si="292"/>
        <v>447.65</v>
      </c>
      <c r="V955" s="379"/>
      <c r="W955" s="379"/>
      <c r="X955" s="57" t="e">
        <f>IF(B955&lt;&gt;0,VLOOKUP(B955,#REF!,4,FALSE),"")</f>
        <v>#REF!</v>
      </c>
      <c r="Y955" s="334" t="s">
        <v>3245</v>
      </c>
      <c r="Z955" s="334">
        <f t="shared" si="283"/>
        <v>316.88</v>
      </c>
      <c r="AA955" s="57"/>
      <c r="AB955" s="58" t="e">
        <f>IF(B955&lt;&gt;0,VLOOKUP(B955,#REF!,2,FALSE),"")</f>
        <v>#REF!</v>
      </c>
    </row>
    <row r="956" spans="1:28" s="55" customFormat="1">
      <c r="A956" s="19" t="s">
        <v>1310</v>
      </c>
      <c r="B956" s="20">
        <v>101895</v>
      </c>
      <c r="C956" s="19" t="s">
        <v>2665</v>
      </c>
      <c r="D956" s="21" t="s">
        <v>12</v>
      </c>
      <c r="E956" s="21" t="s">
        <v>17</v>
      </c>
      <c r="F956" s="22">
        <v>1</v>
      </c>
      <c r="G956" s="22">
        <f t="shared" si="282"/>
        <v>337.58600000000001</v>
      </c>
      <c r="H956" s="22">
        <f>ROUND(G956*(1+$X$14),2)</f>
        <v>428.09</v>
      </c>
      <c r="I956" s="147">
        <f>ROUND(H956*F956,2)</f>
        <v>428.09</v>
      </c>
      <c r="J956" s="148"/>
      <c r="K956" s="148"/>
      <c r="L956" s="148"/>
      <c r="M956" s="148">
        <v>376.07</v>
      </c>
      <c r="N956" s="148">
        <v>476.89</v>
      </c>
      <c r="O956" s="148">
        <v>476.89</v>
      </c>
      <c r="P956" s="494"/>
      <c r="Q956" s="148">
        <f t="shared" si="291"/>
        <v>0</v>
      </c>
      <c r="R956" s="148"/>
      <c r="S956" s="148">
        <f>ROUND(R956*P956,2)</f>
        <v>0</v>
      </c>
      <c r="T956" s="148">
        <f t="shared" si="287"/>
        <v>1</v>
      </c>
      <c r="U956" s="148">
        <f t="shared" si="292"/>
        <v>476.89</v>
      </c>
      <c r="V956" s="379"/>
      <c r="W956" s="379"/>
      <c r="X956" s="57" t="e">
        <f>IF(B956&lt;&gt;0,VLOOKUP(B956,#REF!,4,FALSE),"")</f>
        <v>#REF!</v>
      </c>
      <c r="Y956" s="334" t="s">
        <v>3251</v>
      </c>
      <c r="Z956" s="334">
        <f t="shared" si="283"/>
        <v>337.58600000000001</v>
      </c>
      <c r="AA956" s="57"/>
      <c r="AB956" s="58" t="e">
        <f>IF(B956&lt;&gt;0,VLOOKUP(B956,#REF!,2,FALSE),"")</f>
        <v>#REF!</v>
      </c>
    </row>
    <row r="957" spans="1:28" s="55" customFormat="1" ht="45">
      <c r="A957" s="36" t="s">
        <v>3706</v>
      </c>
      <c r="B957" s="20">
        <v>1577</v>
      </c>
      <c r="C957" s="439" t="s">
        <v>3747</v>
      </c>
      <c r="D957" s="21" t="s">
        <v>12</v>
      </c>
      <c r="E957" s="21" t="s">
        <v>17</v>
      </c>
      <c r="F957" s="22">
        <v>2</v>
      </c>
      <c r="G957" s="22">
        <f t="shared" si="282"/>
        <v>2.4055</v>
      </c>
      <c r="H957" s="22">
        <f>ROUND(G957*(1+$X$14),2)</f>
        <v>3.05</v>
      </c>
      <c r="I957" s="147">
        <f>ROUND(H957*F957,2)</f>
        <v>6.1</v>
      </c>
      <c r="J957" s="148"/>
      <c r="K957" s="148"/>
      <c r="L957" s="148"/>
      <c r="M957" s="148">
        <v>2.68</v>
      </c>
      <c r="N957" s="148">
        <v>3.4</v>
      </c>
      <c r="O957" s="148">
        <v>6.8</v>
      </c>
      <c r="P957" s="494"/>
      <c r="Q957" s="148">
        <f t="shared" si="291"/>
        <v>0</v>
      </c>
      <c r="R957" s="148"/>
      <c r="S957" s="148">
        <f>ROUND(R957*P957,2)</f>
        <v>0</v>
      </c>
      <c r="T957" s="148">
        <f t="shared" si="287"/>
        <v>2</v>
      </c>
      <c r="U957" s="148">
        <f t="shared" si="292"/>
        <v>6.8</v>
      </c>
      <c r="V957" s="379"/>
      <c r="W957" s="379"/>
      <c r="X957" s="57" t="e">
        <f>IF(B957&lt;&gt;0,VLOOKUP(B957,#REF!,4,FALSE),"")</f>
        <v>#REF!</v>
      </c>
      <c r="Y957" s="334" t="s">
        <v>1894</v>
      </c>
      <c r="Z957" s="334">
        <f t="shared" si="283"/>
        <v>4.8109999999999999</v>
      </c>
      <c r="AA957" s="57"/>
      <c r="AB957" s="58" t="e">
        <f>IF(B957&lt;&gt;0,VLOOKUP(B957,#REF!,2,FALSE),"")</f>
        <v>#REF!</v>
      </c>
    </row>
    <row r="958" spans="1:28" s="55" customFormat="1" ht="45">
      <c r="A958" s="36" t="s">
        <v>3707</v>
      </c>
      <c r="B958" s="20">
        <v>1579</v>
      </c>
      <c r="C958" s="439" t="s">
        <v>3755</v>
      </c>
      <c r="D958" s="21" t="s">
        <v>12</v>
      </c>
      <c r="E958" s="21" t="s">
        <v>17</v>
      </c>
      <c r="F958" s="22">
        <v>8</v>
      </c>
      <c r="G958" s="22">
        <f t="shared" si="282"/>
        <v>5.2104999999999997</v>
      </c>
      <c r="H958" s="22">
        <f>ROUND(G958*(1+$X$14),2)</f>
        <v>6.61</v>
      </c>
      <c r="I958" s="147">
        <f>ROUND(H958*F958,2)</f>
        <v>52.88</v>
      </c>
      <c r="J958" s="148"/>
      <c r="K958" s="148"/>
      <c r="L958" s="148"/>
      <c r="M958" s="148">
        <v>5.8</v>
      </c>
      <c r="N958" s="148">
        <v>7.35</v>
      </c>
      <c r="O958" s="148">
        <v>58.8</v>
      </c>
      <c r="P958" s="494"/>
      <c r="Q958" s="148">
        <f t="shared" si="291"/>
        <v>0</v>
      </c>
      <c r="R958" s="148"/>
      <c r="S958" s="148">
        <f>ROUND(R958*P958,2)</f>
        <v>0</v>
      </c>
      <c r="T958" s="148">
        <f t="shared" si="287"/>
        <v>8</v>
      </c>
      <c r="U958" s="148">
        <f t="shared" si="292"/>
        <v>58.8</v>
      </c>
      <c r="V958" s="379"/>
      <c r="W958" s="379"/>
      <c r="X958" s="57" t="e">
        <f>IF(B958&lt;&gt;0,VLOOKUP(B958,#REF!,4,FALSE),"")</f>
        <v>#REF!</v>
      </c>
      <c r="Y958" s="334" t="s">
        <v>1846</v>
      </c>
      <c r="Z958" s="334">
        <f t="shared" si="283"/>
        <v>41.683999999999997</v>
      </c>
      <c r="AA958" s="57"/>
      <c r="AB958" s="58" t="e">
        <f>IF(B958&lt;&gt;0,VLOOKUP(B958,#REF!,2,FALSE),"")</f>
        <v>#REF!</v>
      </c>
    </row>
    <row r="959" spans="1:28" s="55" customFormat="1" ht="15" customHeight="1">
      <c r="A959" s="229" t="s">
        <v>1311</v>
      </c>
      <c r="B959" s="229"/>
      <c r="C959" s="229" t="s">
        <v>286</v>
      </c>
      <c r="D959" s="230"/>
      <c r="E959" s="230"/>
      <c r="F959" s="230"/>
      <c r="G959" s="22"/>
      <c r="H959" s="230"/>
      <c r="I959" s="445"/>
      <c r="J959" s="440"/>
      <c r="K959" s="440"/>
      <c r="L959" s="440"/>
      <c r="M959" s="440"/>
      <c r="N959" s="440"/>
      <c r="O959" s="440"/>
      <c r="P959" s="492"/>
      <c r="Q959" s="148">
        <f t="shared" si="291"/>
        <v>0</v>
      </c>
      <c r="R959" s="440"/>
      <c r="S959" s="440"/>
      <c r="T959" s="148">
        <f t="shared" si="287"/>
        <v>0</v>
      </c>
      <c r="U959" s="148">
        <f t="shared" si="292"/>
        <v>0</v>
      </c>
      <c r="V959" s="330"/>
      <c r="W959" s="330"/>
      <c r="X959" s="58"/>
      <c r="Y959" s="334"/>
      <c r="Z959" s="334">
        <f t="shared" si="283"/>
        <v>0</v>
      </c>
      <c r="AA959" s="58"/>
      <c r="AB959" s="58"/>
    </row>
    <row r="960" spans="1:28" s="55" customFormat="1" ht="75">
      <c r="A960" s="36" t="s">
        <v>3708</v>
      </c>
      <c r="B960" s="20">
        <v>101875</v>
      </c>
      <c r="C960" s="439" t="s">
        <v>3763</v>
      </c>
      <c r="D960" s="21" t="s">
        <v>12</v>
      </c>
      <c r="E960" s="21" t="s">
        <v>17</v>
      </c>
      <c r="F960" s="22">
        <v>1</v>
      </c>
      <c r="G960" s="22">
        <f t="shared" si="282"/>
        <v>316.88</v>
      </c>
      <c r="H960" s="22">
        <f>ROUND(G960*(1+$X$14),2)</f>
        <v>401.84</v>
      </c>
      <c r="I960" s="147">
        <f>ROUND(H960*F960,2)</f>
        <v>401.84</v>
      </c>
      <c r="J960" s="148"/>
      <c r="K960" s="148"/>
      <c r="L960" s="148"/>
      <c r="M960" s="148">
        <v>353.01</v>
      </c>
      <c r="N960" s="148">
        <v>447.65</v>
      </c>
      <c r="O960" s="148">
        <v>447.65</v>
      </c>
      <c r="P960" s="494"/>
      <c r="Q960" s="148">
        <f t="shared" si="291"/>
        <v>0</v>
      </c>
      <c r="R960" s="148"/>
      <c r="S960" s="148">
        <f>ROUND(R960*P960,2)</f>
        <v>0</v>
      </c>
      <c r="T960" s="148">
        <f t="shared" si="287"/>
        <v>1</v>
      </c>
      <c r="U960" s="148">
        <f t="shared" si="292"/>
        <v>447.65</v>
      </c>
      <c r="V960" s="379"/>
      <c r="W960" s="379"/>
      <c r="X960" s="57" t="e">
        <f>IF(B960&lt;&gt;0,VLOOKUP(B960,#REF!,4,FALSE),"")</f>
        <v>#REF!</v>
      </c>
      <c r="Y960" s="334" t="s">
        <v>3245</v>
      </c>
      <c r="Z960" s="334">
        <f t="shared" si="283"/>
        <v>316.88</v>
      </c>
      <c r="AA960" s="57"/>
      <c r="AB960" s="58" t="e">
        <f>IF(B960&lt;&gt;0,VLOOKUP(B960,#REF!,2,FALSE),"")</f>
        <v>#REF!</v>
      </c>
    </row>
    <row r="961" spans="1:28" s="55" customFormat="1" ht="30">
      <c r="A961" s="19" t="s">
        <v>1312</v>
      </c>
      <c r="B961" s="20">
        <v>101894</v>
      </c>
      <c r="C961" s="19" t="s">
        <v>260</v>
      </c>
      <c r="D961" s="21" t="s">
        <v>12</v>
      </c>
      <c r="E961" s="21" t="s">
        <v>17</v>
      </c>
      <c r="F961" s="22">
        <v>1</v>
      </c>
      <c r="G961" s="22">
        <f t="shared" si="282"/>
        <v>120.09649999999999</v>
      </c>
      <c r="H961" s="22">
        <f>ROUND(G961*(1+$X$14),2)</f>
        <v>152.29</v>
      </c>
      <c r="I961" s="147">
        <f>ROUND(H961*F961,2)</f>
        <v>152.29</v>
      </c>
      <c r="J961" s="148"/>
      <c r="K961" s="148"/>
      <c r="L961" s="148"/>
      <c r="M961" s="148">
        <v>133.79</v>
      </c>
      <c r="N961" s="148">
        <v>169.66</v>
      </c>
      <c r="O961" s="148">
        <v>169.66</v>
      </c>
      <c r="P961" s="494"/>
      <c r="Q961" s="148">
        <f t="shared" si="291"/>
        <v>0</v>
      </c>
      <c r="R961" s="148"/>
      <c r="S961" s="148">
        <f>ROUND(R961*P961,2)</f>
        <v>0</v>
      </c>
      <c r="T961" s="148">
        <f t="shared" si="287"/>
        <v>1</v>
      </c>
      <c r="U961" s="148">
        <f t="shared" si="292"/>
        <v>169.66</v>
      </c>
      <c r="V961" s="379"/>
      <c r="W961" s="379"/>
      <c r="X961" s="57" t="e">
        <f>IF(B961&lt;&gt;0,VLOOKUP(B961,#REF!,4,FALSE),"")</f>
        <v>#REF!</v>
      </c>
      <c r="Y961" s="334" t="s">
        <v>3250</v>
      </c>
      <c r="Z961" s="334">
        <f t="shared" si="283"/>
        <v>120.09649999999999</v>
      </c>
      <c r="AA961" s="57"/>
      <c r="AB961" s="58" t="e">
        <f>IF(B961&lt;&gt;0,VLOOKUP(B961,#REF!,2,FALSE),"")</f>
        <v>#REF!</v>
      </c>
    </row>
    <row r="962" spans="1:28" s="55" customFormat="1" ht="45">
      <c r="A962" s="36" t="s">
        <v>3709</v>
      </c>
      <c r="B962" s="20">
        <v>1578</v>
      </c>
      <c r="C962" s="439" t="s">
        <v>3746</v>
      </c>
      <c r="D962" s="21" t="s">
        <v>12</v>
      </c>
      <c r="E962" s="21" t="s">
        <v>17</v>
      </c>
      <c r="F962" s="22">
        <v>2</v>
      </c>
      <c r="G962" s="22">
        <f t="shared" si="282"/>
        <v>4.1820000000000004</v>
      </c>
      <c r="H962" s="22">
        <f>ROUND(G962*(1+$X$14),2)</f>
        <v>5.3</v>
      </c>
      <c r="I962" s="147">
        <f>ROUND(H962*F962,2)</f>
        <v>10.6</v>
      </c>
      <c r="J962" s="148"/>
      <c r="K962" s="148"/>
      <c r="L962" s="148"/>
      <c r="M962" s="148">
        <v>4.66</v>
      </c>
      <c r="N962" s="148">
        <v>5.91</v>
      </c>
      <c r="O962" s="148">
        <v>11.82</v>
      </c>
      <c r="P962" s="494"/>
      <c r="Q962" s="148">
        <f t="shared" si="291"/>
        <v>0</v>
      </c>
      <c r="R962" s="148"/>
      <c r="S962" s="148">
        <f>ROUND(R962*P962,2)</f>
        <v>0</v>
      </c>
      <c r="T962" s="148">
        <f t="shared" si="287"/>
        <v>2</v>
      </c>
      <c r="U962" s="148">
        <f t="shared" si="292"/>
        <v>11.82</v>
      </c>
      <c r="V962" s="379"/>
      <c r="W962" s="379"/>
      <c r="X962" s="57" t="e">
        <f>IF(B962&lt;&gt;0,VLOOKUP(B962,#REF!,4,FALSE),"")</f>
        <v>#REF!</v>
      </c>
      <c r="Y962" s="334" t="s">
        <v>3141</v>
      </c>
      <c r="Z962" s="334">
        <f t="shared" si="283"/>
        <v>8.3640000000000008</v>
      </c>
      <c r="AA962" s="57"/>
      <c r="AB962" s="58" t="e">
        <f>IF(B962&lt;&gt;0,VLOOKUP(B962,#REF!,2,FALSE),"")</f>
        <v>#REF!</v>
      </c>
    </row>
    <row r="963" spans="1:28" s="55" customFormat="1" ht="45">
      <c r="A963" s="36" t="s">
        <v>3710</v>
      </c>
      <c r="B963" s="20">
        <v>1580</v>
      </c>
      <c r="C963" s="439" t="s">
        <v>3757</v>
      </c>
      <c r="D963" s="21" t="s">
        <v>12</v>
      </c>
      <c r="E963" s="21" t="s">
        <v>17</v>
      </c>
      <c r="F963" s="22">
        <v>8</v>
      </c>
      <c r="G963" s="22">
        <f t="shared" si="282"/>
        <v>6.4175000000000004</v>
      </c>
      <c r="H963" s="22">
        <f>ROUND(G963*(1+$X$14),2)</f>
        <v>8.14</v>
      </c>
      <c r="I963" s="147">
        <f>ROUND(H963*F963,2)</f>
        <v>65.12</v>
      </c>
      <c r="J963" s="148"/>
      <c r="K963" s="148"/>
      <c r="L963" s="148"/>
      <c r="M963" s="148">
        <v>7.15</v>
      </c>
      <c r="N963" s="148">
        <v>9.07</v>
      </c>
      <c r="O963" s="148">
        <v>72.56</v>
      </c>
      <c r="P963" s="494"/>
      <c r="Q963" s="148">
        <f t="shared" si="291"/>
        <v>0</v>
      </c>
      <c r="R963" s="148"/>
      <c r="S963" s="148">
        <f>ROUND(R963*P963,2)</f>
        <v>0</v>
      </c>
      <c r="T963" s="148">
        <f t="shared" si="287"/>
        <v>8</v>
      </c>
      <c r="U963" s="148">
        <f t="shared" si="292"/>
        <v>72.56</v>
      </c>
      <c r="V963" s="379"/>
      <c r="W963" s="379"/>
      <c r="X963" s="57" t="e">
        <f>IF(B963&lt;&gt;0,VLOOKUP(B963,#REF!,4,FALSE),"")</f>
        <v>#REF!</v>
      </c>
      <c r="Y963" s="334" t="s">
        <v>3155</v>
      </c>
      <c r="Z963" s="334">
        <f t="shared" si="283"/>
        <v>51.34</v>
      </c>
      <c r="AA963" s="57"/>
      <c r="AB963" s="58" t="e">
        <f>IF(B963&lt;&gt;0,VLOOKUP(B963,#REF!,2,FALSE),"")</f>
        <v>#REF!</v>
      </c>
    </row>
    <row r="964" spans="1:28" s="55" customFormat="1" ht="15" customHeight="1">
      <c r="A964" s="229" t="s">
        <v>1313</v>
      </c>
      <c r="B964" s="229"/>
      <c r="C964" s="229" t="s">
        <v>287</v>
      </c>
      <c r="D964" s="230"/>
      <c r="E964" s="230"/>
      <c r="F964" s="230"/>
      <c r="G964" s="22"/>
      <c r="H964" s="230"/>
      <c r="I964" s="445"/>
      <c r="J964" s="440"/>
      <c r="K964" s="440"/>
      <c r="L964" s="440"/>
      <c r="M964" s="440"/>
      <c r="N964" s="440"/>
      <c r="O964" s="440"/>
      <c r="P964" s="492"/>
      <c r="Q964" s="148">
        <f t="shared" si="291"/>
        <v>0</v>
      </c>
      <c r="R964" s="440"/>
      <c r="S964" s="440"/>
      <c r="T964" s="148">
        <f t="shared" si="287"/>
        <v>0</v>
      </c>
      <c r="U964" s="148">
        <f t="shared" si="292"/>
        <v>0</v>
      </c>
      <c r="V964" s="330"/>
      <c r="W964" s="330"/>
      <c r="X964" s="58"/>
      <c r="Y964" s="334"/>
      <c r="Z964" s="334">
        <f t="shared" si="283"/>
        <v>0</v>
      </c>
      <c r="AA964" s="58"/>
      <c r="AB964" s="58"/>
    </row>
    <row r="965" spans="1:28" s="55" customFormat="1" ht="75">
      <c r="A965" s="36" t="s">
        <v>3711</v>
      </c>
      <c r="B965" s="20">
        <v>101875</v>
      </c>
      <c r="C965" s="439" t="s">
        <v>3763</v>
      </c>
      <c r="D965" s="21" t="s">
        <v>12</v>
      </c>
      <c r="E965" s="21" t="s">
        <v>17</v>
      </c>
      <c r="F965" s="22">
        <v>1</v>
      </c>
      <c r="G965" s="22">
        <f t="shared" si="282"/>
        <v>316.88</v>
      </c>
      <c r="H965" s="22">
        <f>ROUND(G965*(1+$X$14),2)</f>
        <v>401.84</v>
      </c>
      <c r="I965" s="147">
        <f>ROUND(H965*F965,2)</f>
        <v>401.84</v>
      </c>
      <c r="J965" s="148"/>
      <c r="K965" s="148"/>
      <c r="L965" s="148"/>
      <c r="M965" s="148">
        <v>353.01</v>
      </c>
      <c r="N965" s="148">
        <v>447.65</v>
      </c>
      <c r="O965" s="148">
        <v>447.65</v>
      </c>
      <c r="P965" s="494"/>
      <c r="Q965" s="148">
        <f t="shared" si="291"/>
        <v>0</v>
      </c>
      <c r="R965" s="148"/>
      <c r="S965" s="148">
        <f>ROUND(R965*P965,2)</f>
        <v>0</v>
      </c>
      <c r="T965" s="148">
        <f t="shared" si="287"/>
        <v>1</v>
      </c>
      <c r="U965" s="148">
        <f t="shared" si="292"/>
        <v>447.65</v>
      </c>
      <c r="V965" s="379"/>
      <c r="W965" s="379"/>
      <c r="X965" s="57" t="e">
        <f>IF(B965&lt;&gt;0,VLOOKUP(B965,#REF!,4,FALSE),"")</f>
        <v>#REF!</v>
      </c>
      <c r="Y965" s="334" t="s">
        <v>3245</v>
      </c>
      <c r="Z965" s="334">
        <f t="shared" si="283"/>
        <v>316.88</v>
      </c>
      <c r="AA965" s="57"/>
      <c r="AB965" s="58" t="e">
        <f>IF(B965&lt;&gt;0,VLOOKUP(B965,#REF!,2,FALSE),"")</f>
        <v>#REF!</v>
      </c>
    </row>
    <row r="966" spans="1:28" s="55" customFormat="1" ht="45">
      <c r="A966" s="19" t="s">
        <v>1314</v>
      </c>
      <c r="B966" s="20">
        <v>101896</v>
      </c>
      <c r="C966" s="19" t="s">
        <v>270</v>
      </c>
      <c r="D966" s="21" t="s">
        <v>12</v>
      </c>
      <c r="E966" s="21" t="s">
        <v>17</v>
      </c>
      <c r="F966" s="22">
        <v>1</v>
      </c>
      <c r="G966" s="22">
        <f t="shared" si="282"/>
        <v>515.48250000000007</v>
      </c>
      <c r="H966" s="22">
        <f>ROUND(G966*(1+$X$14),2)</f>
        <v>653.67999999999995</v>
      </c>
      <c r="I966" s="147">
        <f>ROUND(H966*F966,2)</f>
        <v>653.67999999999995</v>
      </c>
      <c r="J966" s="148"/>
      <c r="K966" s="148"/>
      <c r="L966" s="148"/>
      <c r="M966" s="148">
        <v>574.25</v>
      </c>
      <c r="N966" s="148">
        <v>728.21</v>
      </c>
      <c r="O966" s="148">
        <v>728.21</v>
      </c>
      <c r="P966" s="494"/>
      <c r="Q966" s="148">
        <f t="shared" si="291"/>
        <v>0</v>
      </c>
      <c r="R966" s="148"/>
      <c r="S966" s="148">
        <f>ROUND(R966*P966,2)</f>
        <v>0</v>
      </c>
      <c r="T966" s="148">
        <f t="shared" si="287"/>
        <v>1</v>
      </c>
      <c r="U966" s="148">
        <f t="shared" si="292"/>
        <v>728.21</v>
      </c>
      <c r="V966" s="379"/>
      <c r="W966" s="379"/>
      <c r="X966" s="57" t="e">
        <f>IF(B966&lt;&gt;0,VLOOKUP(B966,#REF!,4,FALSE),"")</f>
        <v>#REF!</v>
      </c>
      <c r="Y966" s="334" t="s">
        <v>3152</v>
      </c>
      <c r="Z966" s="334">
        <f t="shared" si="283"/>
        <v>515.48250000000007</v>
      </c>
      <c r="AA966" s="57"/>
      <c r="AB966" s="58" t="e">
        <f>IF(B966&lt;&gt;0,VLOOKUP(B966,#REF!,2,FALSE),"")</f>
        <v>#REF!</v>
      </c>
    </row>
    <row r="967" spans="1:28" s="55" customFormat="1" ht="45">
      <c r="A967" s="36" t="s">
        <v>3712</v>
      </c>
      <c r="B967" s="20">
        <v>1578</v>
      </c>
      <c r="C967" s="439" t="s">
        <v>3746</v>
      </c>
      <c r="D967" s="21" t="s">
        <v>12</v>
      </c>
      <c r="E967" s="21" t="s">
        <v>17</v>
      </c>
      <c r="F967" s="22">
        <v>2</v>
      </c>
      <c r="G967" s="22">
        <f t="shared" si="282"/>
        <v>4.1820000000000004</v>
      </c>
      <c r="H967" s="22">
        <f>ROUND(G967*(1+$X$14),2)</f>
        <v>5.3</v>
      </c>
      <c r="I967" s="147">
        <f>ROUND(H967*F967,2)</f>
        <v>10.6</v>
      </c>
      <c r="J967" s="148"/>
      <c r="K967" s="148"/>
      <c r="L967" s="148"/>
      <c r="M967" s="148">
        <v>4.66</v>
      </c>
      <c r="N967" s="148">
        <v>5.91</v>
      </c>
      <c r="O967" s="148">
        <v>11.82</v>
      </c>
      <c r="P967" s="494"/>
      <c r="Q967" s="148">
        <f t="shared" si="291"/>
        <v>0</v>
      </c>
      <c r="R967" s="148"/>
      <c r="S967" s="148">
        <f>ROUND(R967*P967,2)</f>
        <v>0</v>
      </c>
      <c r="T967" s="148">
        <f t="shared" si="287"/>
        <v>2</v>
      </c>
      <c r="U967" s="148">
        <f t="shared" si="292"/>
        <v>11.82</v>
      </c>
      <c r="V967" s="379"/>
      <c r="W967" s="379"/>
      <c r="X967" s="57" t="e">
        <f>IF(B967&lt;&gt;0,VLOOKUP(B967,#REF!,4,FALSE),"")</f>
        <v>#REF!</v>
      </c>
      <c r="Y967" s="334" t="s">
        <v>3141</v>
      </c>
      <c r="Z967" s="334">
        <f t="shared" si="283"/>
        <v>8.3640000000000008</v>
      </c>
      <c r="AA967" s="57"/>
      <c r="AB967" s="58" t="e">
        <f>IF(B967&lt;&gt;0,VLOOKUP(B967,#REF!,2,FALSE),"")</f>
        <v>#REF!</v>
      </c>
    </row>
    <row r="968" spans="1:28" s="55" customFormat="1" ht="45">
      <c r="A968" s="36" t="s">
        <v>3713</v>
      </c>
      <c r="B968" s="20">
        <v>1580</v>
      </c>
      <c r="C968" s="439" t="s">
        <v>3757</v>
      </c>
      <c r="D968" s="21" t="s">
        <v>12</v>
      </c>
      <c r="E968" s="21" t="s">
        <v>17</v>
      </c>
      <c r="F968" s="22">
        <v>8</v>
      </c>
      <c r="G968" s="22">
        <f t="shared" si="282"/>
        <v>6.4175000000000004</v>
      </c>
      <c r="H968" s="22">
        <f>ROUND(G968*(1+$X$14),2)</f>
        <v>8.14</v>
      </c>
      <c r="I968" s="147">
        <f>ROUND(H968*F968,2)</f>
        <v>65.12</v>
      </c>
      <c r="J968" s="148"/>
      <c r="K968" s="148"/>
      <c r="L968" s="148"/>
      <c r="M968" s="148">
        <v>7.15</v>
      </c>
      <c r="N968" s="148">
        <v>9.07</v>
      </c>
      <c r="O968" s="148">
        <v>72.56</v>
      </c>
      <c r="P968" s="494"/>
      <c r="Q968" s="148">
        <f t="shared" si="291"/>
        <v>0</v>
      </c>
      <c r="R968" s="148"/>
      <c r="S968" s="148">
        <f>ROUND(R968*P968,2)</f>
        <v>0</v>
      </c>
      <c r="T968" s="148">
        <f t="shared" si="287"/>
        <v>8</v>
      </c>
      <c r="U968" s="148">
        <f t="shared" si="292"/>
        <v>72.56</v>
      </c>
      <c r="V968" s="379"/>
      <c r="W968" s="379"/>
      <c r="X968" s="57" t="e">
        <f>IF(B968&lt;&gt;0,VLOOKUP(B968,#REF!,4,FALSE),"")</f>
        <v>#REF!</v>
      </c>
      <c r="Y968" s="334" t="s">
        <v>3155</v>
      </c>
      <c r="Z968" s="334">
        <f t="shared" si="283"/>
        <v>51.34</v>
      </c>
      <c r="AA968" s="57"/>
      <c r="AB968" s="58" t="e">
        <f>IF(B968&lt;&gt;0,VLOOKUP(B968,#REF!,2,FALSE),"")</f>
        <v>#REF!</v>
      </c>
    </row>
    <row r="969" spans="1:28" s="55" customFormat="1" ht="15" customHeight="1">
      <c r="A969" s="229" t="s">
        <v>1315</v>
      </c>
      <c r="B969" s="229"/>
      <c r="C969" s="229" t="s">
        <v>288</v>
      </c>
      <c r="D969" s="230"/>
      <c r="E969" s="230"/>
      <c r="F969" s="230"/>
      <c r="G969" s="22"/>
      <c r="H969" s="230"/>
      <c r="I969" s="445"/>
      <c r="J969" s="440"/>
      <c r="K969" s="440"/>
      <c r="L969" s="440"/>
      <c r="M969" s="440"/>
      <c r="N969" s="440"/>
      <c r="O969" s="440"/>
      <c r="P969" s="492"/>
      <c r="Q969" s="148">
        <f t="shared" si="291"/>
        <v>0</v>
      </c>
      <c r="R969" s="440"/>
      <c r="S969" s="440"/>
      <c r="T969" s="148">
        <f t="shared" si="287"/>
        <v>0</v>
      </c>
      <c r="U969" s="148">
        <f t="shared" si="292"/>
        <v>0</v>
      </c>
      <c r="V969" s="330"/>
      <c r="W969" s="330"/>
      <c r="X969" s="58"/>
      <c r="Y969" s="334"/>
      <c r="Z969" s="334">
        <f t="shared" si="283"/>
        <v>0</v>
      </c>
      <c r="AA969" s="58"/>
      <c r="AB969" s="58"/>
    </row>
    <row r="970" spans="1:28" s="55" customFormat="1" ht="75">
      <c r="A970" s="36" t="s">
        <v>3714</v>
      </c>
      <c r="B970" s="20">
        <v>101879</v>
      </c>
      <c r="C970" s="439" t="s">
        <v>3764</v>
      </c>
      <c r="D970" s="21" t="s">
        <v>12</v>
      </c>
      <c r="E970" s="21" t="s">
        <v>17</v>
      </c>
      <c r="F970" s="22">
        <v>1</v>
      </c>
      <c r="G970" s="22">
        <f t="shared" si="282"/>
        <v>460.73399999999998</v>
      </c>
      <c r="H970" s="22">
        <f t="shared" ref="H970:H977" si="293">ROUND(G970*(1+$X$14),2)</f>
        <v>584.26</v>
      </c>
      <c r="I970" s="147">
        <f t="shared" ref="I970:I977" si="294">ROUND(H970*F970,2)</f>
        <v>584.26</v>
      </c>
      <c r="J970" s="148"/>
      <c r="K970" s="148"/>
      <c r="L970" s="148"/>
      <c r="M970" s="148">
        <v>513.26</v>
      </c>
      <c r="N970" s="148">
        <v>650.87</v>
      </c>
      <c r="O970" s="148">
        <v>650.87</v>
      </c>
      <c r="P970" s="494"/>
      <c r="Q970" s="148">
        <f t="shared" si="291"/>
        <v>0</v>
      </c>
      <c r="R970" s="148"/>
      <c r="S970" s="148">
        <f t="shared" ref="S970:S977" si="295">ROUND(R970*P970,2)</f>
        <v>0</v>
      </c>
      <c r="T970" s="148">
        <f t="shared" si="287"/>
        <v>1</v>
      </c>
      <c r="U970" s="148">
        <f t="shared" si="292"/>
        <v>650.87</v>
      </c>
      <c r="V970" s="379"/>
      <c r="W970" s="379"/>
      <c r="X970" s="57" t="e">
        <f>IF(B970&lt;&gt;0,VLOOKUP(B970,#REF!,4,FALSE),"")</f>
        <v>#REF!</v>
      </c>
      <c r="Y970" s="334" t="s">
        <v>3247</v>
      </c>
      <c r="Z970" s="334">
        <f t="shared" si="283"/>
        <v>460.73399999999998</v>
      </c>
      <c r="AA970" s="57"/>
      <c r="AB970" s="58" t="e">
        <f>IF(B970&lt;&gt;0,VLOOKUP(B970,#REF!,2,FALSE),"")</f>
        <v>#REF!</v>
      </c>
    </row>
    <row r="971" spans="1:28" s="55" customFormat="1" ht="30">
      <c r="A971" s="19" t="s">
        <v>1316</v>
      </c>
      <c r="B971" s="20">
        <v>9041</v>
      </c>
      <c r="C971" s="19" t="s">
        <v>1926</v>
      </c>
      <c r="D971" s="21" t="s">
        <v>44</v>
      </c>
      <c r="E971" s="21" t="s">
        <v>17</v>
      </c>
      <c r="F971" s="22">
        <v>4</v>
      </c>
      <c r="G971" s="22">
        <f t="shared" si="282"/>
        <v>97.393000000000001</v>
      </c>
      <c r="H971" s="22">
        <f t="shared" si="293"/>
        <v>123.5</v>
      </c>
      <c r="I971" s="147">
        <f t="shared" si="294"/>
        <v>494</v>
      </c>
      <c r="J971" s="148"/>
      <c r="K971" s="148"/>
      <c r="L971" s="148"/>
      <c r="M971" s="148">
        <v>108.5</v>
      </c>
      <c r="N971" s="148">
        <v>137.59</v>
      </c>
      <c r="O971" s="148">
        <v>550.36</v>
      </c>
      <c r="P971" s="494"/>
      <c r="Q971" s="148">
        <f t="shared" si="291"/>
        <v>0</v>
      </c>
      <c r="R971" s="148"/>
      <c r="S971" s="148">
        <f t="shared" si="295"/>
        <v>0</v>
      </c>
      <c r="T971" s="148">
        <f t="shared" si="287"/>
        <v>4</v>
      </c>
      <c r="U971" s="148">
        <f t="shared" si="292"/>
        <v>550.36</v>
      </c>
      <c r="V971" s="379"/>
      <c r="W971" s="379"/>
      <c r="X971" s="57">
        <f>'COMPOSIÇÃO DE CUSTOS'!G1869</f>
        <v>97.39</v>
      </c>
      <c r="Y971" s="334">
        <v>114.58</v>
      </c>
      <c r="Z971" s="334">
        <f t="shared" si="283"/>
        <v>389.572</v>
      </c>
      <c r="AA971" s="57"/>
      <c r="AB971" s="58"/>
    </row>
    <row r="972" spans="1:28" s="55" customFormat="1">
      <c r="A972" s="19" t="s">
        <v>1317</v>
      </c>
      <c r="B972" s="20">
        <v>7996</v>
      </c>
      <c r="C972" s="19" t="s">
        <v>265</v>
      </c>
      <c r="D972" s="21" t="s">
        <v>44</v>
      </c>
      <c r="E972" s="21" t="s">
        <v>17</v>
      </c>
      <c r="F972" s="22">
        <v>1</v>
      </c>
      <c r="G972" s="22">
        <f t="shared" si="282"/>
        <v>127.449</v>
      </c>
      <c r="H972" s="22">
        <f t="shared" si="293"/>
        <v>161.62</v>
      </c>
      <c r="I972" s="147">
        <f t="shared" si="294"/>
        <v>161.62</v>
      </c>
      <c r="J972" s="148"/>
      <c r="K972" s="148"/>
      <c r="L972" s="148"/>
      <c r="M972" s="148">
        <v>141.97999999999999</v>
      </c>
      <c r="N972" s="148">
        <v>180.04</v>
      </c>
      <c r="O972" s="148">
        <v>180.04</v>
      </c>
      <c r="P972" s="494"/>
      <c r="Q972" s="148">
        <f t="shared" si="291"/>
        <v>0</v>
      </c>
      <c r="R972" s="148"/>
      <c r="S972" s="148">
        <f t="shared" si="295"/>
        <v>0</v>
      </c>
      <c r="T972" s="148">
        <f t="shared" si="287"/>
        <v>1</v>
      </c>
      <c r="U972" s="148">
        <f t="shared" si="292"/>
        <v>180.04</v>
      </c>
      <c r="V972" s="379"/>
      <c r="W972" s="379"/>
      <c r="X972" s="57">
        <f>'COMPOSIÇÃO DE CUSTOS'!G1877</f>
        <v>127.45</v>
      </c>
      <c r="Y972" s="334">
        <v>149.94</v>
      </c>
      <c r="Z972" s="334">
        <f t="shared" si="283"/>
        <v>127.449</v>
      </c>
      <c r="AA972" s="57"/>
      <c r="AB972" s="58"/>
    </row>
    <row r="973" spans="1:28" s="55" customFormat="1" ht="30">
      <c r="A973" s="19" t="s">
        <v>1318</v>
      </c>
      <c r="B973" s="20">
        <v>93653</v>
      </c>
      <c r="C973" s="19" t="s">
        <v>1729</v>
      </c>
      <c r="D973" s="21" t="s">
        <v>12</v>
      </c>
      <c r="E973" s="21" t="s">
        <v>17</v>
      </c>
      <c r="F973" s="22">
        <v>4</v>
      </c>
      <c r="G973" s="22">
        <f t="shared" si="282"/>
        <v>9.2735000000000003</v>
      </c>
      <c r="H973" s="22">
        <f t="shared" si="293"/>
        <v>11.76</v>
      </c>
      <c r="I973" s="147">
        <f t="shared" si="294"/>
        <v>47.04</v>
      </c>
      <c r="J973" s="148"/>
      <c r="K973" s="148"/>
      <c r="L973" s="148"/>
      <c r="M973" s="148">
        <v>10.33</v>
      </c>
      <c r="N973" s="148">
        <v>13.1</v>
      </c>
      <c r="O973" s="148">
        <v>52.4</v>
      </c>
      <c r="P973" s="494"/>
      <c r="Q973" s="148">
        <f t="shared" si="291"/>
        <v>0</v>
      </c>
      <c r="R973" s="148"/>
      <c r="S973" s="148">
        <f t="shared" si="295"/>
        <v>0</v>
      </c>
      <c r="T973" s="148">
        <f t="shared" si="287"/>
        <v>4</v>
      </c>
      <c r="U973" s="148">
        <f t="shared" si="292"/>
        <v>52.4</v>
      </c>
      <c r="V973" s="379"/>
      <c r="W973" s="379"/>
      <c r="X973" s="57" t="e">
        <f>IF(B973&lt;&gt;0,VLOOKUP(B973,#REF!,4,FALSE),"")</f>
        <v>#REF!</v>
      </c>
      <c r="Y973" s="334" t="s">
        <v>3226</v>
      </c>
      <c r="Z973" s="334">
        <f t="shared" si="283"/>
        <v>37.094000000000001</v>
      </c>
      <c r="AA973" s="57"/>
      <c r="AB973" s="58" t="e">
        <f>IF(B973&lt;&gt;0,VLOOKUP(B973,#REF!,2,FALSE),"")</f>
        <v>#REF!</v>
      </c>
    </row>
    <row r="974" spans="1:28" s="55" customFormat="1" ht="45">
      <c r="A974" s="36" t="s">
        <v>3715</v>
      </c>
      <c r="B974" s="20">
        <v>1570</v>
      </c>
      <c r="C974" s="439" t="s">
        <v>3751</v>
      </c>
      <c r="D974" s="21" t="s">
        <v>12</v>
      </c>
      <c r="E974" s="21" t="s">
        <v>17</v>
      </c>
      <c r="F974" s="22">
        <v>8</v>
      </c>
      <c r="G974" s="22">
        <f t="shared" si="282"/>
        <v>0.77350000000000008</v>
      </c>
      <c r="H974" s="22">
        <f t="shared" si="293"/>
        <v>0.98</v>
      </c>
      <c r="I974" s="147">
        <f t="shared" si="294"/>
        <v>7.84</v>
      </c>
      <c r="J974" s="148"/>
      <c r="K974" s="148"/>
      <c r="L974" s="148"/>
      <c r="M974" s="148">
        <v>0.86</v>
      </c>
      <c r="N974" s="148">
        <v>1.0900000000000001</v>
      </c>
      <c r="O974" s="148">
        <v>8.7200000000000006</v>
      </c>
      <c r="P974" s="494"/>
      <c r="Q974" s="148">
        <f t="shared" si="291"/>
        <v>0</v>
      </c>
      <c r="R974" s="148"/>
      <c r="S974" s="148">
        <f t="shared" si="295"/>
        <v>0</v>
      </c>
      <c r="T974" s="148">
        <f t="shared" si="287"/>
        <v>8</v>
      </c>
      <c r="U974" s="148">
        <f t="shared" si="292"/>
        <v>8.7200000000000006</v>
      </c>
      <c r="V974" s="379"/>
      <c r="W974" s="379"/>
      <c r="X974" s="57" t="e">
        <f>IF(B974&lt;&gt;0,VLOOKUP(B974,#REF!,4,FALSE),"")</f>
        <v>#REF!</v>
      </c>
      <c r="Y974" s="334" t="s">
        <v>1858</v>
      </c>
      <c r="Z974" s="334">
        <f t="shared" si="283"/>
        <v>6.1880000000000006</v>
      </c>
      <c r="AA974" s="57"/>
      <c r="AB974" s="58" t="e">
        <f>IF(B974&lt;&gt;0,VLOOKUP(B974,#REF!,2,FALSE),"")</f>
        <v>#REF!</v>
      </c>
    </row>
    <row r="975" spans="1:28" s="55" customFormat="1" ht="45">
      <c r="A975" s="36" t="s">
        <v>3716</v>
      </c>
      <c r="B975" s="20">
        <v>1573</v>
      </c>
      <c r="C975" s="439" t="s">
        <v>3752</v>
      </c>
      <c r="D975" s="21" t="s">
        <v>12</v>
      </c>
      <c r="E975" s="21" t="s">
        <v>17</v>
      </c>
      <c r="F975" s="22">
        <v>22</v>
      </c>
      <c r="G975" s="22">
        <f t="shared" si="282"/>
        <v>1.1984999999999999</v>
      </c>
      <c r="H975" s="22">
        <f t="shared" si="293"/>
        <v>1.52</v>
      </c>
      <c r="I975" s="147">
        <f t="shared" si="294"/>
        <v>33.44</v>
      </c>
      <c r="J975" s="148"/>
      <c r="K975" s="148"/>
      <c r="L975" s="148"/>
      <c r="M975" s="148">
        <v>1.34</v>
      </c>
      <c r="N975" s="148">
        <v>1.7</v>
      </c>
      <c r="O975" s="148">
        <v>37.4</v>
      </c>
      <c r="P975" s="494"/>
      <c r="Q975" s="148">
        <f t="shared" si="291"/>
        <v>0</v>
      </c>
      <c r="R975" s="148"/>
      <c r="S975" s="148">
        <f t="shared" si="295"/>
        <v>0</v>
      </c>
      <c r="T975" s="148">
        <f t="shared" si="287"/>
        <v>22</v>
      </c>
      <c r="U975" s="148">
        <f t="shared" si="292"/>
        <v>37.4</v>
      </c>
      <c r="V975" s="379"/>
      <c r="W975" s="379"/>
      <c r="X975" s="57" t="e">
        <f>IF(B975&lt;&gt;0,VLOOKUP(B975,#REF!,4,FALSE),"")</f>
        <v>#REF!</v>
      </c>
      <c r="Y975" s="334" t="s">
        <v>3188</v>
      </c>
      <c r="Z975" s="334">
        <f t="shared" si="283"/>
        <v>26.366999999999997</v>
      </c>
      <c r="AA975" s="57"/>
      <c r="AB975" s="58" t="e">
        <f>IF(B975&lt;&gt;0,VLOOKUP(B975,#REF!,2,FALSE),"")</f>
        <v>#REF!</v>
      </c>
    </row>
    <row r="976" spans="1:28" s="55" customFormat="1" ht="45">
      <c r="A976" s="36" t="s">
        <v>3717</v>
      </c>
      <c r="B976" s="20">
        <v>1575</v>
      </c>
      <c r="C976" s="439" t="s">
        <v>3759</v>
      </c>
      <c r="D976" s="21" t="s">
        <v>12</v>
      </c>
      <c r="E976" s="21" t="s">
        <v>17</v>
      </c>
      <c r="F976" s="22">
        <v>11</v>
      </c>
      <c r="G976" s="22">
        <f t="shared" si="282"/>
        <v>1.5470000000000002</v>
      </c>
      <c r="H976" s="22">
        <f t="shared" si="293"/>
        <v>1.96</v>
      </c>
      <c r="I976" s="147">
        <f t="shared" si="294"/>
        <v>21.56</v>
      </c>
      <c r="J976" s="148"/>
      <c r="K976" s="148"/>
      <c r="L976" s="148"/>
      <c r="M976" s="148">
        <v>1.72</v>
      </c>
      <c r="N976" s="148">
        <v>2.1800000000000002</v>
      </c>
      <c r="O976" s="148">
        <v>23.98</v>
      </c>
      <c r="P976" s="494"/>
      <c r="Q976" s="148">
        <f t="shared" si="291"/>
        <v>0</v>
      </c>
      <c r="R976" s="148"/>
      <c r="S976" s="148">
        <f t="shared" si="295"/>
        <v>0</v>
      </c>
      <c r="T976" s="148">
        <f t="shared" si="287"/>
        <v>11</v>
      </c>
      <c r="U976" s="148">
        <f t="shared" si="292"/>
        <v>23.98</v>
      </c>
      <c r="V976" s="379"/>
      <c r="W976" s="379"/>
      <c r="X976" s="57" t="e">
        <f>IF(B976&lt;&gt;0,VLOOKUP(B976,#REF!,4,FALSE),"")</f>
        <v>#REF!</v>
      </c>
      <c r="Y976" s="334" t="s">
        <v>1861</v>
      </c>
      <c r="Z976" s="334">
        <f t="shared" si="283"/>
        <v>17.017000000000003</v>
      </c>
      <c r="AA976" s="57"/>
      <c r="AB976" s="58" t="e">
        <f>IF(B976&lt;&gt;0,VLOOKUP(B976,#REF!,2,FALSE),"")</f>
        <v>#REF!</v>
      </c>
    </row>
    <row r="977" spans="1:28" s="55" customFormat="1" ht="45">
      <c r="A977" s="19" t="s">
        <v>1319</v>
      </c>
      <c r="B977" s="20">
        <v>91930</v>
      </c>
      <c r="C977" s="19" t="s">
        <v>1731</v>
      </c>
      <c r="D977" s="21" t="s">
        <v>12</v>
      </c>
      <c r="E977" s="21" t="s">
        <v>52</v>
      </c>
      <c r="F977" s="22">
        <v>2</v>
      </c>
      <c r="G977" s="22">
        <f t="shared" si="282"/>
        <v>7.0379999999999994</v>
      </c>
      <c r="H977" s="22">
        <f t="shared" si="293"/>
        <v>8.92</v>
      </c>
      <c r="I977" s="147">
        <f t="shared" si="294"/>
        <v>17.84</v>
      </c>
      <c r="J977" s="148"/>
      <c r="K977" s="148"/>
      <c r="L977" s="148"/>
      <c r="M977" s="148">
        <v>7.84</v>
      </c>
      <c r="N977" s="148">
        <v>9.94</v>
      </c>
      <c r="O977" s="148">
        <v>19.88</v>
      </c>
      <c r="P977" s="494"/>
      <c r="Q977" s="148">
        <f t="shared" si="291"/>
        <v>0</v>
      </c>
      <c r="R977" s="148"/>
      <c r="S977" s="148">
        <f t="shared" si="295"/>
        <v>0</v>
      </c>
      <c r="T977" s="148">
        <f t="shared" si="287"/>
        <v>2</v>
      </c>
      <c r="U977" s="148">
        <f t="shared" si="292"/>
        <v>19.88</v>
      </c>
      <c r="V977" s="379"/>
      <c r="W977" s="379"/>
      <c r="X977" s="57" t="e">
        <f>IF(B977&lt;&gt;0,VLOOKUP(B977,#REF!,4,FALSE),"")</f>
        <v>#REF!</v>
      </c>
      <c r="Y977" s="334" t="s">
        <v>3110</v>
      </c>
      <c r="Z977" s="334">
        <f t="shared" si="283"/>
        <v>14.075999999999999</v>
      </c>
      <c r="AA977" s="57"/>
      <c r="AB977" s="58" t="e">
        <f>IF(B977&lt;&gt;0,VLOOKUP(B977,#REF!,2,FALSE),"")</f>
        <v>#REF!</v>
      </c>
    </row>
    <row r="978" spans="1:28" s="55" customFormat="1" ht="15" customHeight="1">
      <c r="A978" s="229" t="s">
        <v>1320</v>
      </c>
      <c r="B978" s="229"/>
      <c r="C978" s="229" t="s">
        <v>289</v>
      </c>
      <c r="D978" s="230"/>
      <c r="E978" s="230"/>
      <c r="F978" s="230"/>
      <c r="G978" s="22"/>
      <c r="H978" s="230"/>
      <c r="I978" s="445"/>
      <c r="J978" s="440"/>
      <c r="K978" s="440"/>
      <c r="L978" s="440"/>
      <c r="M978" s="440"/>
      <c r="N978" s="440"/>
      <c r="O978" s="440"/>
      <c r="P978" s="492"/>
      <c r="Q978" s="148">
        <f t="shared" si="291"/>
        <v>0</v>
      </c>
      <c r="R978" s="440"/>
      <c r="S978" s="440"/>
      <c r="T978" s="148">
        <f t="shared" si="287"/>
        <v>0</v>
      </c>
      <c r="U978" s="148">
        <f t="shared" si="292"/>
        <v>0</v>
      </c>
      <c r="V978" s="330"/>
      <c r="W978" s="330"/>
      <c r="X978" s="58"/>
      <c r="Y978" s="334"/>
      <c r="Z978" s="334">
        <f t="shared" si="283"/>
        <v>0</v>
      </c>
      <c r="AA978" s="58"/>
      <c r="AB978" s="58"/>
    </row>
    <row r="979" spans="1:28" s="55" customFormat="1" ht="75">
      <c r="A979" s="36" t="s">
        <v>3718</v>
      </c>
      <c r="B979" s="20">
        <v>101879</v>
      </c>
      <c r="C979" s="439" t="s">
        <v>3764</v>
      </c>
      <c r="D979" s="21" t="s">
        <v>12</v>
      </c>
      <c r="E979" s="21" t="s">
        <v>17</v>
      </c>
      <c r="F979" s="22">
        <v>1</v>
      </c>
      <c r="G979" s="22">
        <f t="shared" si="282"/>
        <v>460.73399999999998</v>
      </c>
      <c r="H979" s="22">
        <f t="shared" ref="H979:H985" si="296">ROUND(G979*(1+$X$14),2)</f>
        <v>584.26</v>
      </c>
      <c r="I979" s="147">
        <f t="shared" ref="I979:I985" si="297">ROUND(H979*F979,2)</f>
        <v>584.26</v>
      </c>
      <c r="J979" s="148"/>
      <c r="K979" s="148"/>
      <c r="L979" s="148"/>
      <c r="M979" s="148">
        <v>513.26</v>
      </c>
      <c r="N979" s="148">
        <v>650.87</v>
      </c>
      <c r="O979" s="148">
        <v>650.87</v>
      </c>
      <c r="P979" s="494"/>
      <c r="Q979" s="148">
        <f t="shared" si="291"/>
        <v>0</v>
      </c>
      <c r="R979" s="148"/>
      <c r="S979" s="148">
        <f t="shared" ref="S979:S985" si="298">ROUND(R979*P979,2)</f>
        <v>0</v>
      </c>
      <c r="T979" s="148">
        <f t="shared" si="287"/>
        <v>1</v>
      </c>
      <c r="U979" s="148">
        <f t="shared" si="292"/>
        <v>650.87</v>
      </c>
      <c r="V979" s="379"/>
      <c r="W979" s="379"/>
      <c r="X979" s="57" t="e">
        <f>IF(B979&lt;&gt;0,VLOOKUP(B979,#REF!,4,FALSE),"")</f>
        <v>#REF!</v>
      </c>
      <c r="Y979" s="334" t="s">
        <v>3247</v>
      </c>
      <c r="Z979" s="334">
        <f t="shared" si="283"/>
        <v>460.73399999999998</v>
      </c>
      <c r="AA979" s="57"/>
      <c r="AB979" s="58" t="e">
        <f>IF(B979&lt;&gt;0,VLOOKUP(B979,#REF!,2,FALSE),"")</f>
        <v>#REF!</v>
      </c>
    </row>
    <row r="980" spans="1:28" s="55" customFormat="1" ht="30">
      <c r="A980" s="19" t="s">
        <v>1321</v>
      </c>
      <c r="B980" s="20">
        <v>9041</v>
      </c>
      <c r="C980" s="19" t="s">
        <v>1926</v>
      </c>
      <c r="D980" s="21" t="s">
        <v>44</v>
      </c>
      <c r="E980" s="21" t="s">
        <v>17</v>
      </c>
      <c r="F980" s="22">
        <v>4</v>
      </c>
      <c r="G980" s="22">
        <f t="shared" si="282"/>
        <v>97.393000000000001</v>
      </c>
      <c r="H980" s="22">
        <f t="shared" si="296"/>
        <v>123.5</v>
      </c>
      <c r="I980" s="147">
        <f t="shared" si="297"/>
        <v>494</v>
      </c>
      <c r="J980" s="148"/>
      <c r="K980" s="148"/>
      <c r="L980" s="148"/>
      <c r="M980" s="148">
        <v>108.5</v>
      </c>
      <c r="N980" s="148">
        <v>137.59</v>
      </c>
      <c r="O980" s="148">
        <v>550.36</v>
      </c>
      <c r="P980" s="494"/>
      <c r="Q980" s="148">
        <f t="shared" si="291"/>
        <v>0</v>
      </c>
      <c r="R980" s="148"/>
      <c r="S980" s="148">
        <f t="shared" si="298"/>
        <v>0</v>
      </c>
      <c r="T980" s="148">
        <f t="shared" si="287"/>
        <v>4</v>
      </c>
      <c r="U980" s="148">
        <f t="shared" si="292"/>
        <v>550.36</v>
      </c>
      <c r="V980" s="379"/>
      <c r="W980" s="379"/>
      <c r="X980" s="57">
        <f>'COMPOSIÇÃO DE CUSTOS'!G1869</f>
        <v>97.39</v>
      </c>
      <c r="Y980" s="334">
        <v>114.58</v>
      </c>
      <c r="Z980" s="334">
        <f t="shared" si="283"/>
        <v>389.572</v>
      </c>
      <c r="AA980" s="57"/>
      <c r="AB980" s="58"/>
    </row>
    <row r="981" spans="1:28" s="55" customFormat="1" ht="30">
      <c r="A981" s="19" t="s">
        <v>1322</v>
      </c>
      <c r="B981" s="20">
        <v>93653</v>
      </c>
      <c r="C981" s="19" t="s">
        <v>1729</v>
      </c>
      <c r="D981" s="21" t="s">
        <v>12</v>
      </c>
      <c r="E981" s="21" t="s">
        <v>17</v>
      </c>
      <c r="F981" s="22">
        <v>4</v>
      </c>
      <c r="G981" s="22">
        <f t="shared" ref="G981:G1044" si="299">Y981-(Y981*$Y$15)</f>
        <v>9.2735000000000003</v>
      </c>
      <c r="H981" s="22">
        <f t="shared" si="296"/>
        <v>11.76</v>
      </c>
      <c r="I981" s="147">
        <f t="shared" si="297"/>
        <v>47.04</v>
      </c>
      <c r="J981" s="148"/>
      <c r="K981" s="148"/>
      <c r="L981" s="148"/>
      <c r="M981" s="148">
        <v>10.33</v>
      </c>
      <c r="N981" s="148">
        <v>13.1</v>
      </c>
      <c r="O981" s="148">
        <v>52.4</v>
      </c>
      <c r="P981" s="494"/>
      <c r="Q981" s="148">
        <f t="shared" si="291"/>
        <v>0</v>
      </c>
      <c r="R981" s="148"/>
      <c r="S981" s="148">
        <f t="shared" si="298"/>
        <v>0</v>
      </c>
      <c r="T981" s="148">
        <f t="shared" si="287"/>
        <v>4</v>
      </c>
      <c r="U981" s="148">
        <f t="shared" si="292"/>
        <v>52.4</v>
      </c>
      <c r="V981" s="379"/>
      <c r="W981" s="379"/>
      <c r="X981" s="57" t="e">
        <f>IF(B981&lt;&gt;0,VLOOKUP(B981,#REF!,4,FALSE),"")</f>
        <v>#REF!</v>
      </c>
      <c r="Y981" s="334" t="s">
        <v>3226</v>
      </c>
      <c r="Z981" s="334">
        <f t="shared" ref="Z981:Z1044" si="300">F981*G981</f>
        <v>37.094000000000001</v>
      </c>
      <c r="AA981" s="57"/>
      <c r="AB981" s="58" t="e">
        <f>IF(B981&lt;&gt;0,VLOOKUP(B981,#REF!,2,FALSE),"")</f>
        <v>#REF!</v>
      </c>
    </row>
    <row r="982" spans="1:28" s="55" customFormat="1" ht="75">
      <c r="A982" s="36" t="s">
        <v>3719</v>
      </c>
      <c r="B982" s="20">
        <v>1570</v>
      </c>
      <c r="C982" s="19" t="s">
        <v>3557</v>
      </c>
      <c r="D982" s="21" t="s">
        <v>12</v>
      </c>
      <c r="E982" s="21" t="s">
        <v>17</v>
      </c>
      <c r="F982" s="22">
        <v>4</v>
      </c>
      <c r="G982" s="22">
        <f t="shared" si="299"/>
        <v>0.77350000000000008</v>
      </c>
      <c r="H982" s="22">
        <f t="shared" si="296"/>
        <v>0.98</v>
      </c>
      <c r="I982" s="147">
        <f t="shared" si="297"/>
        <v>3.92</v>
      </c>
      <c r="J982" s="148"/>
      <c r="K982" s="148"/>
      <c r="L982" s="148"/>
      <c r="M982" s="148">
        <v>0.86</v>
      </c>
      <c r="N982" s="148">
        <v>1.0900000000000001</v>
      </c>
      <c r="O982" s="148">
        <v>4.3600000000000003</v>
      </c>
      <c r="P982" s="494"/>
      <c r="Q982" s="148">
        <f t="shared" si="291"/>
        <v>0</v>
      </c>
      <c r="R982" s="148"/>
      <c r="S982" s="148">
        <f t="shared" si="298"/>
        <v>0</v>
      </c>
      <c r="T982" s="148">
        <f t="shared" si="287"/>
        <v>4</v>
      </c>
      <c r="U982" s="148">
        <f t="shared" si="292"/>
        <v>4.3600000000000003</v>
      </c>
      <c r="V982" s="379"/>
      <c r="W982" s="379"/>
      <c r="X982" s="57" t="e">
        <f>IF(B982&lt;&gt;0,VLOOKUP(B982,#REF!,4,FALSE),"")</f>
        <v>#REF!</v>
      </c>
      <c r="Y982" s="334" t="s">
        <v>1858</v>
      </c>
      <c r="Z982" s="334">
        <f t="shared" si="300"/>
        <v>3.0940000000000003</v>
      </c>
      <c r="AA982" s="57"/>
      <c r="AB982" s="58" t="e">
        <f>IF(B982&lt;&gt;0,VLOOKUP(B982,#REF!,2,FALSE),"")</f>
        <v>#REF!</v>
      </c>
    </row>
    <row r="983" spans="1:28" s="55" customFormat="1" ht="45">
      <c r="A983" s="36" t="s">
        <v>3720</v>
      </c>
      <c r="B983" s="20">
        <v>1573</v>
      </c>
      <c r="C983" s="439" t="s">
        <v>3752</v>
      </c>
      <c r="D983" s="21" t="s">
        <v>12</v>
      </c>
      <c r="E983" s="21" t="s">
        <v>17</v>
      </c>
      <c r="F983" s="22">
        <v>22</v>
      </c>
      <c r="G983" s="22">
        <f t="shared" si="299"/>
        <v>1.1984999999999999</v>
      </c>
      <c r="H983" s="22">
        <f t="shared" si="296"/>
        <v>1.52</v>
      </c>
      <c r="I983" s="147">
        <f t="shared" si="297"/>
        <v>33.44</v>
      </c>
      <c r="J983" s="148"/>
      <c r="K983" s="148"/>
      <c r="L983" s="148"/>
      <c r="M983" s="148">
        <v>1.34</v>
      </c>
      <c r="N983" s="148">
        <v>1.7</v>
      </c>
      <c r="O983" s="148">
        <v>37.4</v>
      </c>
      <c r="P983" s="494"/>
      <c r="Q983" s="148">
        <f t="shared" si="291"/>
        <v>0</v>
      </c>
      <c r="R983" s="148"/>
      <c r="S983" s="148">
        <f t="shared" si="298"/>
        <v>0</v>
      </c>
      <c r="T983" s="148">
        <f t="shared" si="287"/>
        <v>22</v>
      </c>
      <c r="U983" s="148">
        <f t="shared" si="292"/>
        <v>37.4</v>
      </c>
      <c r="V983" s="379"/>
      <c r="W983" s="379"/>
      <c r="X983" s="57" t="e">
        <f>IF(B983&lt;&gt;0,VLOOKUP(B983,#REF!,4,FALSE),"")</f>
        <v>#REF!</v>
      </c>
      <c r="Y983" s="334" t="s">
        <v>3188</v>
      </c>
      <c r="Z983" s="334">
        <f t="shared" si="300"/>
        <v>26.366999999999997</v>
      </c>
      <c r="AA983" s="57"/>
      <c r="AB983" s="58" t="e">
        <f>IF(B983&lt;&gt;0,VLOOKUP(B983,#REF!,2,FALSE),"")</f>
        <v>#REF!</v>
      </c>
    </row>
    <row r="984" spans="1:28" s="55" customFormat="1" ht="75">
      <c r="A984" s="36" t="s">
        <v>3721</v>
      </c>
      <c r="B984" s="20">
        <v>1575</v>
      </c>
      <c r="C984" s="19" t="s">
        <v>3572</v>
      </c>
      <c r="D984" s="21" t="s">
        <v>12</v>
      </c>
      <c r="E984" s="21" t="s">
        <v>17</v>
      </c>
      <c r="F984" s="22">
        <v>11</v>
      </c>
      <c r="G984" s="22">
        <f t="shared" si="299"/>
        <v>1.5470000000000002</v>
      </c>
      <c r="H984" s="22">
        <f t="shared" si="296"/>
        <v>1.96</v>
      </c>
      <c r="I984" s="147">
        <f t="shared" si="297"/>
        <v>21.56</v>
      </c>
      <c r="J984" s="148"/>
      <c r="K984" s="148"/>
      <c r="L984" s="148"/>
      <c r="M984" s="148">
        <v>1.72</v>
      </c>
      <c r="N984" s="148">
        <v>2.1800000000000002</v>
      </c>
      <c r="O984" s="148">
        <v>23.98</v>
      </c>
      <c r="P984" s="494"/>
      <c r="Q984" s="148">
        <f t="shared" si="291"/>
        <v>0</v>
      </c>
      <c r="R984" s="148"/>
      <c r="S984" s="148">
        <f t="shared" si="298"/>
        <v>0</v>
      </c>
      <c r="T984" s="148">
        <f t="shared" si="287"/>
        <v>11</v>
      </c>
      <c r="U984" s="148">
        <f t="shared" si="292"/>
        <v>23.98</v>
      </c>
      <c r="V984" s="379"/>
      <c r="W984" s="379"/>
      <c r="X984" s="57" t="e">
        <f>IF(B984&lt;&gt;0,VLOOKUP(B984,#REF!,4,FALSE),"")</f>
        <v>#REF!</v>
      </c>
      <c r="Y984" s="334" t="s">
        <v>1861</v>
      </c>
      <c r="Z984" s="334">
        <f t="shared" si="300"/>
        <v>17.017000000000003</v>
      </c>
      <c r="AA984" s="57"/>
      <c r="AB984" s="58" t="e">
        <f>IF(B984&lt;&gt;0,VLOOKUP(B984,#REF!,2,FALSE),"")</f>
        <v>#REF!</v>
      </c>
    </row>
    <row r="985" spans="1:28" s="55" customFormat="1" ht="45">
      <c r="A985" s="19" t="s">
        <v>1323</v>
      </c>
      <c r="B985" s="20">
        <v>91930</v>
      </c>
      <c r="C985" s="19" t="s">
        <v>1731</v>
      </c>
      <c r="D985" s="21" t="s">
        <v>12</v>
      </c>
      <c r="E985" s="21" t="s">
        <v>52</v>
      </c>
      <c r="F985" s="22">
        <v>2</v>
      </c>
      <c r="G985" s="22">
        <f t="shared" si="299"/>
        <v>7.0379999999999994</v>
      </c>
      <c r="H985" s="22">
        <f t="shared" si="296"/>
        <v>8.92</v>
      </c>
      <c r="I985" s="147">
        <f t="shared" si="297"/>
        <v>17.84</v>
      </c>
      <c r="J985" s="148"/>
      <c r="K985" s="148"/>
      <c r="L985" s="148"/>
      <c r="M985" s="148">
        <v>7.84</v>
      </c>
      <c r="N985" s="148">
        <v>9.94</v>
      </c>
      <c r="O985" s="148">
        <v>19.88</v>
      </c>
      <c r="P985" s="494"/>
      <c r="Q985" s="148">
        <f t="shared" si="291"/>
        <v>0</v>
      </c>
      <c r="R985" s="148"/>
      <c r="S985" s="148">
        <f t="shared" si="298"/>
        <v>0</v>
      </c>
      <c r="T985" s="148">
        <f t="shared" si="287"/>
        <v>2</v>
      </c>
      <c r="U985" s="148">
        <f t="shared" si="292"/>
        <v>19.88</v>
      </c>
      <c r="V985" s="379"/>
      <c r="W985" s="379"/>
      <c r="X985" s="57" t="e">
        <f>IF(B985&lt;&gt;0,VLOOKUP(B985,#REF!,4,FALSE),"")</f>
        <v>#REF!</v>
      </c>
      <c r="Y985" s="334" t="s">
        <v>3110</v>
      </c>
      <c r="Z985" s="334">
        <f t="shared" si="300"/>
        <v>14.075999999999999</v>
      </c>
      <c r="AA985" s="57"/>
      <c r="AB985" s="58" t="e">
        <f>IF(B985&lt;&gt;0,VLOOKUP(B985,#REF!,2,FALSE),"")</f>
        <v>#REF!</v>
      </c>
    </row>
    <row r="986" spans="1:28" s="55" customFormat="1" ht="15" customHeight="1">
      <c r="A986" s="229" t="s">
        <v>1324</v>
      </c>
      <c r="B986" s="229"/>
      <c r="C986" s="229" t="s">
        <v>290</v>
      </c>
      <c r="D986" s="230"/>
      <c r="E986" s="230"/>
      <c r="F986" s="230"/>
      <c r="G986" s="22"/>
      <c r="H986" s="230"/>
      <c r="I986" s="445"/>
      <c r="J986" s="440"/>
      <c r="K986" s="440"/>
      <c r="L986" s="440"/>
      <c r="M986" s="440"/>
      <c r="N986" s="440"/>
      <c r="O986" s="440"/>
      <c r="P986" s="492"/>
      <c r="Q986" s="148">
        <f t="shared" si="291"/>
        <v>0</v>
      </c>
      <c r="R986" s="440"/>
      <c r="S986" s="440"/>
      <c r="T986" s="148">
        <f t="shared" si="287"/>
        <v>0</v>
      </c>
      <c r="U986" s="148">
        <f t="shared" si="292"/>
        <v>0</v>
      </c>
      <c r="V986" s="330"/>
      <c r="W986" s="330"/>
      <c r="X986" s="58"/>
      <c r="Y986" s="334"/>
      <c r="Z986" s="334">
        <f t="shared" si="300"/>
        <v>0</v>
      </c>
      <c r="AA986" s="58"/>
      <c r="AB986" s="58"/>
    </row>
    <row r="987" spans="1:28" s="55" customFormat="1" ht="45">
      <c r="A987" s="19" t="s">
        <v>1325</v>
      </c>
      <c r="B987" s="20">
        <v>3836</v>
      </c>
      <c r="C987" s="19" t="s">
        <v>2331</v>
      </c>
      <c r="D987" s="21" t="s">
        <v>44</v>
      </c>
      <c r="E987" s="21" t="s">
        <v>17</v>
      </c>
      <c r="F987" s="22">
        <v>1</v>
      </c>
      <c r="G987" s="22">
        <f t="shared" si="299"/>
        <v>410.44799999999998</v>
      </c>
      <c r="H987" s="22">
        <f t="shared" ref="H987:H1000" si="301">ROUND(G987*(1+$X$14),2)</f>
        <v>520.49</v>
      </c>
      <c r="I987" s="147">
        <f t="shared" ref="I987:I1000" si="302">ROUND(H987*F987,2)</f>
        <v>520.49</v>
      </c>
      <c r="J987" s="148"/>
      <c r="K987" s="148"/>
      <c r="L987" s="148"/>
      <c r="M987" s="148">
        <v>457.24</v>
      </c>
      <c r="N987" s="148">
        <v>579.83000000000004</v>
      </c>
      <c r="O987" s="148">
        <v>579.83000000000004</v>
      </c>
      <c r="P987" s="494"/>
      <c r="Q987" s="148">
        <f t="shared" si="291"/>
        <v>0</v>
      </c>
      <c r="R987" s="148"/>
      <c r="S987" s="148">
        <f t="shared" ref="S987:S1000" si="303">ROUND(R987*P987,2)</f>
        <v>0</v>
      </c>
      <c r="T987" s="148">
        <f t="shared" si="287"/>
        <v>1</v>
      </c>
      <c r="U987" s="148">
        <f t="shared" si="292"/>
        <v>579.83000000000004</v>
      </c>
      <c r="V987" s="379"/>
      <c r="W987" s="379"/>
      <c r="X987" s="57">
        <f>'COMPOSIÇÃO DE CUSTOS'!G1399</f>
        <v>410.45</v>
      </c>
      <c r="Y987" s="334">
        <v>482.88</v>
      </c>
      <c r="Z987" s="334">
        <f t="shared" si="300"/>
        <v>410.44799999999998</v>
      </c>
      <c r="AA987" s="57"/>
      <c r="AB987" s="58"/>
    </row>
    <row r="988" spans="1:28" s="55" customFormat="1" ht="45">
      <c r="A988" s="36" t="s">
        <v>3722</v>
      </c>
      <c r="B988" s="20">
        <v>93669</v>
      </c>
      <c r="C988" s="439" t="s">
        <v>3765</v>
      </c>
      <c r="D988" s="21" t="s">
        <v>12</v>
      </c>
      <c r="E988" s="21" t="s">
        <v>17</v>
      </c>
      <c r="F988" s="22">
        <v>1</v>
      </c>
      <c r="G988" s="22">
        <f t="shared" si="299"/>
        <v>61.429499999999997</v>
      </c>
      <c r="H988" s="22">
        <f t="shared" si="301"/>
        <v>77.900000000000006</v>
      </c>
      <c r="I988" s="147">
        <f t="shared" si="302"/>
        <v>77.900000000000006</v>
      </c>
      <c r="J988" s="148"/>
      <c r="K988" s="148"/>
      <c r="L988" s="148"/>
      <c r="M988" s="148">
        <v>68.430000000000007</v>
      </c>
      <c r="N988" s="148">
        <v>86.78</v>
      </c>
      <c r="O988" s="148">
        <v>86.78</v>
      </c>
      <c r="P988" s="494"/>
      <c r="Q988" s="148">
        <f t="shared" si="291"/>
        <v>0</v>
      </c>
      <c r="R988" s="148"/>
      <c r="S988" s="148">
        <f t="shared" si="303"/>
        <v>0</v>
      </c>
      <c r="T988" s="148">
        <f t="shared" si="287"/>
        <v>1</v>
      </c>
      <c r="U988" s="148">
        <f t="shared" si="292"/>
        <v>86.78</v>
      </c>
      <c r="V988" s="379"/>
      <c r="W988" s="379"/>
      <c r="X988" s="57" t="e">
        <f>IF(B988&lt;&gt;0,VLOOKUP(B988,#REF!,4,FALSE),"")</f>
        <v>#REF!</v>
      </c>
      <c r="Y988" s="334" t="s">
        <v>3242</v>
      </c>
      <c r="Z988" s="334">
        <f t="shared" si="300"/>
        <v>61.429499999999997</v>
      </c>
      <c r="AA988" s="57"/>
      <c r="AB988" s="58" t="e">
        <f>IF(B988&lt;&gt;0,VLOOKUP(B988,#REF!,2,FALSE),"")</f>
        <v>#REF!</v>
      </c>
    </row>
    <row r="989" spans="1:28" s="55" customFormat="1" ht="30">
      <c r="A989" s="19" t="s">
        <v>1326</v>
      </c>
      <c r="B989" s="20">
        <v>93654</v>
      </c>
      <c r="C989" s="19" t="s">
        <v>1730</v>
      </c>
      <c r="D989" s="21" t="s">
        <v>12</v>
      </c>
      <c r="E989" s="21" t="s">
        <v>17</v>
      </c>
      <c r="F989" s="22">
        <v>2</v>
      </c>
      <c r="G989" s="22">
        <f t="shared" si="299"/>
        <v>9.6050000000000004</v>
      </c>
      <c r="H989" s="22">
        <f t="shared" si="301"/>
        <v>12.18</v>
      </c>
      <c r="I989" s="147">
        <f t="shared" si="302"/>
        <v>24.36</v>
      </c>
      <c r="J989" s="148"/>
      <c r="K989" s="148"/>
      <c r="L989" s="148"/>
      <c r="M989" s="148">
        <v>10.7</v>
      </c>
      <c r="N989" s="148">
        <v>13.57</v>
      </c>
      <c r="O989" s="148">
        <v>27.14</v>
      </c>
      <c r="P989" s="494"/>
      <c r="Q989" s="148">
        <f t="shared" si="291"/>
        <v>0</v>
      </c>
      <c r="R989" s="148"/>
      <c r="S989" s="148">
        <f t="shared" si="303"/>
        <v>0</v>
      </c>
      <c r="T989" s="148">
        <f t="shared" si="287"/>
        <v>2</v>
      </c>
      <c r="U989" s="148">
        <f t="shared" si="292"/>
        <v>27.14</v>
      </c>
      <c r="V989" s="379"/>
      <c r="W989" s="379"/>
      <c r="X989" s="57" t="e">
        <f>IF(B989&lt;&gt;0,VLOOKUP(B989,#REF!,4,FALSE),"")</f>
        <v>#REF!</v>
      </c>
      <c r="Y989" s="334" t="s">
        <v>3240</v>
      </c>
      <c r="Z989" s="334">
        <f t="shared" si="300"/>
        <v>19.21</v>
      </c>
      <c r="AA989" s="57"/>
      <c r="AB989" s="58" t="e">
        <f>IF(B989&lt;&gt;0,VLOOKUP(B989,#REF!,2,FALSE),"")</f>
        <v>#REF!</v>
      </c>
    </row>
    <row r="990" spans="1:28" s="55" customFormat="1">
      <c r="A990" s="19" t="s">
        <v>1327</v>
      </c>
      <c r="B990" s="21" t="s">
        <v>2321</v>
      </c>
      <c r="C990" s="19" t="s">
        <v>277</v>
      </c>
      <c r="D990" s="21" t="s">
        <v>1914</v>
      </c>
      <c r="E990" s="21" t="s">
        <v>17</v>
      </c>
      <c r="F990" s="22">
        <v>2</v>
      </c>
      <c r="G990" s="22">
        <f t="shared" si="299"/>
        <v>100.232</v>
      </c>
      <c r="H990" s="22">
        <f t="shared" si="301"/>
        <v>127.1</v>
      </c>
      <c r="I990" s="147">
        <f t="shared" si="302"/>
        <v>254.2</v>
      </c>
      <c r="J990" s="148"/>
      <c r="K990" s="148"/>
      <c r="L990" s="148"/>
      <c r="M990" s="148">
        <v>111.66</v>
      </c>
      <c r="N990" s="148">
        <v>141.6</v>
      </c>
      <c r="O990" s="148">
        <v>283.2</v>
      </c>
      <c r="P990" s="494"/>
      <c r="Q990" s="148">
        <f t="shared" si="291"/>
        <v>0</v>
      </c>
      <c r="R990" s="148"/>
      <c r="S990" s="148">
        <f t="shared" si="303"/>
        <v>0</v>
      </c>
      <c r="T990" s="148">
        <f t="shared" si="287"/>
        <v>2</v>
      </c>
      <c r="U990" s="148">
        <f t="shared" si="292"/>
        <v>283.2</v>
      </c>
      <c r="V990" s="379"/>
      <c r="W990" s="379"/>
      <c r="X990" s="57">
        <f>'COMPOSIÇÃO DE CUSTOS'!G1413</f>
        <v>100.23</v>
      </c>
      <c r="Y990" s="334">
        <v>117.92</v>
      </c>
      <c r="Z990" s="334">
        <f t="shared" si="300"/>
        <v>200.464</v>
      </c>
      <c r="AA990" s="57"/>
      <c r="AB990" s="58"/>
    </row>
    <row r="991" spans="1:28" s="55" customFormat="1" ht="45">
      <c r="A991" s="19" t="s">
        <v>1328</v>
      </c>
      <c r="B991" s="20">
        <v>72343</v>
      </c>
      <c r="C991" s="19" t="s">
        <v>291</v>
      </c>
      <c r="D991" s="21" t="s">
        <v>1914</v>
      </c>
      <c r="E991" s="21" t="s">
        <v>17</v>
      </c>
      <c r="F991" s="22">
        <v>2</v>
      </c>
      <c r="G991" s="22">
        <f t="shared" si="299"/>
        <v>227.42599999999999</v>
      </c>
      <c r="H991" s="22">
        <f t="shared" si="301"/>
        <v>288.39999999999998</v>
      </c>
      <c r="I991" s="147">
        <f t="shared" si="302"/>
        <v>576.79999999999995</v>
      </c>
      <c r="J991" s="148"/>
      <c r="K991" s="148"/>
      <c r="L991" s="148"/>
      <c r="M991" s="148">
        <v>253.35</v>
      </c>
      <c r="N991" s="148">
        <v>321.27</v>
      </c>
      <c r="O991" s="148">
        <v>642.54</v>
      </c>
      <c r="P991" s="494"/>
      <c r="Q991" s="148">
        <f t="shared" si="291"/>
        <v>0</v>
      </c>
      <c r="R991" s="148"/>
      <c r="S991" s="148">
        <f t="shared" si="303"/>
        <v>0</v>
      </c>
      <c r="T991" s="148">
        <f t="shared" si="287"/>
        <v>2</v>
      </c>
      <c r="U991" s="148">
        <f t="shared" si="292"/>
        <v>642.54</v>
      </c>
      <c r="V991" s="379"/>
      <c r="W991" s="379"/>
      <c r="X991" s="57">
        <f>'COMPOSIÇÃO DE CUSTOS'!G1464</f>
        <v>227.42</v>
      </c>
      <c r="Y991" s="334">
        <v>267.56</v>
      </c>
      <c r="Z991" s="334">
        <f t="shared" si="300"/>
        <v>454.85199999999998</v>
      </c>
      <c r="AA991" s="57"/>
      <c r="AB991" s="58"/>
    </row>
    <row r="992" spans="1:28" s="55" customFormat="1" ht="45">
      <c r="A992" s="19" t="s">
        <v>1329</v>
      </c>
      <c r="B992" s="21" t="s">
        <v>2334</v>
      </c>
      <c r="C992" s="19" t="s">
        <v>292</v>
      </c>
      <c r="D992" s="21" t="s">
        <v>1914</v>
      </c>
      <c r="E992" s="21" t="s">
        <v>17</v>
      </c>
      <c r="F992" s="22">
        <v>2</v>
      </c>
      <c r="G992" s="22">
        <f t="shared" si="299"/>
        <v>191.79399999999998</v>
      </c>
      <c r="H992" s="22">
        <f t="shared" si="301"/>
        <v>243.21</v>
      </c>
      <c r="I992" s="147">
        <f t="shared" si="302"/>
        <v>486.42</v>
      </c>
      <c r="J992" s="148"/>
      <c r="K992" s="148"/>
      <c r="L992" s="148"/>
      <c r="M992" s="148">
        <v>213.66</v>
      </c>
      <c r="N992" s="148">
        <v>270.94</v>
      </c>
      <c r="O992" s="148">
        <v>541.88</v>
      </c>
      <c r="P992" s="494"/>
      <c r="Q992" s="148">
        <f t="shared" si="291"/>
        <v>0</v>
      </c>
      <c r="R992" s="148"/>
      <c r="S992" s="148">
        <f t="shared" si="303"/>
        <v>0</v>
      </c>
      <c r="T992" s="148">
        <f t="shared" si="287"/>
        <v>2</v>
      </c>
      <c r="U992" s="148">
        <f t="shared" si="292"/>
        <v>541.88</v>
      </c>
      <c r="V992" s="379"/>
      <c r="W992" s="379"/>
      <c r="X992" s="57">
        <f>'COMPOSIÇÃO DE CUSTOS'!G1472</f>
        <v>191.8</v>
      </c>
      <c r="Y992" s="334">
        <v>225.64</v>
      </c>
      <c r="Z992" s="334">
        <f t="shared" si="300"/>
        <v>383.58799999999997</v>
      </c>
      <c r="AA992" s="57"/>
      <c r="AB992" s="58"/>
    </row>
    <row r="993" spans="1:28" s="55" customFormat="1">
      <c r="A993" s="19" t="s">
        <v>1330</v>
      </c>
      <c r="B993" s="21" t="s">
        <v>2322</v>
      </c>
      <c r="C993" s="19" t="s">
        <v>278</v>
      </c>
      <c r="D993" s="21" t="s">
        <v>1914</v>
      </c>
      <c r="E993" s="21" t="s">
        <v>17</v>
      </c>
      <c r="F993" s="22">
        <v>2</v>
      </c>
      <c r="G993" s="22">
        <f t="shared" si="299"/>
        <v>113.61949999999999</v>
      </c>
      <c r="H993" s="22">
        <f t="shared" si="301"/>
        <v>144.08000000000001</v>
      </c>
      <c r="I993" s="147">
        <f t="shared" si="302"/>
        <v>288.16000000000003</v>
      </c>
      <c r="J993" s="148"/>
      <c r="K993" s="148"/>
      <c r="L993" s="148"/>
      <c r="M993" s="148">
        <v>126.57</v>
      </c>
      <c r="N993" s="148">
        <v>160.5</v>
      </c>
      <c r="O993" s="148">
        <v>321</v>
      </c>
      <c r="P993" s="494"/>
      <c r="Q993" s="148">
        <f t="shared" si="291"/>
        <v>0</v>
      </c>
      <c r="R993" s="148"/>
      <c r="S993" s="148">
        <f t="shared" si="303"/>
        <v>0</v>
      </c>
      <c r="T993" s="148">
        <f t="shared" si="287"/>
        <v>2</v>
      </c>
      <c r="U993" s="148">
        <f t="shared" si="292"/>
        <v>321</v>
      </c>
      <c r="V993" s="379"/>
      <c r="W993" s="379"/>
      <c r="X993" s="57">
        <f>'COMPOSIÇÃO DE CUSTOS'!G1420</f>
        <v>113.62</v>
      </c>
      <c r="Y993" s="334">
        <v>133.66999999999999</v>
      </c>
      <c r="Z993" s="334">
        <f t="shared" si="300"/>
        <v>227.23899999999998</v>
      </c>
      <c r="AA993" s="57"/>
      <c r="AB993" s="58"/>
    </row>
    <row r="994" spans="1:28" s="55" customFormat="1" ht="45">
      <c r="A994" s="36" t="s">
        <v>3723</v>
      </c>
      <c r="B994" s="20">
        <v>1571</v>
      </c>
      <c r="C994" s="439" t="s">
        <v>3754</v>
      </c>
      <c r="D994" s="21" t="s">
        <v>12</v>
      </c>
      <c r="E994" s="21" t="s">
        <v>17</v>
      </c>
      <c r="F994" s="22">
        <v>50</v>
      </c>
      <c r="G994" s="22">
        <f t="shared" si="299"/>
        <v>1.0114999999999998</v>
      </c>
      <c r="H994" s="22">
        <f t="shared" si="301"/>
        <v>1.28</v>
      </c>
      <c r="I994" s="147">
        <f t="shared" si="302"/>
        <v>64</v>
      </c>
      <c r="J994" s="148"/>
      <c r="K994" s="148"/>
      <c r="L994" s="148"/>
      <c r="M994" s="148">
        <v>1.1299999999999999</v>
      </c>
      <c r="N994" s="148">
        <v>1.43</v>
      </c>
      <c r="O994" s="148">
        <v>71.5</v>
      </c>
      <c r="P994" s="494"/>
      <c r="Q994" s="148">
        <f t="shared" si="291"/>
        <v>0</v>
      </c>
      <c r="R994" s="148"/>
      <c r="S994" s="148">
        <f t="shared" si="303"/>
        <v>0</v>
      </c>
      <c r="T994" s="148">
        <f t="shared" si="287"/>
        <v>50</v>
      </c>
      <c r="U994" s="148">
        <f t="shared" si="292"/>
        <v>71.5</v>
      </c>
      <c r="V994" s="379"/>
      <c r="W994" s="379"/>
      <c r="X994" s="57" t="e">
        <f>IF(B994&lt;&gt;0,VLOOKUP(B994,#REF!,4,FALSE),"")</f>
        <v>#REF!</v>
      </c>
      <c r="Y994" s="334" t="s">
        <v>1843</v>
      </c>
      <c r="Z994" s="334">
        <f t="shared" si="300"/>
        <v>50.574999999999989</v>
      </c>
      <c r="AA994" s="57"/>
      <c r="AB994" s="58" t="e">
        <f>IF(B994&lt;&gt;0,VLOOKUP(B994,#REF!,2,FALSE),"")</f>
        <v>#REF!</v>
      </c>
    </row>
    <row r="995" spans="1:28" s="55" customFormat="1" ht="45">
      <c r="A995" s="36" t="s">
        <v>3724</v>
      </c>
      <c r="B995" s="20">
        <v>1573</v>
      </c>
      <c r="C995" s="439" t="s">
        <v>3752</v>
      </c>
      <c r="D995" s="21" t="s">
        <v>12</v>
      </c>
      <c r="E995" s="21" t="s">
        <v>17</v>
      </c>
      <c r="F995" s="22">
        <v>25</v>
      </c>
      <c r="G995" s="22">
        <f t="shared" si="299"/>
        <v>1.1984999999999999</v>
      </c>
      <c r="H995" s="22">
        <f t="shared" si="301"/>
        <v>1.52</v>
      </c>
      <c r="I995" s="147">
        <f t="shared" si="302"/>
        <v>38</v>
      </c>
      <c r="J995" s="148"/>
      <c r="K995" s="148"/>
      <c r="L995" s="148"/>
      <c r="M995" s="148">
        <v>1.34</v>
      </c>
      <c r="N995" s="148">
        <v>1.7</v>
      </c>
      <c r="O995" s="148">
        <v>42.5</v>
      </c>
      <c r="P995" s="494"/>
      <c r="Q995" s="148">
        <f t="shared" si="291"/>
        <v>0</v>
      </c>
      <c r="R995" s="148"/>
      <c r="S995" s="148">
        <f t="shared" si="303"/>
        <v>0</v>
      </c>
      <c r="T995" s="148">
        <f t="shared" si="287"/>
        <v>25</v>
      </c>
      <c r="U995" s="148">
        <f t="shared" si="292"/>
        <v>42.5</v>
      </c>
      <c r="V995" s="379"/>
      <c r="W995" s="379"/>
      <c r="X995" s="57" t="e">
        <f>IF(B995&lt;&gt;0,VLOOKUP(B995,#REF!,4,FALSE),"")</f>
        <v>#REF!</v>
      </c>
      <c r="Y995" s="334" t="s">
        <v>3188</v>
      </c>
      <c r="Z995" s="334">
        <f t="shared" si="300"/>
        <v>29.962499999999999</v>
      </c>
      <c r="AA995" s="57"/>
      <c r="AB995" s="58" t="e">
        <f>IF(B995&lt;&gt;0,VLOOKUP(B995,#REF!,2,FALSE),"")</f>
        <v>#REF!</v>
      </c>
    </row>
    <row r="996" spans="1:28" s="55" customFormat="1" ht="45">
      <c r="A996" s="36" t="s">
        <v>3725</v>
      </c>
      <c r="B996" s="20">
        <v>1570</v>
      </c>
      <c r="C996" s="439" t="s">
        <v>3751</v>
      </c>
      <c r="D996" s="21" t="s">
        <v>12</v>
      </c>
      <c r="E996" s="21" t="s">
        <v>17</v>
      </c>
      <c r="F996" s="22">
        <v>100</v>
      </c>
      <c r="G996" s="22">
        <f t="shared" si="299"/>
        <v>0.77350000000000008</v>
      </c>
      <c r="H996" s="22">
        <f t="shared" si="301"/>
        <v>0.98</v>
      </c>
      <c r="I996" s="147">
        <f t="shared" si="302"/>
        <v>98</v>
      </c>
      <c r="J996" s="148"/>
      <c r="K996" s="148"/>
      <c r="L996" s="148"/>
      <c r="M996" s="148">
        <v>0.86</v>
      </c>
      <c r="N996" s="148">
        <v>1.0900000000000001</v>
      </c>
      <c r="O996" s="148">
        <v>109</v>
      </c>
      <c r="P996" s="494"/>
      <c r="Q996" s="148">
        <f t="shared" si="291"/>
        <v>0</v>
      </c>
      <c r="R996" s="148"/>
      <c r="S996" s="148">
        <f t="shared" si="303"/>
        <v>0</v>
      </c>
      <c r="T996" s="148">
        <f t="shared" si="287"/>
        <v>100</v>
      </c>
      <c r="U996" s="148">
        <f t="shared" si="292"/>
        <v>109</v>
      </c>
      <c r="V996" s="379"/>
      <c r="W996" s="379"/>
      <c r="X996" s="57" t="e">
        <f>IF(B996&lt;&gt;0,VLOOKUP(B996,#REF!,4,FALSE),"")</f>
        <v>#REF!</v>
      </c>
      <c r="Y996" s="334" t="s">
        <v>1858</v>
      </c>
      <c r="Z996" s="334">
        <f t="shared" si="300"/>
        <v>77.350000000000009</v>
      </c>
      <c r="AA996" s="57"/>
      <c r="AB996" s="58" t="e">
        <f>IF(B996&lt;&gt;0,VLOOKUP(B996,#REF!,2,FALSE),"")</f>
        <v>#REF!</v>
      </c>
    </row>
    <row r="997" spans="1:28" s="55" customFormat="1" ht="45">
      <c r="A997" s="19" t="s">
        <v>1331</v>
      </c>
      <c r="B997" s="20">
        <v>91931</v>
      </c>
      <c r="C997" s="19" t="s">
        <v>1737</v>
      </c>
      <c r="D997" s="21" t="s">
        <v>12</v>
      </c>
      <c r="E997" s="21" t="s">
        <v>52</v>
      </c>
      <c r="F997" s="22">
        <v>2</v>
      </c>
      <c r="G997" s="22">
        <f t="shared" si="299"/>
        <v>7.9474999999999998</v>
      </c>
      <c r="H997" s="22">
        <f t="shared" si="301"/>
        <v>10.08</v>
      </c>
      <c r="I997" s="147">
        <f t="shared" si="302"/>
        <v>20.16</v>
      </c>
      <c r="J997" s="148"/>
      <c r="K997" s="148"/>
      <c r="L997" s="148"/>
      <c r="M997" s="148">
        <v>8.85</v>
      </c>
      <c r="N997" s="148">
        <v>11.22</v>
      </c>
      <c r="O997" s="148">
        <v>22.44</v>
      </c>
      <c r="P997" s="494"/>
      <c r="Q997" s="148">
        <f t="shared" si="291"/>
        <v>0</v>
      </c>
      <c r="R997" s="148"/>
      <c r="S997" s="148">
        <f t="shared" si="303"/>
        <v>0</v>
      </c>
      <c r="T997" s="148">
        <f t="shared" si="287"/>
        <v>2</v>
      </c>
      <c r="U997" s="148">
        <f t="shared" si="292"/>
        <v>22.44</v>
      </c>
      <c r="V997" s="379"/>
      <c r="W997" s="379"/>
      <c r="X997" s="57" t="e">
        <f>IF(B997&lt;&gt;0,VLOOKUP(B997,#REF!,4,FALSE),"")</f>
        <v>#REF!</v>
      </c>
      <c r="Y997" s="334" t="s">
        <v>1901</v>
      </c>
      <c r="Z997" s="334">
        <f t="shared" si="300"/>
        <v>15.895</v>
      </c>
      <c r="AA997" s="57"/>
      <c r="AB997" s="58" t="e">
        <f>IF(B997&lt;&gt;0,VLOOKUP(B997,#REF!,2,FALSE),"")</f>
        <v>#REF!</v>
      </c>
    </row>
    <row r="998" spans="1:28" s="55" customFormat="1" ht="30">
      <c r="A998" s="19" t="s">
        <v>1332</v>
      </c>
      <c r="B998" s="20">
        <v>64355</v>
      </c>
      <c r="C998" s="19" t="s">
        <v>280</v>
      </c>
      <c r="D998" s="21" t="s">
        <v>1914</v>
      </c>
      <c r="E998" s="21" t="s">
        <v>17</v>
      </c>
      <c r="F998" s="22">
        <v>1</v>
      </c>
      <c r="G998" s="22">
        <f t="shared" si="299"/>
        <v>182.55450000000002</v>
      </c>
      <c r="H998" s="22">
        <f t="shared" si="301"/>
        <v>231.5</v>
      </c>
      <c r="I998" s="147">
        <f t="shared" si="302"/>
        <v>231.5</v>
      </c>
      <c r="J998" s="148"/>
      <c r="K998" s="148"/>
      <c r="L998" s="148"/>
      <c r="M998" s="148">
        <v>203.37</v>
      </c>
      <c r="N998" s="148">
        <v>257.89</v>
      </c>
      <c r="O998" s="148">
        <v>257.89</v>
      </c>
      <c r="P998" s="494"/>
      <c r="Q998" s="148">
        <f t="shared" si="291"/>
        <v>0</v>
      </c>
      <c r="R998" s="148"/>
      <c r="S998" s="148">
        <f t="shared" si="303"/>
        <v>0</v>
      </c>
      <c r="T998" s="148">
        <f t="shared" ref="T998:T1015" si="304">F998+P998-R998</f>
        <v>1</v>
      </c>
      <c r="U998" s="148">
        <f t="shared" si="292"/>
        <v>257.89</v>
      </c>
      <c r="V998" s="379"/>
      <c r="W998" s="379"/>
      <c r="X998" s="57">
        <f>'COMPOSIÇÃO DE CUSTOS'!G1435</f>
        <v>182.56</v>
      </c>
      <c r="Y998" s="334">
        <v>214.77</v>
      </c>
      <c r="Z998" s="334">
        <f t="shared" si="300"/>
        <v>182.55450000000002</v>
      </c>
      <c r="AA998" s="57"/>
      <c r="AB998" s="58"/>
    </row>
    <row r="999" spans="1:28" s="55" customFormat="1">
      <c r="A999" s="19" t="s">
        <v>1333</v>
      </c>
      <c r="B999" s="20">
        <v>3803</v>
      </c>
      <c r="C999" s="19" t="s">
        <v>282</v>
      </c>
      <c r="D999" s="21" t="s">
        <v>44</v>
      </c>
      <c r="E999" s="21" t="s">
        <v>17</v>
      </c>
      <c r="F999" s="22">
        <v>4</v>
      </c>
      <c r="G999" s="22">
        <f t="shared" si="299"/>
        <v>51.858499999999999</v>
      </c>
      <c r="H999" s="22">
        <f t="shared" si="301"/>
        <v>65.760000000000005</v>
      </c>
      <c r="I999" s="147">
        <f t="shared" si="302"/>
        <v>263.04000000000002</v>
      </c>
      <c r="J999" s="148"/>
      <c r="K999" s="148"/>
      <c r="L999" s="148"/>
      <c r="M999" s="148">
        <v>57.77</v>
      </c>
      <c r="N999" s="148">
        <v>73.260000000000005</v>
      </c>
      <c r="O999" s="148">
        <v>293.04000000000002</v>
      </c>
      <c r="P999" s="494"/>
      <c r="Q999" s="148">
        <f t="shared" si="291"/>
        <v>0</v>
      </c>
      <c r="R999" s="148"/>
      <c r="S999" s="148">
        <f t="shared" si="303"/>
        <v>0</v>
      </c>
      <c r="T999" s="148">
        <f t="shared" si="304"/>
        <v>4</v>
      </c>
      <c r="U999" s="148">
        <f t="shared" si="292"/>
        <v>293.04000000000002</v>
      </c>
      <c r="V999" s="379"/>
      <c r="W999" s="379"/>
      <c r="X999" s="57">
        <f>'COMPOSIÇÃO DE CUSTOS'!G1449</f>
        <v>51.86</v>
      </c>
      <c r="Y999" s="334">
        <v>61.01</v>
      </c>
      <c r="Z999" s="334">
        <f t="shared" si="300"/>
        <v>207.434</v>
      </c>
      <c r="AA999" s="57"/>
      <c r="AB999" s="58"/>
    </row>
    <row r="1000" spans="1:28" s="55" customFormat="1">
      <c r="A1000" s="19" t="s">
        <v>1334</v>
      </c>
      <c r="B1000" s="21" t="s">
        <v>2330</v>
      </c>
      <c r="C1000" s="19" t="s">
        <v>283</v>
      </c>
      <c r="D1000" s="21" t="s">
        <v>1914</v>
      </c>
      <c r="E1000" s="21" t="s">
        <v>17</v>
      </c>
      <c r="F1000" s="22">
        <v>2</v>
      </c>
      <c r="G1000" s="22">
        <f t="shared" si="299"/>
        <v>40.910499999999999</v>
      </c>
      <c r="H1000" s="22">
        <f t="shared" si="301"/>
        <v>51.88</v>
      </c>
      <c r="I1000" s="147">
        <f t="shared" si="302"/>
        <v>103.76</v>
      </c>
      <c r="J1000" s="148"/>
      <c r="K1000" s="148"/>
      <c r="L1000" s="148"/>
      <c r="M1000" s="148">
        <v>45.57</v>
      </c>
      <c r="N1000" s="148">
        <v>57.79</v>
      </c>
      <c r="O1000" s="148">
        <v>115.58</v>
      </c>
      <c r="P1000" s="494"/>
      <c r="Q1000" s="148">
        <f t="shared" ref="Q1000:Q1015" si="305">ROUND(P1000*N1000,2)</f>
        <v>0</v>
      </c>
      <c r="R1000" s="148"/>
      <c r="S1000" s="148">
        <f t="shared" si="303"/>
        <v>0</v>
      </c>
      <c r="T1000" s="148">
        <f t="shared" si="304"/>
        <v>2</v>
      </c>
      <c r="U1000" s="148">
        <f t="shared" si="292"/>
        <v>115.58</v>
      </c>
      <c r="V1000" s="379"/>
      <c r="W1000" s="379"/>
      <c r="X1000" s="57">
        <f>'COMPOSIÇÃO DE CUSTOS'!G1456</f>
        <v>40.909999999999997</v>
      </c>
      <c r="Y1000" s="334">
        <v>48.13</v>
      </c>
      <c r="Z1000" s="334">
        <f t="shared" si="300"/>
        <v>81.820999999999998</v>
      </c>
      <c r="AA1000" s="57"/>
      <c r="AB1000" s="58"/>
    </row>
    <row r="1001" spans="1:28" s="55" customFormat="1" ht="15" customHeight="1">
      <c r="A1001" s="229" t="s">
        <v>1335</v>
      </c>
      <c r="B1001" s="229"/>
      <c r="C1001" s="229" t="s">
        <v>293</v>
      </c>
      <c r="D1001" s="230"/>
      <c r="E1001" s="230"/>
      <c r="F1001" s="230"/>
      <c r="G1001" s="22"/>
      <c r="H1001" s="230"/>
      <c r="I1001" s="445"/>
      <c r="J1001" s="440"/>
      <c r="K1001" s="440"/>
      <c r="L1001" s="440"/>
      <c r="M1001" s="440"/>
      <c r="N1001" s="440"/>
      <c r="O1001" s="440"/>
      <c r="P1001" s="492"/>
      <c r="Q1001" s="148">
        <f t="shared" si="305"/>
        <v>0</v>
      </c>
      <c r="R1001" s="440"/>
      <c r="S1001" s="440"/>
      <c r="T1001" s="148">
        <f t="shared" si="304"/>
        <v>0</v>
      </c>
      <c r="U1001" s="148">
        <f t="shared" si="292"/>
        <v>0</v>
      </c>
      <c r="V1001" s="330"/>
      <c r="W1001" s="330"/>
      <c r="X1001" s="58"/>
      <c r="Y1001" s="334"/>
      <c r="Z1001" s="334">
        <f t="shared" si="300"/>
        <v>0</v>
      </c>
      <c r="AA1001" s="58"/>
      <c r="AB1001" s="58"/>
    </row>
    <row r="1002" spans="1:28" s="55" customFormat="1" ht="45">
      <c r="A1002" s="19" t="s">
        <v>1336</v>
      </c>
      <c r="B1002" s="20">
        <v>3836</v>
      </c>
      <c r="C1002" s="19" t="s">
        <v>2331</v>
      </c>
      <c r="D1002" s="21" t="s">
        <v>44</v>
      </c>
      <c r="E1002" s="21" t="s">
        <v>17</v>
      </c>
      <c r="F1002" s="22">
        <v>1</v>
      </c>
      <c r="G1002" s="22">
        <f t="shared" si="299"/>
        <v>410.44799999999998</v>
      </c>
      <c r="H1002" s="22">
        <f t="shared" ref="H1002:H1015" si="306">ROUND(G1002*(1+$X$14),2)</f>
        <v>520.49</v>
      </c>
      <c r="I1002" s="147">
        <f t="shared" ref="I1002:I1015" si="307">ROUND(H1002*F1002,2)</f>
        <v>520.49</v>
      </c>
      <c r="J1002" s="148"/>
      <c r="K1002" s="148"/>
      <c r="L1002" s="148"/>
      <c r="M1002" s="148">
        <v>457.24</v>
      </c>
      <c r="N1002" s="148">
        <v>579.83000000000004</v>
      </c>
      <c r="O1002" s="148">
        <v>579.83000000000004</v>
      </c>
      <c r="P1002" s="494"/>
      <c r="Q1002" s="148">
        <f t="shared" si="305"/>
        <v>0</v>
      </c>
      <c r="R1002" s="148"/>
      <c r="S1002" s="148">
        <f t="shared" ref="S1002:S1015" si="308">ROUND(R1002*P1002,2)</f>
        <v>0</v>
      </c>
      <c r="T1002" s="148">
        <f t="shared" si="304"/>
        <v>1</v>
      </c>
      <c r="U1002" s="148">
        <f t="shared" si="292"/>
        <v>579.83000000000004</v>
      </c>
      <c r="V1002" s="379"/>
      <c r="W1002" s="379"/>
      <c r="X1002" s="57">
        <f>'COMPOSIÇÃO DE CUSTOS'!G1399</f>
        <v>410.45</v>
      </c>
      <c r="Y1002" s="334">
        <v>482.88</v>
      </c>
      <c r="Z1002" s="334">
        <f t="shared" si="300"/>
        <v>410.44799999999998</v>
      </c>
      <c r="AA1002" s="57"/>
      <c r="AB1002" s="58"/>
    </row>
    <row r="1003" spans="1:28" s="55" customFormat="1" ht="45">
      <c r="A1003" s="36" t="s">
        <v>3726</v>
      </c>
      <c r="B1003" s="20">
        <v>93669</v>
      </c>
      <c r="C1003" s="439" t="s">
        <v>3765</v>
      </c>
      <c r="D1003" s="21" t="s">
        <v>12</v>
      </c>
      <c r="E1003" s="21" t="s">
        <v>17</v>
      </c>
      <c r="F1003" s="22">
        <v>1</v>
      </c>
      <c r="G1003" s="22">
        <f t="shared" si="299"/>
        <v>61.429499999999997</v>
      </c>
      <c r="H1003" s="22">
        <f t="shared" si="306"/>
        <v>77.900000000000006</v>
      </c>
      <c r="I1003" s="147">
        <f t="shared" si="307"/>
        <v>77.900000000000006</v>
      </c>
      <c r="J1003" s="148"/>
      <c r="K1003" s="148"/>
      <c r="L1003" s="148"/>
      <c r="M1003" s="148">
        <v>68.430000000000007</v>
      </c>
      <c r="N1003" s="148">
        <v>86.78</v>
      </c>
      <c r="O1003" s="148">
        <v>86.78</v>
      </c>
      <c r="P1003" s="494"/>
      <c r="Q1003" s="148">
        <f t="shared" si="305"/>
        <v>0</v>
      </c>
      <c r="R1003" s="148"/>
      <c r="S1003" s="148">
        <f t="shared" si="308"/>
        <v>0</v>
      </c>
      <c r="T1003" s="148">
        <f t="shared" si="304"/>
        <v>1</v>
      </c>
      <c r="U1003" s="148">
        <f t="shared" si="292"/>
        <v>86.78</v>
      </c>
      <c r="V1003" s="379"/>
      <c r="W1003" s="379"/>
      <c r="X1003" s="57" t="e">
        <f>IF(B1003&lt;&gt;0,VLOOKUP(B1003,#REF!,4,FALSE),"")</f>
        <v>#REF!</v>
      </c>
      <c r="Y1003" s="334" t="s">
        <v>3242</v>
      </c>
      <c r="Z1003" s="334">
        <f t="shared" si="300"/>
        <v>61.429499999999997</v>
      </c>
      <c r="AA1003" s="57"/>
      <c r="AB1003" s="58" t="e">
        <f>IF(B1003&lt;&gt;0,VLOOKUP(B1003,#REF!,2,FALSE),"")</f>
        <v>#REF!</v>
      </c>
    </row>
    <row r="1004" spans="1:28" s="55" customFormat="1" ht="30">
      <c r="A1004" s="19" t="s">
        <v>1337</v>
      </c>
      <c r="B1004" s="20">
        <v>93654</v>
      </c>
      <c r="C1004" s="19" t="s">
        <v>1730</v>
      </c>
      <c r="D1004" s="21" t="s">
        <v>12</v>
      </c>
      <c r="E1004" s="21" t="s">
        <v>17</v>
      </c>
      <c r="F1004" s="22">
        <v>2</v>
      </c>
      <c r="G1004" s="22">
        <f t="shared" si="299"/>
        <v>9.6050000000000004</v>
      </c>
      <c r="H1004" s="22">
        <f t="shared" si="306"/>
        <v>12.18</v>
      </c>
      <c r="I1004" s="147">
        <f t="shared" si="307"/>
        <v>24.36</v>
      </c>
      <c r="J1004" s="148"/>
      <c r="K1004" s="148"/>
      <c r="L1004" s="148"/>
      <c r="M1004" s="148">
        <v>10.7</v>
      </c>
      <c r="N1004" s="148">
        <v>13.57</v>
      </c>
      <c r="O1004" s="148">
        <v>27.14</v>
      </c>
      <c r="P1004" s="494"/>
      <c r="Q1004" s="148">
        <f t="shared" si="305"/>
        <v>0</v>
      </c>
      <c r="R1004" s="148"/>
      <c r="S1004" s="148">
        <f t="shared" si="308"/>
        <v>0</v>
      </c>
      <c r="T1004" s="148">
        <f t="shared" si="304"/>
        <v>2</v>
      </c>
      <c r="U1004" s="148">
        <f t="shared" si="292"/>
        <v>27.14</v>
      </c>
      <c r="V1004" s="379"/>
      <c r="W1004" s="379"/>
      <c r="X1004" s="57" t="e">
        <f>IF(B1004&lt;&gt;0,VLOOKUP(B1004,#REF!,4,FALSE),"")</f>
        <v>#REF!</v>
      </c>
      <c r="Y1004" s="334" t="s">
        <v>3240</v>
      </c>
      <c r="Z1004" s="334">
        <f t="shared" si="300"/>
        <v>19.21</v>
      </c>
      <c r="AA1004" s="57"/>
      <c r="AB1004" s="58" t="e">
        <f>IF(B1004&lt;&gt;0,VLOOKUP(B1004,#REF!,2,FALSE),"")</f>
        <v>#REF!</v>
      </c>
    </row>
    <row r="1005" spans="1:28" s="55" customFormat="1">
      <c r="A1005" s="19" t="s">
        <v>1338</v>
      </c>
      <c r="B1005" s="21" t="s">
        <v>2321</v>
      </c>
      <c r="C1005" s="19" t="s">
        <v>277</v>
      </c>
      <c r="D1005" s="21" t="s">
        <v>1914</v>
      </c>
      <c r="E1005" s="21" t="s">
        <v>17</v>
      </c>
      <c r="F1005" s="22">
        <v>2</v>
      </c>
      <c r="G1005" s="22">
        <f t="shared" si="299"/>
        <v>100.232</v>
      </c>
      <c r="H1005" s="22">
        <f t="shared" si="306"/>
        <v>127.1</v>
      </c>
      <c r="I1005" s="147">
        <f t="shared" si="307"/>
        <v>254.2</v>
      </c>
      <c r="J1005" s="148"/>
      <c r="K1005" s="148"/>
      <c r="L1005" s="148"/>
      <c r="M1005" s="148">
        <v>111.66</v>
      </c>
      <c r="N1005" s="148">
        <v>141.6</v>
      </c>
      <c r="O1005" s="148">
        <v>283.2</v>
      </c>
      <c r="P1005" s="494"/>
      <c r="Q1005" s="148">
        <f t="shared" si="305"/>
        <v>0</v>
      </c>
      <c r="R1005" s="148"/>
      <c r="S1005" s="148">
        <f t="shared" si="308"/>
        <v>0</v>
      </c>
      <c r="T1005" s="148">
        <f t="shared" si="304"/>
        <v>2</v>
      </c>
      <c r="U1005" s="148">
        <f t="shared" si="292"/>
        <v>283.2</v>
      </c>
      <c r="V1005" s="379"/>
      <c r="W1005" s="379"/>
      <c r="X1005" s="57">
        <f>'COMPOSIÇÃO DE CUSTOS'!G1413</f>
        <v>100.23</v>
      </c>
      <c r="Y1005" s="334">
        <v>117.92</v>
      </c>
      <c r="Z1005" s="334">
        <f t="shared" si="300"/>
        <v>200.464</v>
      </c>
      <c r="AA1005" s="57"/>
      <c r="AB1005" s="58"/>
    </row>
    <row r="1006" spans="1:28" s="55" customFormat="1" ht="45">
      <c r="A1006" s="19" t="s">
        <v>1339</v>
      </c>
      <c r="B1006" s="20">
        <v>72343</v>
      </c>
      <c r="C1006" s="19" t="s">
        <v>291</v>
      </c>
      <c r="D1006" s="21" t="s">
        <v>1914</v>
      </c>
      <c r="E1006" s="21" t="s">
        <v>17</v>
      </c>
      <c r="F1006" s="22">
        <v>2</v>
      </c>
      <c r="G1006" s="22">
        <f t="shared" si="299"/>
        <v>227.42599999999999</v>
      </c>
      <c r="H1006" s="22">
        <f t="shared" si="306"/>
        <v>288.39999999999998</v>
      </c>
      <c r="I1006" s="147">
        <f t="shared" si="307"/>
        <v>576.79999999999995</v>
      </c>
      <c r="J1006" s="148"/>
      <c r="K1006" s="148"/>
      <c r="L1006" s="148"/>
      <c r="M1006" s="148">
        <v>253.35</v>
      </c>
      <c r="N1006" s="148">
        <v>321.27</v>
      </c>
      <c r="O1006" s="148">
        <v>642.54</v>
      </c>
      <c r="P1006" s="494"/>
      <c r="Q1006" s="148">
        <f t="shared" si="305"/>
        <v>0</v>
      </c>
      <c r="R1006" s="148"/>
      <c r="S1006" s="148">
        <f t="shared" si="308"/>
        <v>0</v>
      </c>
      <c r="T1006" s="148">
        <f t="shared" si="304"/>
        <v>2</v>
      </c>
      <c r="U1006" s="148">
        <f t="shared" si="292"/>
        <v>642.54</v>
      </c>
      <c r="V1006" s="379"/>
      <c r="W1006" s="379"/>
      <c r="X1006" s="57">
        <f>'COMPOSIÇÃO DE CUSTOS'!G1464</f>
        <v>227.42</v>
      </c>
      <c r="Y1006" s="334">
        <v>267.56</v>
      </c>
      <c r="Z1006" s="334">
        <f t="shared" si="300"/>
        <v>454.85199999999998</v>
      </c>
      <c r="AA1006" s="57"/>
      <c r="AB1006" s="58" t="e">
        <f>IF(B1006&lt;&gt;0,VLOOKUP(B1006,#REF!,2,FALSE),"")</f>
        <v>#REF!</v>
      </c>
    </row>
    <row r="1007" spans="1:28" s="55" customFormat="1" ht="45">
      <c r="A1007" s="19" t="s">
        <v>1340</v>
      </c>
      <c r="B1007" s="21" t="s">
        <v>2334</v>
      </c>
      <c r="C1007" s="19" t="s">
        <v>292</v>
      </c>
      <c r="D1007" s="21" t="s">
        <v>1914</v>
      </c>
      <c r="E1007" s="21" t="s">
        <v>17</v>
      </c>
      <c r="F1007" s="22">
        <v>2</v>
      </c>
      <c r="G1007" s="22">
        <f t="shared" si="299"/>
        <v>191.79399999999998</v>
      </c>
      <c r="H1007" s="22">
        <f t="shared" si="306"/>
        <v>243.21</v>
      </c>
      <c r="I1007" s="147">
        <f t="shared" si="307"/>
        <v>486.42</v>
      </c>
      <c r="J1007" s="148"/>
      <c r="K1007" s="148"/>
      <c r="L1007" s="148"/>
      <c r="M1007" s="148">
        <v>213.66</v>
      </c>
      <c r="N1007" s="148">
        <v>270.94</v>
      </c>
      <c r="O1007" s="148">
        <v>541.88</v>
      </c>
      <c r="P1007" s="494"/>
      <c r="Q1007" s="148">
        <f t="shared" si="305"/>
        <v>0</v>
      </c>
      <c r="R1007" s="148"/>
      <c r="S1007" s="148">
        <f t="shared" si="308"/>
        <v>0</v>
      </c>
      <c r="T1007" s="148">
        <f t="shared" si="304"/>
        <v>2</v>
      </c>
      <c r="U1007" s="148">
        <f t="shared" si="292"/>
        <v>541.88</v>
      </c>
      <c r="V1007" s="379"/>
      <c r="W1007" s="379"/>
      <c r="X1007" s="57">
        <f>'COMPOSIÇÃO DE CUSTOS'!G1472</f>
        <v>191.8</v>
      </c>
      <c r="Y1007" s="334">
        <v>225.64</v>
      </c>
      <c r="Z1007" s="334">
        <f t="shared" si="300"/>
        <v>383.58799999999997</v>
      </c>
      <c r="AA1007" s="57"/>
      <c r="AB1007" s="58" t="e">
        <f>IF(B1007&lt;&gt;0,VLOOKUP(B1007,#REF!,2,FALSE),"")</f>
        <v>#REF!</v>
      </c>
    </row>
    <row r="1008" spans="1:28" s="55" customFormat="1">
      <c r="A1008" s="19" t="s">
        <v>1341</v>
      </c>
      <c r="B1008" s="21" t="s">
        <v>2322</v>
      </c>
      <c r="C1008" s="19" t="s">
        <v>278</v>
      </c>
      <c r="D1008" s="21" t="s">
        <v>1914</v>
      </c>
      <c r="E1008" s="21" t="s">
        <v>17</v>
      </c>
      <c r="F1008" s="22">
        <v>2</v>
      </c>
      <c r="G1008" s="22">
        <f t="shared" si="299"/>
        <v>113.61949999999999</v>
      </c>
      <c r="H1008" s="22">
        <f t="shared" si="306"/>
        <v>144.08000000000001</v>
      </c>
      <c r="I1008" s="147">
        <f t="shared" si="307"/>
        <v>288.16000000000003</v>
      </c>
      <c r="J1008" s="148"/>
      <c r="K1008" s="148"/>
      <c r="L1008" s="148"/>
      <c r="M1008" s="148">
        <v>126.57</v>
      </c>
      <c r="N1008" s="148">
        <v>160.5</v>
      </c>
      <c r="O1008" s="148">
        <v>321</v>
      </c>
      <c r="P1008" s="494"/>
      <c r="Q1008" s="148">
        <f t="shared" si="305"/>
        <v>0</v>
      </c>
      <c r="R1008" s="148"/>
      <c r="S1008" s="148">
        <f t="shared" si="308"/>
        <v>0</v>
      </c>
      <c r="T1008" s="148">
        <f t="shared" si="304"/>
        <v>2</v>
      </c>
      <c r="U1008" s="148">
        <f t="shared" si="292"/>
        <v>321</v>
      </c>
      <c r="V1008" s="379"/>
      <c r="W1008" s="379"/>
      <c r="X1008" s="57">
        <f>'COMPOSIÇÃO DE CUSTOS'!G1420</f>
        <v>113.62</v>
      </c>
      <c r="Y1008" s="334">
        <v>133.66999999999999</v>
      </c>
      <c r="Z1008" s="334">
        <f t="shared" si="300"/>
        <v>227.23899999999998</v>
      </c>
      <c r="AA1008" s="57"/>
      <c r="AB1008" s="58"/>
    </row>
    <row r="1009" spans="1:28" s="55" customFormat="1" ht="45">
      <c r="A1009" s="36" t="s">
        <v>3727</v>
      </c>
      <c r="B1009" s="20">
        <v>1571</v>
      </c>
      <c r="C1009" s="439" t="s">
        <v>3754</v>
      </c>
      <c r="D1009" s="21" t="s">
        <v>12</v>
      </c>
      <c r="E1009" s="21" t="s">
        <v>17</v>
      </c>
      <c r="F1009" s="22">
        <v>50</v>
      </c>
      <c r="G1009" s="22">
        <f t="shared" si="299"/>
        <v>1.0114999999999998</v>
      </c>
      <c r="H1009" s="22">
        <f t="shared" si="306"/>
        <v>1.28</v>
      </c>
      <c r="I1009" s="147">
        <f t="shared" si="307"/>
        <v>64</v>
      </c>
      <c r="J1009" s="148"/>
      <c r="K1009" s="148"/>
      <c r="L1009" s="148"/>
      <c r="M1009" s="148">
        <v>1.1299999999999999</v>
      </c>
      <c r="N1009" s="148">
        <v>1.43</v>
      </c>
      <c r="O1009" s="148">
        <v>71.5</v>
      </c>
      <c r="P1009" s="494"/>
      <c r="Q1009" s="148">
        <f t="shared" si="305"/>
        <v>0</v>
      </c>
      <c r="R1009" s="148"/>
      <c r="S1009" s="148">
        <f t="shared" si="308"/>
        <v>0</v>
      </c>
      <c r="T1009" s="148">
        <f t="shared" si="304"/>
        <v>50</v>
      </c>
      <c r="U1009" s="148">
        <f t="shared" ref="U1009:U1072" si="309">O1009+Q1009-S1009+L1009</f>
        <v>71.5</v>
      </c>
      <c r="V1009" s="379"/>
      <c r="W1009" s="379"/>
      <c r="X1009" s="57" t="e">
        <f>IF(B1009&lt;&gt;0,VLOOKUP(B1009,#REF!,4,FALSE),"")</f>
        <v>#REF!</v>
      </c>
      <c r="Y1009" s="334" t="s">
        <v>1843</v>
      </c>
      <c r="Z1009" s="334">
        <f t="shared" si="300"/>
        <v>50.574999999999989</v>
      </c>
      <c r="AA1009" s="57"/>
      <c r="AB1009" s="58" t="e">
        <f>IF(B1009&lt;&gt;0,VLOOKUP(B1009,#REF!,2,FALSE),"")</f>
        <v>#REF!</v>
      </c>
    </row>
    <row r="1010" spans="1:28" s="55" customFormat="1" ht="45">
      <c r="A1010" s="36" t="s">
        <v>3728</v>
      </c>
      <c r="B1010" s="20">
        <v>1573</v>
      </c>
      <c r="C1010" s="439" t="s">
        <v>3752</v>
      </c>
      <c r="D1010" s="21" t="s">
        <v>12</v>
      </c>
      <c r="E1010" s="21" t="s">
        <v>17</v>
      </c>
      <c r="F1010" s="22">
        <v>25</v>
      </c>
      <c r="G1010" s="22">
        <f t="shared" si="299"/>
        <v>1.1984999999999999</v>
      </c>
      <c r="H1010" s="22">
        <f t="shared" si="306"/>
        <v>1.52</v>
      </c>
      <c r="I1010" s="147">
        <f t="shared" si="307"/>
        <v>38</v>
      </c>
      <c r="J1010" s="148"/>
      <c r="K1010" s="148"/>
      <c r="L1010" s="148"/>
      <c r="M1010" s="148">
        <v>1.34</v>
      </c>
      <c r="N1010" s="148">
        <v>1.7</v>
      </c>
      <c r="O1010" s="148">
        <v>42.5</v>
      </c>
      <c r="P1010" s="494"/>
      <c r="Q1010" s="148">
        <f t="shared" si="305"/>
        <v>0</v>
      </c>
      <c r="R1010" s="148"/>
      <c r="S1010" s="148">
        <f t="shared" si="308"/>
        <v>0</v>
      </c>
      <c r="T1010" s="148">
        <f t="shared" si="304"/>
        <v>25</v>
      </c>
      <c r="U1010" s="148">
        <f t="shared" si="309"/>
        <v>42.5</v>
      </c>
      <c r="V1010" s="379"/>
      <c r="W1010" s="379"/>
      <c r="X1010" s="57" t="e">
        <f>IF(B1010&lt;&gt;0,VLOOKUP(B1010,#REF!,4,FALSE),"")</f>
        <v>#REF!</v>
      </c>
      <c r="Y1010" s="334" t="s">
        <v>3188</v>
      </c>
      <c r="Z1010" s="334">
        <f t="shared" si="300"/>
        <v>29.962499999999999</v>
      </c>
      <c r="AA1010" s="57"/>
      <c r="AB1010" s="58" t="e">
        <f>IF(B1010&lt;&gt;0,VLOOKUP(B1010,#REF!,2,FALSE),"")</f>
        <v>#REF!</v>
      </c>
    </row>
    <row r="1011" spans="1:28" s="55" customFormat="1" ht="45">
      <c r="A1011" s="36" t="s">
        <v>3729</v>
      </c>
      <c r="B1011" s="20">
        <v>1570</v>
      </c>
      <c r="C1011" s="439" t="s">
        <v>3751</v>
      </c>
      <c r="D1011" s="21" t="s">
        <v>12</v>
      </c>
      <c r="E1011" s="21" t="s">
        <v>17</v>
      </c>
      <c r="F1011" s="22">
        <v>100</v>
      </c>
      <c r="G1011" s="22">
        <f t="shared" si="299"/>
        <v>0.77350000000000008</v>
      </c>
      <c r="H1011" s="22">
        <f t="shared" si="306"/>
        <v>0.98</v>
      </c>
      <c r="I1011" s="147">
        <f t="shared" si="307"/>
        <v>98</v>
      </c>
      <c r="J1011" s="148"/>
      <c r="K1011" s="148"/>
      <c r="L1011" s="148"/>
      <c r="M1011" s="148">
        <v>0.86</v>
      </c>
      <c r="N1011" s="148">
        <v>1.0900000000000001</v>
      </c>
      <c r="O1011" s="148">
        <v>109</v>
      </c>
      <c r="P1011" s="494"/>
      <c r="Q1011" s="148">
        <f t="shared" si="305"/>
        <v>0</v>
      </c>
      <c r="R1011" s="148"/>
      <c r="S1011" s="148">
        <f t="shared" si="308"/>
        <v>0</v>
      </c>
      <c r="T1011" s="148">
        <f t="shared" si="304"/>
        <v>100</v>
      </c>
      <c r="U1011" s="148">
        <f t="shared" si="309"/>
        <v>109</v>
      </c>
      <c r="V1011" s="379"/>
      <c r="W1011" s="379"/>
      <c r="X1011" s="57" t="e">
        <f>IF(B1011&lt;&gt;0,VLOOKUP(B1011,#REF!,4,FALSE),"")</f>
        <v>#REF!</v>
      </c>
      <c r="Y1011" s="334" t="s">
        <v>1858</v>
      </c>
      <c r="Z1011" s="334">
        <f t="shared" si="300"/>
        <v>77.350000000000009</v>
      </c>
      <c r="AA1011" s="57"/>
      <c r="AB1011" s="58" t="e">
        <f>IF(B1011&lt;&gt;0,VLOOKUP(B1011,#REF!,2,FALSE),"")</f>
        <v>#REF!</v>
      </c>
    </row>
    <row r="1012" spans="1:28" s="55" customFormat="1" ht="45">
      <c r="A1012" s="19" t="s">
        <v>1342</v>
      </c>
      <c r="B1012" s="20">
        <v>91931</v>
      </c>
      <c r="C1012" s="19" t="s">
        <v>1737</v>
      </c>
      <c r="D1012" s="21" t="s">
        <v>12</v>
      </c>
      <c r="E1012" s="21" t="s">
        <v>52</v>
      </c>
      <c r="F1012" s="22">
        <v>2</v>
      </c>
      <c r="G1012" s="22">
        <f t="shared" si="299"/>
        <v>7.9474999999999998</v>
      </c>
      <c r="H1012" s="22">
        <f t="shared" si="306"/>
        <v>10.08</v>
      </c>
      <c r="I1012" s="147">
        <f t="shared" si="307"/>
        <v>20.16</v>
      </c>
      <c r="J1012" s="148"/>
      <c r="K1012" s="148"/>
      <c r="L1012" s="148"/>
      <c r="M1012" s="148">
        <v>8.85</v>
      </c>
      <c r="N1012" s="148">
        <v>11.22</v>
      </c>
      <c r="O1012" s="148">
        <v>22.44</v>
      </c>
      <c r="P1012" s="494"/>
      <c r="Q1012" s="148">
        <f t="shared" si="305"/>
        <v>0</v>
      </c>
      <c r="R1012" s="148"/>
      <c r="S1012" s="148">
        <f t="shared" si="308"/>
        <v>0</v>
      </c>
      <c r="T1012" s="148">
        <f t="shared" si="304"/>
        <v>2</v>
      </c>
      <c r="U1012" s="148">
        <f t="shared" si="309"/>
        <v>22.44</v>
      </c>
      <c r="V1012" s="379"/>
      <c r="W1012" s="379"/>
      <c r="X1012" s="57" t="e">
        <f>IF(B1012&lt;&gt;0,VLOOKUP(B1012,#REF!,4,FALSE),"")</f>
        <v>#REF!</v>
      </c>
      <c r="Y1012" s="334" t="s">
        <v>1901</v>
      </c>
      <c r="Z1012" s="334">
        <f t="shared" si="300"/>
        <v>15.895</v>
      </c>
      <c r="AA1012" s="57"/>
      <c r="AB1012" s="58" t="e">
        <f>IF(B1012&lt;&gt;0,VLOOKUP(B1012,#REF!,2,FALSE),"")</f>
        <v>#REF!</v>
      </c>
    </row>
    <row r="1013" spans="1:28" s="55" customFormat="1" ht="30">
      <c r="A1013" s="19" t="s">
        <v>1343</v>
      </c>
      <c r="B1013" s="20">
        <f>B998</f>
        <v>64355</v>
      </c>
      <c r="C1013" s="19" t="s">
        <v>280</v>
      </c>
      <c r="D1013" s="21" t="s">
        <v>1914</v>
      </c>
      <c r="E1013" s="21" t="s">
        <v>17</v>
      </c>
      <c r="F1013" s="22">
        <v>1</v>
      </c>
      <c r="G1013" s="22">
        <f t="shared" si="299"/>
        <v>182.55450000000002</v>
      </c>
      <c r="H1013" s="22">
        <f t="shared" si="306"/>
        <v>231.5</v>
      </c>
      <c r="I1013" s="147">
        <f t="shared" si="307"/>
        <v>231.5</v>
      </c>
      <c r="J1013" s="148"/>
      <c r="K1013" s="148"/>
      <c r="L1013" s="148"/>
      <c r="M1013" s="148">
        <v>203.37</v>
      </c>
      <c r="N1013" s="148">
        <v>257.89</v>
      </c>
      <c r="O1013" s="148">
        <v>257.89</v>
      </c>
      <c r="P1013" s="494"/>
      <c r="Q1013" s="148">
        <f t="shared" si="305"/>
        <v>0</v>
      </c>
      <c r="R1013" s="148"/>
      <c r="S1013" s="148">
        <f t="shared" si="308"/>
        <v>0</v>
      </c>
      <c r="T1013" s="148">
        <f t="shared" si="304"/>
        <v>1</v>
      </c>
      <c r="U1013" s="148">
        <f t="shared" si="309"/>
        <v>257.89</v>
      </c>
      <c r="V1013" s="379"/>
      <c r="W1013" s="379"/>
      <c r="X1013" s="57">
        <f>X998</f>
        <v>182.56</v>
      </c>
      <c r="Y1013" s="334">
        <v>214.77</v>
      </c>
      <c r="Z1013" s="334">
        <f t="shared" si="300"/>
        <v>182.55450000000002</v>
      </c>
      <c r="AA1013" s="57"/>
      <c r="AB1013" s="58"/>
    </row>
    <row r="1014" spans="1:28" s="55" customFormat="1">
      <c r="A1014" s="19" t="s">
        <v>1344</v>
      </c>
      <c r="B1014" s="20">
        <v>3803</v>
      </c>
      <c r="C1014" s="19" t="s">
        <v>282</v>
      </c>
      <c r="D1014" s="21" t="s">
        <v>44</v>
      </c>
      <c r="E1014" s="21" t="s">
        <v>17</v>
      </c>
      <c r="F1014" s="22">
        <v>4</v>
      </c>
      <c r="G1014" s="22">
        <f t="shared" si="299"/>
        <v>51.858499999999999</v>
      </c>
      <c r="H1014" s="22">
        <f t="shared" si="306"/>
        <v>65.760000000000005</v>
      </c>
      <c r="I1014" s="147">
        <f t="shared" si="307"/>
        <v>263.04000000000002</v>
      </c>
      <c r="J1014" s="148"/>
      <c r="K1014" s="148"/>
      <c r="L1014" s="148"/>
      <c r="M1014" s="148">
        <v>57.77</v>
      </c>
      <c r="N1014" s="148">
        <v>73.260000000000005</v>
      </c>
      <c r="O1014" s="148">
        <v>293.04000000000002</v>
      </c>
      <c r="P1014" s="494"/>
      <c r="Q1014" s="148">
        <f t="shared" si="305"/>
        <v>0</v>
      </c>
      <c r="R1014" s="148"/>
      <c r="S1014" s="148">
        <f t="shared" si="308"/>
        <v>0</v>
      </c>
      <c r="T1014" s="148">
        <f t="shared" si="304"/>
        <v>4</v>
      </c>
      <c r="U1014" s="148">
        <f t="shared" si="309"/>
        <v>293.04000000000002</v>
      </c>
      <c r="V1014" s="379"/>
      <c r="W1014" s="379"/>
      <c r="X1014" s="57">
        <f>X999</f>
        <v>51.86</v>
      </c>
      <c r="Y1014" s="334">
        <v>61.01</v>
      </c>
      <c r="Z1014" s="334">
        <f t="shared" si="300"/>
        <v>207.434</v>
      </c>
      <c r="AA1014" s="57"/>
      <c r="AB1014" s="58"/>
    </row>
    <row r="1015" spans="1:28" s="55" customFormat="1">
      <c r="A1015" s="19" t="s">
        <v>1345</v>
      </c>
      <c r="B1015" s="21" t="s">
        <v>2330</v>
      </c>
      <c r="C1015" s="19" t="s">
        <v>283</v>
      </c>
      <c r="D1015" s="21" t="s">
        <v>1914</v>
      </c>
      <c r="E1015" s="21" t="s">
        <v>17</v>
      </c>
      <c r="F1015" s="22">
        <v>2</v>
      </c>
      <c r="G1015" s="22">
        <f t="shared" si="299"/>
        <v>40.910499999999999</v>
      </c>
      <c r="H1015" s="22">
        <f t="shared" si="306"/>
        <v>51.88</v>
      </c>
      <c r="I1015" s="147">
        <f t="shared" si="307"/>
        <v>103.76</v>
      </c>
      <c r="J1015" s="148"/>
      <c r="K1015" s="148"/>
      <c r="L1015" s="148"/>
      <c r="M1015" s="148">
        <v>45.57</v>
      </c>
      <c r="N1015" s="148">
        <v>57.79</v>
      </c>
      <c r="O1015" s="148">
        <v>115.58</v>
      </c>
      <c r="P1015" s="494"/>
      <c r="Q1015" s="148">
        <f t="shared" si="305"/>
        <v>0</v>
      </c>
      <c r="R1015" s="148"/>
      <c r="S1015" s="148">
        <f t="shared" si="308"/>
        <v>0</v>
      </c>
      <c r="T1015" s="148">
        <f t="shared" si="304"/>
        <v>2</v>
      </c>
      <c r="U1015" s="148">
        <f t="shared" si="309"/>
        <v>115.58</v>
      </c>
      <c r="V1015" s="379"/>
      <c r="W1015" s="379"/>
      <c r="X1015" s="57">
        <f>X1000</f>
        <v>40.909999999999997</v>
      </c>
      <c r="Y1015" s="334">
        <v>48.13</v>
      </c>
      <c r="Z1015" s="334">
        <f t="shared" si="300"/>
        <v>81.820999999999998</v>
      </c>
      <c r="AA1015" s="57"/>
      <c r="AB1015" s="58"/>
    </row>
    <row r="1016" spans="1:28" ht="26.25" customHeight="1">
      <c r="A1016" s="19"/>
      <c r="B1016" s="21"/>
      <c r="C1016" s="19"/>
      <c r="D1016" s="21"/>
      <c r="E1016" s="21"/>
      <c r="F1016" s="22"/>
      <c r="G1016" s="22"/>
      <c r="H1016" s="22"/>
      <c r="I1016" s="147"/>
      <c r="J1016" s="148"/>
      <c r="K1016" s="148"/>
      <c r="L1016" s="148"/>
      <c r="M1016" s="148"/>
      <c r="N1016" s="148"/>
      <c r="O1016" s="148"/>
      <c r="P1016" s="494"/>
      <c r="Q1016" s="148"/>
      <c r="R1016" s="148"/>
      <c r="S1016" s="148"/>
      <c r="T1016" s="148"/>
      <c r="U1016" s="148"/>
      <c r="V1016" s="379"/>
      <c r="W1016" s="379"/>
      <c r="X1016" s="30"/>
      <c r="Y1016" s="337"/>
      <c r="Z1016" s="334">
        <f t="shared" si="300"/>
        <v>0</v>
      </c>
      <c r="AA1016" s="30"/>
      <c r="AB1016" s="30"/>
    </row>
    <row r="1017" spans="1:28" s="38" customFormat="1" ht="15" customHeight="1">
      <c r="A1017" s="229" t="s">
        <v>1346</v>
      </c>
      <c r="B1017" s="229"/>
      <c r="C1017" s="229" t="s">
        <v>294</v>
      </c>
      <c r="D1017" s="230"/>
      <c r="E1017" s="230"/>
      <c r="F1017" s="230"/>
      <c r="G1017" s="22"/>
      <c r="H1017" s="230"/>
      <c r="I1017" s="445">
        <f>ROUND(SUM(I1019:I1046),2)</f>
        <v>16890.25</v>
      </c>
      <c r="J1017" s="440"/>
      <c r="K1017" s="440"/>
      <c r="L1017" s="440"/>
      <c r="M1017" s="440"/>
      <c r="N1017" s="440"/>
      <c r="O1017" s="440">
        <v>18814.68</v>
      </c>
      <c r="P1017" s="492"/>
      <c r="Q1017" s="440">
        <f>ROUND(SUM(Q1019:Q1046),2)</f>
        <v>0</v>
      </c>
      <c r="R1017" s="440"/>
      <c r="S1017" s="440">
        <f>ROUND(SUM(S1019:S1046),2)</f>
        <v>0</v>
      </c>
      <c r="T1017" s="148"/>
      <c r="U1017" s="440">
        <f t="shared" si="309"/>
        <v>18814.68</v>
      </c>
      <c r="V1017" s="330"/>
      <c r="W1017" s="330"/>
      <c r="X1017" s="39"/>
      <c r="Y1017" s="336"/>
      <c r="Z1017" s="334">
        <f t="shared" si="300"/>
        <v>0</v>
      </c>
      <c r="AA1017" s="39"/>
      <c r="AB1017" s="39"/>
    </row>
    <row r="1018" spans="1:28" s="55" customFormat="1" ht="15" customHeight="1">
      <c r="A1018" s="229" t="s">
        <v>1347</v>
      </c>
      <c r="B1018" s="229"/>
      <c r="C1018" s="229" t="s">
        <v>193</v>
      </c>
      <c r="D1018" s="230"/>
      <c r="E1018" s="230"/>
      <c r="F1018" s="230"/>
      <c r="G1018" s="22"/>
      <c r="H1018" s="230"/>
      <c r="I1018" s="445"/>
      <c r="J1018" s="440"/>
      <c r="K1018" s="440"/>
      <c r="L1018" s="440"/>
      <c r="M1018" s="440"/>
      <c r="N1018" s="440"/>
      <c r="O1018" s="440"/>
      <c r="P1018" s="492"/>
      <c r="Q1018" s="440"/>
      <c r="R1018" s="440"/>
      <c r="S1018" s="440"/>
      <c r="T1018" s="148"/>
      <c r="U1018" s="148"/>
      <c r="V1018" s="330"/>
      <c r="W1018" s="330"/>
      <c r="X1018" s="58"/>
      <c r="Y1018" s="334"/>
      <c r="Z1018" s="334">
        <f t="shared" si="300"/>
        <v>0</v>
      </c>
      <c r="AA1018" s="58"/>
      <c r="AB1018" s="58"/>
    </row>
    <row r="1019" spans="1:28" s="55" customFormat="1" ht="45">
      <c r="A1019" s="19" t="s">
        <v>1348</v>
      </c>
      <c r="B1019" s="20">
        <v>91863</v>
      </c>
      <c r="C1019" s="19" t="s">
        <v>1692</v>
      </c>
      <c r="D1019" s="21" t="s">
        <v>12</v>
      </c>
      <c r="E1019" s="21" t="s">
        <v>52</v>
      </c>
      <c r="F1019" s="22">
        <v>69</v>
      </c>
      <c r="G1019" s="22">
        <f t="shared" si="299"/>
        <v>6.8849999999999998</v>
      </c>
      <c r="H1019" s="22">
        <f t="shared" ref="H1019:H1026" si="310">ROUND(G1019*(1+$X$14),2)</f>
        <v>8.73</v>
      </c>
      <c r="I1019" s="147">
        <f t="shared" ref="I1019:I1026" si="311">ROUND(H1019*F1019,2)</f>
        <v>602.37</v>
      </c>
      <c r="J1019" s="148"/>
      <c r="K1019" s="148"/>
      <c r="L1019" s="148"/>
      <c r="M1019" s="148">
        <v>7.67</v>
      </c>
      <c r="N1019" s="148">
        <v>9.73</v>
      </c>
      <c r="O1019" s="148">
        <v>671.37</v>
      </c>
      <c r="P1019" s="494"/>
      <c r="Q1019" s="148">
        <f t="shared" ref="Q1019:Q1046" si="312">ROUND(P1019*N1019,2)</f>
        <v>0</v>
      </c>
      <c r="R1019" s="148"/>
      <c r="S1019" s="148">
        <f t="shared" ref="S1019:S1026" si="313">ROUND(R1019*P1019,2)</f>
        <v>0</v>
      </c>
      <c r="T1019" s="148">
        <f t="shared" ref="T1019:T1046" si="314">F1019+P1019-R1019</f>
        <v>69</v>
      </c>
      <c r="U1019" s="148">
        <f t="shared" si="309"/>
        <v>671.37</v>
      </c>
      <c r="V1019" s="379"/>
      <c r="W1019" s="379"/>
      <c r="X1019" s="57" t="e">
        <f>IF(B1019&lt;&gt;0,VLOOKUP(B1019,#REF!,4,FALSE),"")</f>
        <v>#REF!</v>
      </c>
      <c r="Y1019" s="334" t="s">
        <v>1885</v>
      </c>
      <c r="Z1019" s="334">
        <f t="shared" si="300"/>
        <v>475.065</v>
      </c>
      <c r="AA1019" s="57"/>
      <c r="AB1019" s="58" t="e">
        <f>IF(B1019&lt;&gt;0,VLOOKUP(B1019,#REF!,2,FALSE),"")</f>
        <v>#REF!</v>
      </c>
    </row>
    <row r="1020" spans="1:28" s="55" customFormat="1" ht="45">
      <c r="A1020" s="19" t="s">
        <v>1349</v>
      </c>
      <c r="B1020" s="20">
        <v>91875</v>
      </c>
      <c r="C1020" s="19" t="s">
        <v>1694</v>
      </c>
      <c r="D1020" s="21" t="s">
        <v>12</v>
      </c>
      <c r="E1020" s="21" t="s">
        <v>17</v>
      </c>
      <c r="F1020" s="22">
        <v>25</v>
      </c>
      <c r="G1020" s="22">
        <f t="shared" si="299"/>
        <v>3.7654999999999998</v>
      </c>
      <c r="H1020" s="22">
        <f t="shared" si="310"/>
        <v>4.78</v>
      </c>
      <c r="I1020" s="147">
        <f t="shared" si="311"/>
        <v>119.5</v>
      </c>
      <c r="J1020" s="148"/>
      <c r="K1020" s="148"/>
      <c r="L1020" s="148"/>
      <c r="M1020" s="148">
        <v>4.1900000000000004</v>
      </c>
      <c r="N1020" s="148">
        <v>5.31</v>
      </c>
      <c r="O1020" s="148">
        <v>132.75</v>
      </c>
      <c r="P1020" s="494"/>
      <c r="Q1020" s="148">
        <f t="shared" si="312"/>
        <v>0</v>
      </c>
      <c r="R1020" s="148"/>
      <c r="S1020" s="148">
        <f t="shared" si="313"/>
        <v>0</v>
      </c>
      <c r="T1020" s="148">
        <f t="shared" si="314"/>
        <v>25</v>
      </c>
      <c r="U1020" s="148">
        <f t="shared" si="309"/>
        <v>132.75</v>
      </c>
      <c r="V1020" s="379"/>
      <c r="W1020" s="379"/>
      <c r="X1020" s="57" t="e">
        <f>IF(B1020&lt;&gt;0,VLOOKUP(B1020,#REF!,4,FALSE),"")</f>
        <v>#REF!</v>
      </c>
      <c r="Y1020" s="334" t="s">
        <v>1864</v>
      </c>
      <c r="Z1020" s="334">
        <f t="shared" si="300"/>
        <v>94.137500000000003</v>
      </c>
      <c r="AA1020" s="57"/>
      <c r="AB1020" s="58" t="e">
        <f>IF(B1020&lt;&gt;0,VLOOKUP(B1020,#REF!,2,FALSE),"")</f>
        <v>#REF!</v>
      </c>
    </row>
    <row r="1021" spans="1:28" s="55" customFormat="1" ht="60">
      <c r="A1021" s="19" t="s">
        <v>1350</v>
      </c>
      <c r="B1021" s="20">
        <v>91890</v>
      </c>
      <c r="C1021" s="19" t="s">
        <v>1693</v>
      </c>
      <c r="D1021" s="21" t="s">
        <v>12</v>
      </c>
      <c r="E1021" s="21" t="s">
        <v>17</v>
      </c>
      <c r="F1021" s="22">
        <v>1</v>
      </c>
      <c r="G1021" s="22">
        <f t="shared" si="299"/>
        <v>6.375</v>
      </c>
      <c r="H1021" s="22">
        <f t="shared" si="310"/>
        <v>8.08</v>
      </c>
      <c r="I1021" s="147">
        <f t="shared" si="311"/>
        <v>8.08</v>
      </c>
      <c r="J1021" s="148"/>
      <c r="K1021" s="148"/>
      <c r="L1021" s="148"/>
      <c r="M1021" s="148">
        <v>7.1</v>
      </c>
      <c r="N1021" s="148">
        <v>9</v>
      </c>
      <c r="O1021" s="148">
        <v>9</v>
      </c>
      <c r="P1021" s="494"/>
      <c r="Q1021" s="148">
        <f t="shared" si="312"/>
        <v>0</v>
      </c>
      <c r="R1021" s="148"/>
      <c r="S1021" s="148">
        <f t="shared" si="313"/>
        <v>0</v>
      </c>
      <c r="T1021" s="148">
        <f t="shared" si="314"/>
        <v>1</v>
      </c>
      <c r="U1021" s="148">
        <f t="shared" si="309"/>
        <v>9</v>
      </c>
      <c r="V1021" s="379"/>
      <c r="W1021" s="379"/>
      <c r="X1021" s="57" t="e">
        <f>IF(B1021&lt;&gt;0,VLOOKUP(B1021,#REF!,4,FALSE),"")</f>
        <v>#REF!</v>
      </c>
      <c r="Y1021" s="334" t="s">
        <v>3222</v>
      </c>
      <c r="Z1021" s="334">
        <f t="shared" si="300"/>
        <v>6.375</v>
      </c>
      <c r="AA1021" s="57"/>
      <c r="AB1021" s="58" t="e">
        <f>IF(B1021&lt;&gt;0,VLOOKUP(B1021,#REF!,2,FALSE),"")</f>
        <v>#REF!</v>
      </c>
    </row>
    <row r="1022" spans="1:28" s="55" customFormat="1" ht="45">
      <c r="A1022" s="19" t="s">
        <v>1351</v>
      </c>
      <c r="B1022" s="20">
        <v>91871</v>
      </c>
      <c r="C1022" s="19" t="s">
        <v>1695</v>
      </c>
      <c r="D1022" s="21" t="s">
        <v>12</v>
      </c>
      <c r="E1022" s="21" t="s">
        <v>52</v>
      </c>
      <c r="F1022" s="22">
        <v>15</v>
      </c>
      <c r="G1022" s="22">
        <f t="shared" si="299"/>
        <v>7.3949999999999996</v>
      </c>
      <c r="H1022" s="22">
        <f t="shared" si="310"/>
        <v>9.3800000000000008</v>
      </c>
      <c r="I1022" s="147">
        <f t="shared" si="311"/>
        <v>140.69999999999999</v>
      </c>
      <c r="J1022" s="148"/>
      <c r="K1022" s="148"/>
      <c r="L1022" s="148"/>
      <c r="M1022" s="148">
        <v>8.24</v>
      </c>
      <c r="N1022" s="148">
        <v>10.45</v>
      </c>
      <c r="O1022" s="148">
        <v>156.75</v>
      </c>
      <c r="P1022" s="494"/>
      <c r="Q1022" s="148">
        <f t="shared" si="312"/>
        <v>0</v>
      </c>
      <c r="R1022" s="148"/>
      <c r="S1022" s="148">
        <f t="shared" si="313"/>
        <v>0</v>
      </c>
      <c r="T1022" s="148">
        <f t="shared" si="314"/>
        <v>15</v>
      </c>
      <c r="U1022" s="148">
        <f t="shared" si="309"/>
        <v>156.75</v>
      </c>
      <c r="V1022" s="379"/>
      <c r="W1022" s="379"/>
      <c r="X1022" s="57" t="e">
        <f>IF(B1022&lt;&gt;0,VLOOKUP(B1022,#REF!,4,FALSE),"")</f>
        <v>#REF!</v>
      </c>
      <c r="Y1022" s="334" t="s">
        <v>2647</v>
      </c>
      <c r="Z1022" s="334">
        <f t="shared" si="300"/>
        <v>110.925</v>
      </c>
      <c r="AA1022" s="57"/>
      <c r="AB1022" s="58" t="e">
        <f>IF(B1022&lt;&gt;0,VLOOKUP(B1022,#REF!,2,FALSE),"")</f>
        <v>#REF!</v>
      </c>
    </row>
    <row r="1023" spans="1:28" s="55" customFormat="1" ht="45">
      <c r="A1023" s="19" t="s">
        <v>1352</v>
      </c>
      <c r="B1023" s="20">
        <v>91884</v>
      </c>
      <c r="C1023" s="19" t="s">
        <v>1697</v>
      </c>
      <c r="D1023" s="21" t="s">
        <v>12</v>
      </c>
      <c r="E1023" s="21" t="s">
        <v>17</v>
      </c>
      <c r="F1023" s="22">
        <v>23</v>
      </c>
      <c r="G1023" s="22">
        <f t="shared" si="299"/>
        <v>5.1849999999999996</v>
      </c>
      <c r="H1023" s="22">
        <f t="shared" si="310"/>
        <v>6.58</v>
      </c>
      <c r="I1023" s="147">
        <f t="shared" si="311"/>
        <v>151.34</v>
      </c>
      <c r="J1023" s="148"/>
      <c r="K1023" s="148"/>
      <c r="L1023" s="148"/>
      <c r="M1023" s="148">
        <v>5.78</v>
      </c>
      <c r="N1023" s="148">
        <v>7.33</v>
      </c>
      <c r="O1023" s="148">
        <v>168.59</v>
      </c>
      <c r="P1023" s="494"/>
      <c r="Q1023" s="148">
        <f t="shared" si="312"/>
        <v>0</v>
      </c>
      <c r="R1023" s="148"/>
      <c r="S1023" s="148">
        <f t="shared" si="313"/>
        <v>0</v>
      </c>
      <c r="T1023" s="148">
        <f t="shared" si="314"/>
        <v>23</v>
      </c>
      <c r="U1023" s="148">
        <f t="shared" si="309"/>
        <v>168.59</v>
      </c>
      <c r="V1023" s="379"/>
      <c r="W1023" s="379"/>
      <c r="X1023" s="57" t="e">
        <f>IF(B1023&lt;&gt;0,VLOOKUP(B1023,#REF!,4,FALSE),"")</f>
        <v>#REF!</v>
      </c>
      <c r="Y1023" s="334" t="s">
        <v>3138</v>
      </c>
      <c r="Z1023" s="334">
        <f t="shared" si="300"/>
        <v>119.255</v>
      </c>
      <c r="AA1023" s="57"/>
      <c r="AB1023" s="58" t="e">
        <f>IF(B1023&lt;&gt;0,VLOOKUP(B1023,#REF!,2,FALSE),"")</f>
        <v>#REF!</v>
      </c>
    </row>
    <row r="1024" spans="1:28" s="55" customFormat="1" ht="60">
      <c r="A1024" s="19" t="s">
        <v>1353</v>
      </c>
      <c r="B1024" s="20">
        <v>91914</v>
      </c>
      <c r="C1024" s="19" t="s">
        <v>1696</v>
      </c>
      <c r="D1024" s="21" t="s">
        <v>12</v>
      </c>
      <c r="E1024" s="21" t="s">
        <v>17</v>
      </c>
      <c r="F1024" s="22">
        <v>9</v>
      </c>
      <c r="G1024" s="22">
        <f t="shared" si="299"/>
        <v>8.5084999999999997</v>
      </c>
      <c r="H1024" s="22">
        <f t="shared" si="310"/>
        <v>10.79</v>
      </c>
      <c r="I1024" s="147">
        <f t="shared" si="311"/>
        <v>97.11</v>
      </c>
      <c r="J1024" s="148"/>
      <c r="K1024" s="148"/>
      <c r="L1024" s="148"/>
      <c r="M1024" s="148">
        <v>9.48</v>
      </c>
      <c r="N1024" s="148">
        <v>12.02</v>
      </c>
      <c r="O1024" s="148">
        <v>108.18</v>
      </c>
      <c r="P1024" s="494"/>
      <c r="Q1024" s="148">
        <f t="shared" si="312"/>
        <v>0</v>
      </c>
      <c r="R1024" s="148"/>
      <c r="S1024" s="148">
        <f t="shared" si="313"/>
        <v>0</v>
      </c>
      <c r="T1024" s="148">
        <f t="shared" si="314"/>
        <v>9</v>
      </c>
      <c r="U1024" s="148">
        <f t="shared" si="309"/>
        <v>108.18</v>
      </c>
      <c r="V1024" s="379"/>
      <c r="W1024" s="379"/>
      <c r="X1024" s="57" t="e">
        <f>IF(B1024&lt;&gt;0,VLOOKUP(B1024,#REF!,4,FALSE),"")</f>
        <v>#REF!</v>
      </c>
      <c r="Y1024" s="334" t="s">
        <v>1907</v>
      </c>
      <c r="Z1024" s="334">
        <f t="shared" si="300"/>
        <v>76.576499999999996</v>
      </c>
      <c r="AA1024" s="57"/>
      <c r="AB1024" s="58" t="e">
        <f>IF(B1024&lt;&gt;0,VLOOKUP(B1024,#REF!,2,FALSE),"")</f>
        <v>#REF!</v>
      </c>
    </row>
    <row r="1025" spans="1:28" s="55" customFormat="1" ht="30">
      <c r="A1025" s="19" t="s">
        <v>1354</v>
      </c>
      <c r="B1025" s="20">
        <v>91864</v>
      </c>
      <c r="C1025" s="19" t="s">
        <v>194</v>
      </c>
      <c r="D1025" s="21" t="s">
        <v>12</v>
      </c>
      <c r="E1025" s="21" t="s">
        <v>52</v>
      </c>
      <c r="F1025" s="22">
        <v>9</v>
      </c>
      <c r="G1025" s="22">
        <f t="shared" si="299"/>
        <v>9.1204999999999998</v>
      </c>
      <c r="H1025" s="22">
        <f t="shared" si="310"/>
        <v>11.57</v>
      </c>
      <c r="I1025" s="147">
        <f t="shared" si="311"/>
        <v>104.13</v>
      </c>
      <c r="J1025" s="148"/>
      <c r="K1025" s="148"/>
      <c r="L1025" s="148"/>
      <c r="M1025" s="148">
        <v>10.16</v>
      </c>
      <c r="N1025" s="148">
        <v>12.88</v>
      </c>
      <c r="O1025" s="148">
        <v>115.92</v>
      </c>
      <c r="P1025" s="494"/>
      <c r="Q1025" s="148">
        <f t="shared" si="312"/>
        <v>0</v>
      </c>
      <c r="R1025" s="148"/>
      <c r="S1025" s="148">
        <f t="shared" si="313"/>
        <v>0</v>
      </c>
      <c r="T1025" s="148">
        <f t="shared" si="314"/>
        <v>9</v>
      </c>
      <c r="U1025" s="148">
        <f t="shared" si="309"/>
        <v>115.92</v>
      </c>
      <c r="V1025" s="379"/>
      <c r="W1025" s="379"/>
      <c r="X1025" s="57" t="e">
        <f>IF(B1025&lt;&gt;0,VLOOKUP(B1025,#REF!,4,FALSE),"")</f>
        <v>#REF!</v>
      </c>
      <c r="Y1025" s="334" t="s">
        <v>1836</v>
      </c>
      <c r="Z1025" s="334">
        <f t="shared" si="300"/>
        <v>82.084499999999991</v>
      </c>
      <c r="AA1025" s="57"/>
      <c r="AB1025" s="58" t="e">
        <f>IF(B1025&lt;&gt;0,VLOOKUP(B1025,#REF!,2,FALSE),"")</f>
        <v>#REF!</v>
      </c>
    </row>
    <row r="1026" spans="1:28" s="55" customFormat="1" ht="30">
      <c r="A1026" s="19" t="s">
        <v>1355</v>
      </c>
      <c r="B1026" s="20">
        <v>91876</v>
      </c>
      <c r="C1026" s="19" t="s">
        <v>195</v>
      </c>
      <c r="D1026" s="21" t="s">
        <v>12</v>
      </c>
      <c r="E1026" s="21" t="s">
        <v>17</v>
      </c>
      <c r="F1026" s="22">
        <v>3</v>
      </c>
      <c r="G1026" s="22">
        <f t="shared" si="299"/>
        <v>4.9980000000000002</v>
      </c>
      <c r="H1026" s="22">
        <f t="shared" si="310"/>
        <v>6.34</v>
      </c>
      <c r="I1026" s="147">
        <f t="shared" si="311"/>
        <v>19.02</v>
      </c>
      <c r="J1026" s="148"/>
      <c r="K1026" s="148"/>
      <c r="L1026" s="148"/>
      <c r="M1026" s="148">
        <v>5.57</v>
      </c>
      <c r="N1026" s="148">
        <v>7.06</v>
      </c>
      <c r="O1026" s="148">
        <v>21.18</v>
      </c>
      <c r="P1026" s="494"/>
      <c r="Q1026" s="148">
        <f t="shared" si="312"/>
        <v>0</v>
      </c>
      <c r="R1026" s="148"/>
      <c r="S1026" s="148">
        <f t="shared" si="313"/>
        <v>0</v>
      </c>
      <c r="T1026" s="148">
        <f t="shared" si="314"/>
        <v>3</v>
      </c>
      <c r="U1026" s="148">
        <f t="shared" si="309"/>
        <v>21.18</v>
      </c>
      <c r="V1026" s="379"/>
      <c r="W1026" s="379"/>
      <c r="X1026" s="57" t="e">
        <f>IF(B1026&lt;&gt;0,VLOOKUP(B1026,#REF!,4,FALSE),"")</f>
        <v>#REF!</v>
      </c>
      <c r="Y1026" s="334" t="s">
        <v>3191</v>
      </c>
      <c r="Z1026" s="334">
        <f t="shared" si="300"/>
        <v>14.994</v>
      </c>
      <c r="AA1026" s="57"/>
      <c r="AB1026" s="58" t="e">
        <f>IF(B1026&lt;&gt;0,VLOOKUP(B1026,#REF!,2,FALSE),"")</f>
        <v>#REF!</v>
      </c>
    </row>
    <row r="1027" spans="1:28" s="55" customFormat="1">
      <c r="A1027" s="229" t="s">
        <v>1356</v>
      </c>
      <c r="B1027" s="229"/>
      <c r="C1027" s="229" t="s">
        <v>214</v>
      </c>
      <c r="D1027" s="230"/>
      <c r="E1027" s="230"/>
      <c r="F1027" s="230"/>
      <c r="G1027" s="22"/>
      <c r="H1027" s="230"/>
      <c r="I1027" s="445"/>
      <c r="J1027" s="440"/>
      <c r="K1027" s="440"/>
      <c r="L1027" s="440"/>
      <c r="M1027" s="440"/>
      <c r="N1027" s="440"/>
      <c r="O1027" s="440"/>
      <c r="P1027" s="492"/>
      <c r="Q1027" s="148">
        <f t="shared" si="312"/>
        <v>0</v>
      </c>
      <c r="R1027" s="440"/>
      <c r="S1027" s="440"/>
      <c r="T1027" s="148"/>
      <c r="U1027" s="148"/>
      <c r="V1027" s="330"/>
      <c r="W1027" s="330"/>
      <c r="X1027" s="58"/>
      <c r="Y1027" s="334"/>
      <c r="Z1027" s="334">
        <f t="shared" si="300"/>
        <v>0</v>
      </c>
      <c r="AA1027" s="58"/>
      <c r="AB1027" s="58"/>
    </row>
    <row r="1028" spans="1:28" s="55" customFormat="1">
      <c r="A1028" s="19" t="s">
        <v>1357</v>
      </c>
      <c r="B1028" s="20">
        <v>416</v>
      </c>
      <c r="C1028" s="19" t="s">
        <v>295</v>
      </c>
      <c r="D1028" s="21" t="s">
        <v>44</v>
      </c>
      <c r="E1028" s="21" t="s">
        <v>52</v>
      </c>
      <c r="F1028" s="22">
        <v>140</v>
      </c>
      <c r="G1028" s="22">
        <f t="shared" si="299"/>
        <v>7.4969999999999999</v>
      </c>
      <c r="H1028" s="22">
        <f>ROUND(G1028*(1+$X$14),2)</f>
        <v>9.51</v>
      </c>
      <c r="I1028" s="147">
        <f>ROUND(H1028*F1028,2)</f>
        <v>1331.4</v>
      </c>
      <c r="J1028" s="148"/>
      <c r="K1028" s="148"/>
      <c r="L1028" s="148"/>
      <c r="M1028" s="148">
        <v>8.35</v>
      </c>
      <c r="N1028" s="148">
        <v>10.59</v>
      </c>
      <c r="O1028" s="148">
        <v>1482.6</v>
      </c>
      <c r="P1028" s="494"/>
      <c r="Q1028" s="148">
        <f t="shared" si="312"/>
        <v>0</v>
      </c>
      <c r="R1028" s="148"/>
      <c r="S1028" s="148">
        <f>ROUND(R1028*P1028,2)</f>
        <v>0</v>
      </c>
      <c r="T1028" s="148">
        <f t="shared" si="314"/>
        <v>140</v>
      </c>
      <c r="U1028" s="148">
        <f t="shared" si="309"/>
        <v>1482.6</v>
      </c>
      <c r="V1028" s="379"/>
      <c r="W1028" s="379"/>
      <c r="X1028" s="57">
        <f>'COMPOSIÇÃO DE CUSTOS'!G1928</f>
        <v>7.5</v>
      </c>
      <c r="Y1028" s="334">
        <v>8.82</v>
      </c>
      <c r="Z1028" s="334">
        <f t="shared" si="300"/>
        <v>1049.58</v>
      </c>
      <c r="AA1028" s="57"/>
      <c r="AB1028" s="58"/>
    </row>
    <row r="1029" spans="1:28" s="55" customFormat="1" ht="30">
      <c r="A1029" s="19" t="s">
        <v>1358</v>
      </c>
      <c r="B1029" s="20">
        <v>11752</v>
      </c>
      <c r="C1029" s="19" t="s">
        <v>587</v>
      </c>
      <c r="D1029" s="21" t="s">
        <v>44</v>
      </c>
      <c r="E1029" s="21" t="s">
        <v>52</v>
      </c>
      <c r="F1029" s="22">
        <v>222</v>
      </c>
      <c r="G1029" s="22">
        <f t="shared" si="299"/>
        <v>8.109</v>
      </c>
      <c r="H1029" s="22">
        <f>ROUND(G1029*(1+$X$14),2)</f>
        <v>10.28</v>
      </c>
      <c r="I1029" s="147">
        <f>ROUND(H1029*F1029,2)</f>
        <v>2282.16</v>
      </c>
      <c r="J1029" s="148"/>
      <c r="K1029" s="148"/>
      <c r="L1029" s="148"/>
      <c r="M1029" s="148">
        <v>9.0299999999999994</v>
      </c>
      <c r="N1029" s="148">
        <v>11.45</v>
      </c>
      <c r="O1029" s="148">
        <v>2541.9</v>
      </c>
      <c r="P1029" s="494"/>
      <c r="Q1029" s="148">
        <f t="shared" si="312"/>
        <v>0</v>
      </c>
      <c r="R1029" s="148"/>
      <c r="S1029" s="148">
        <f>ROUND(R1029*P1029,2)</f>
        <v>0</v>
      </c>
      <c r="T1029" s="148">
        <f t="shared" si="314"/>
        <v>222</v>
      </c>
      <c r="U1029" s="148">
        <f t="shared" si="309"/>
        <v>2541.9</v>
      </c>
      <c r="V1029" s="379"/>
      <c r="W1029" s="379"/>
      <c r="X1029" s="57">
        <f>'COMPOSIÇÃO DE CUSTOS'!G1967</f>
        <v>8.11</v>
      </c>
      <c r="Y1029" s="334">
        <v>9.5399999999999991</v>
      </c>
      <c r="Z1029" s="334">
        <f t="shared" si="300"/>
        <v>1800.1980000000001</v>
      </c>
      <c r="AA1029" s="57"/>
      <c r="AB1029" s="58"/>
    </row>
    <row r="1030" spans="1:28" s="55" customFormat="1" ht="15" customHeight="1">
      <c r="A1030" s="229" t="s">
        <v>1359</v>
      </c>
      <c r="B1030" s="229"/>
      <c r="C1030" s="229" t="s">
        <v>216</v>
      </c>
      <c r="D1030" s="230"/>
      <c r="E1030" s="230"/>
      <c r="F1030" s="230"/>
      <c r="G1030" s="22"/>
      <c r="H1030" s="230"/>
      <c r="I1030" s="445"/>
      <c r="J1030" s="440"/>
      <c r="K1030" s="440"/>
      <c r="L1030" s="440"/>
      <c r="M1030" s="440"/>
      <c r="N1030" s="440"/>
      <c r="O1030" s="440"/>
      <c r="P1030" s="492"/>
      <c r="Q1030" s="148">
        <f t="shared" si="312"/>
        <v>0</v>
      </c>
      <c r="R1030" s="440"/>
      <c r="S1030" s="440"/>
      <c r="T1030" s="148"/>
      <c r="U1030" s="148"/>
      <c r="V1030" s="330"/>
      <c r="W1030" s="330"/>
      <c r="X1030" s="58"/>
      <c r="Y1030" s="334"/>
      <c r="Z1030" s="334">
        <f t="shared" si="300"/>
        <v>0</v>
      </c>
      <c r="AA1030" s="58"/>
      <c r="AB1030" s="58"/>
    </row>
    <row r="1031" spans="1:28" s="55" customFormat="1" ht="45">
      <c r="A1031" s="19" t="s">
        <v>1360</v>
      </c>
      <c r="B1031" s="20">
        <v>95795</v>
      </c>
      <c r="C1031" s="19" t="s">
        <v>1707</v>
      </c>
      <c r="D1031" s="21" t="s">
        <v>12</v>
      </c>
      <c r="E1031" s="21" t="s">
        <v>17</v>
      </c>
      <c r="F1031" s="22">
        <v>6</v>
      </c>
      <c r="G1031" s="22">
        <f t="shared" si="299"/>
        <v>21.488</v>
      </c>
      <c r="H1031" s="22">
        <f>ROUND(G1031*(1+$X$14),2)</f>
        <v>27.25</v>
      </c>
      <c r="I1031" s="147">
        <f>ROUND(H1031*F1031,2)</f>
        <v>163.5</v>
      </c>
      <c r="J1031" s="148"/>
      <c r="K1031" s="148"/>
      <c r="L1031" s="148"/>
      <c r="M1031" s="148">
        <v>23.94</v>
      </c>
      <c r="N1031" s="148">
        <v>30.36</v>
      </c>
      <c r="O1031" s="148">
        <v>182.16</v>
      </c>
      <c r="P1031" s="494"/>
      <c r="Q1031" s="148">
        <f t="shared" si="312"/>
        <v>0</v>
      </c>
      <c r="R1031" s="148"/>
      <c r="S1031" s="148">
        <f>ROUND(R1031*P1031,2)</f>
        <v>0</v>
      </c>
      <c r="T1031" s="148">
        <f t="shared" si="314"/>
        <v>6</v>
      </c>
      <c r="U1031" s="148">
        <f t="shared" si="309"/>
        <v>182.16</v>
      </c>
      <c r="V1031" s="379"/>
      <c r="W1031" s="379"/>
      <c r="X1031" s="57" t="e">
        <f>IF(B1031&lt;&gt;0,VLOOKUP(B1031,#REF!,4,FALSE),"")</f>
        <v>#REF!</v>
      </c>
      <c r="Y1031" s="334" t="s">
        <v>3235</v>
      </c>
      <c r="Z1031" s="334">
        <f t="shared" si="300"/>
        <v>128.928</v>
      </c>
      <c r="AA1031" s="57"/>
      <c r="AB1031" s="58" t="e">
        <f>IF(B1031&lt;&gt;0,VLOOKUP(B1031,#REF!,2,FALSE),"")</f>
        <v>#REF!</v>
      </c>
    </row>
    <row r="1032" spans="1:28" s="55" customFormat="1" ht="45">
      <c r="A1032" s="19" t="s">
        <v>1361</v>
      </c>
      <c r="B1032" s="20">
        <v>95787</v>
      </c>
      <c r="C1032" s="19" t="s">
        <v>1708</v>
      </c>
      <c r="D1032" s="21" t="s">
        <v>12</v>
      </c>
      <c r="E1032" s="21" t="s">
        <v>17</v>
      </c>
      <c r="F1032" s="22">
        <v>5</v>
      </c>
      <c r="G1032" s="22">
        <f t="shared" si="299"/>
        <v>18.614999999999998</v>
      </c>
      <c r="H1032" s="22">
        <f>ROUND(G1032*(1+$X$14),2)</f>
        <v>23.61</v>
      </c>
      <c r="I1032" s="147">
        <f>ROUND(H1032*F1032,2)</f>
        <v>118.05</v>
      </c>
      <c r="J1032" s="148"/>
      <c r="K1032" s="148"/>
      <c r="L1032" s="148"/>
      <c r="M1032" s="148">
        <v>20.74</v>
      </c>
      <c r="N1032" s="148">
        <v>26.3</v>
      </c>
      <c r="O1032" s="148">
        <v>131.5</v>
      </c>
      <c r="P1032" s="494"/>
      <c r="Q1032" s="148">
        <f t="shared" si="312"/>
        <v>0</v>
      </c>
      <c r="R1032" s="148"/>
      <c r="S1032" s="148">
        <f>ROUND(R1032*P1032,2)</f>
        <v>0</v>
      </c>
      <c r="T1032" s="148">
        <f t="shared" si="314"/>
        <v>5</v>
      </c>
      <c r="U1032" s="148">
        <f t="shared" si="309"/>
        <v>131.5</v>
      </c>
      <c r="V1032" s="379"/>
      <c r="W1032" s="379"/>
      <c r="X1032" s="57" t="e">
        <f>IF(B1032&lt;&gt;0,VLOOKUP(B1032,#REF!,4,FALSE),"")</f>
        <v>#REF!</v>
      </c>
      <c r="Y1032" s="334" t="s">
        <v>1887</v>
      </c>
      <c r="Z1032" s="334">
        <f t="shared" si="300"/>
        <v>93.074999999999989</v>
      </c>
      <c r="AA1032" s="57"/>
      <c r="AB1032" s="58" t="e">
        <f>IF(B1032&lt;&gt;0,VLOOKUP(B1032,#REF!,2,FALSE),"")</f>
        <v>#REF!</v>
      </c>
    </row>
    <row r="1033" spans="1:28" s="55" customFormat="1" ht="45">
      <c r="A1033" s="19" t="s">
        <v>1362</v>
      </c>
      <c r="B1033" s="20">
        <v>95778</v>
      </c>
      <c r="C1033" s="19" t="s">
        <v>1709</v>
      </c>
      <c r="D1033" s="21" t="s">
        <v>12</v>
      </c>
      <c r="E1033" s="21" t="s">
        <v>17</v>
      </c>
      <c r="F1033" s="22">
        <v>5</v>
      </c>
      <c r="G1033" s="22">
        <f t="shared" si="299"/>
        <v>19.3035</v>
      </c>
      <c r="H1033" s="22">
        <f>ROUND(G1033*(1+$X$14),2)</f>
        <v>24.48</v>
      </c>
      <c r="I1033" s="147">
        <f>ROUND(H1033*F1033,2)</f>
        <v>122.4</v>
      </c>
      <c r="J1033" s="148"/>
      <c r="K1033" s="148"/>
      <c r="L1033" s="148"/>
      <c r="M1033" s="148">
        <v>21.5</v>
      </c>
      <c r="N1033" s="148">
        <v>27.26</v>
      </c>
      <c r="O1033" s="148">
        <v>136.30000000000001</v>
      </c>
      <c r="P1033" s="494"/>
      <c r="Q1033" s="148">
        <f t="shared" si="312"/>
        <v>0</v>
      </c>
      <c r="R1033" s="148"/>
      <c r="S1033" s="148">
        <f>ROUND(R1033*P1033,2)</f>
        <v>0</v>
      </c>
      <c r="T1033" s="148">
        <f t="shared" si="314"/>
        <v>5</v>
      </c>
      <c r="U1033" s="148">
        <f t="shared" si="309"/>
        <v>136.30000000000001</v>
      </c>
      <c r="V1033" s="379"/>
      <c r="W1033" s="379"/>
      <c r="X1033" s="57" t="e">
        <f>IF(B1033&lt;&gt;0,VLOOKUP(B1033,#REF!,4,FALSE),"")</f>
        <v>#REF!</v>
      </c>
      <c r="Y1033" s="334" t="s">
        <v>3134</v>
      </c>
      <c r="Z1033" s="334">
        <f t="shared" si="300"/>
        <v>96.517499999999998</v>
      </c>
      <c r="AA1033" s="57"/>
      <c r="AB1033" s="58" t="e">
        <f>IF(B1033&lt;&gt;0,VLOOKUP(B1033,#REF!,2,FALSE),"")</f>
        <v>#REF!</v>
      </c>
    </row>
    <row r="1034" spans="1:28" s="55" customFormat="1" ht="45">
      <c r="A1034" s="19" t="s">
        <v>1363</v>
      </c>
      <c r="B1034" s="20">
        <v>95779</v>
      </c>
      <c r="C1034" s="19" t="s">
        <v>1710</v>
      </c>
      <c r="D1034" s="21" t="s">
        <v>12</v>
      </c>
      <c r="E1034" s="21" t="s">
        <v>17</v>
      </c>
      <c r="F1034" s="22">
        <v>2</v>
      </c>
      <c r="G1034" s="22">
        <f t="shared" si="299"/>
        <v>17.442</v>
      </c>
      <c r="H1034" s="22">
        <f>ROUND(G1034*(1+$X$14),2)</f>
        <v>22.12</v>
      </c>
      <c r="I1034" s="147">
        <f>ROUND(H1034*F1034,2)</f>
        <v>44.24</v>
      </c>
      <c r="J1034" s="148"/>
      <c r="K1034" s="148"/>
      <c r="L1034" s="148"/>
      <c r="M1034" s="148">
        <v>19.43</v>
      </c>
      <c r="N1034" s="148">
        <v>24.64</v>
      </c>
      <c r="O1034" s="148">
        <v>49.28</v>
      </c>
      <c r="P1034" s="494"/>
      <c r="Q1034" s="148">
        <f t="shared" si="312"/>
        <v>0</v>
      </c>
      <c r="R1034" s="148"/>
      <c r="S1034" s="148">
        <f>ROUND(R1034*P1034,2)</f>
        <v>0</v>
      </c>
      <c r="T1034" s="148">
        <f t="shared" si="314"/>
        <v>2</v>
      </c>
      <c r="U1034" s="148">
        <f t="shared" si="309"/>
        <v>49.28</v>
      </c>
      <c r="V1034" s="379"/>
      <c r="W1034" s="379"/>
      <c r="X1034" s="57" t="e">
        <f>IF(B1034&lt;&gt;0,VLOOKUP(B1034,#REF!,4,FALSE),"")</f>
        <v>#REF!</v>
      </c>
      <c r="Y1034" s="334" t="s">
        <v>1899</v>
      </c>
      <c r="Z1034" s="334">
        <f t="shared" si="300"/>
        <v>34.884</v>
      </c>
      <c r="AA1034" s="57"/>
      <c r="AB1034" s="58" t="e">
        <f>IF(B1034&lt;&gt;0,VLOOKUP(B1034,#REF!,2,FALSE),"")</f>
        <v>#REF!</v>
      </c>
    </row>
    <row r="1035" spans="1:28" s="55" customFormat="1" ht="30">
      <c r="A1035" s="19" t="s">
        <v>1364</v>
      </c>
      <c r="B1035" s="21" t="s">
        <v>2284</v>
      </c>
      <c r="C1035" s="30" t="str">
        <f>C632</f>
        <v>CAIXA DE PASSAGEM COM TAMPA PARAFUSADA 150X150X80MM</v>
      </c>
      <c r="D1035" s="21" t="str">
        <f>D632</f>
        <v>SEINFRA</v>
      </c>
      <c r="E1035" s="21" t="s">
        <v>17</v>
      </c>
      <c r="F1035" s="22">
        <v>4</v>
      </c>
      <c r="G1035" s="22">
        <f t="shared" si="299"/>
        <v>43.978999999999999</v>
      </c>
      <c r="H1035" s="22">
        <f>ROUND(G1035*(1+$X$14),2)</f>
        <v>55.77</v>
      </c>
      <c r="I1035" s="147">
        <f>ROUND(H1035*F1035,2)</f>
        <v>223.08</v>
      </c>
      <c r="J1035" s="148"/>
      <c r="K1035" s="148"/>
      <c r="L1035" s="148"/>
      <c r="M1035" s="148">
        <v>48.99</v>
      </c>
      <c r="N1035" s="148">
        <v>62.12</v>
      </c>
      <c r="O1035" s="148">
        <v>248.48</v>
      </c>
      <c r="P1035" s="494"/>
      <c r="Q1035" s="148">
        <f t="shared" si="312"/>
        <v>0</v>
      </c>
      <c r="R1035" s="148"/>
      <c r="S1035" s="148">
        <f>ROUND(R1035*P1035,2)</f>
        <v>0</v>
      </c>
      <c r="T1035" s="148">
        <f t="shared" si="314"/>
        <v>4</v>
      </c>
      <c r="U1035" s="148">
        <f t="shared" si="309"/>
        <v>248.48</v>
      </c>
      <c r="V1035" s="379"/>
      <c r="W1035" s="379"/>
      <c r="X1035" s="57">
        <f>X632</f>
        <v>43.97</v>
      </c>
      <c r="Y1035" s="334">
        <v>51.74</v>
      </c>
      <c r="Z1035" s="334">
        <f t="shared" si="300"/>
        <v>175.916</v>
      </c>
      <c r="AA1035" s="57"/>
      <c r="AB1035" s="58"/>
    </row>
    <row r="1036" spans="1:28" s="55" customFormat="1" ht="15" customHeight="1">
      <c r="A1036" s="229" t="s">
        <v>1365</v>
      </c>
      <c r="B1036" s="229"/>
      <c r="C1036" s="229" t="s">
        <v>296</v>
      </c>
      <c r="D1036" s="230"/>
      <c r="E1036" s="230"/>
      <c r="F1036" s="230"/>
      <c r="G1036" s="22"/>
      <c r="H1036" s="230"/>
      <c r="I1036" s="445"/>
      <c r="J1036" s="440"/>
      <c r="K1036" s="440"/>
      <c r="L1036" s="440"/>
      <c r="M1036" s="440"/>
      <c r="N1036" s="440"/>
      <c r="O1036" s="440"/>
      <c r="P1036" s="492"/>
      <c r="Q1036" s="148">
        <f t="shared" si="312"/>
        <v>0</v>
      </c>
      <c r="R1036" s="440"/>
      <c r="S1036" s="440"/>
      <c r="T1036" s="148"/>
      <c r="U1036" s="148"/>
      <c r="V1036" s="330"/>
      <c r="W1036" s="330"/>
      <c r="X1036" s="58"/>
      <c r="Y1036" s="334"/>
      <c r="Z1036" s="334">
        <f t="shared" si="300"/>
        <v>0</v>
      </c>
      <c r="AA1036" s="58"/>
      <c r="AB1036" s="58"/>
    </row>
    <row r="1037" spans="1:28" s="55" customFormat="1">
      <c r="A1037" s="19" t="s">
        <v>1366</v>
      </c>
      <c r="B1037" s="20">
        <v>4439</v>
      </c>
      <c r="C1037" s="19" t="s">
        <v>1949</v>
      </c>
      <c r="D1037" s="21" t="s">
        <v>44</v>
      </c>
      <c r="E1037" s="21" t="s">
        <v>17</v>
      </c>
      <c r="F1037" s="22">
        <v>17</v>
      </c>
      <c r="G1037" s="22">
        <f t="shared" si="299"/>
        <v>71.722999999999999</v>
      </c>
      <c r="H1037" s="22">
        <f t="shared" ref="H1037:H1046" si="315">ROUND(G1037*(1+$X$14),2)</f>
        <v>90.95</v>
      </c>
      <c r="I1037" s="147">
        <f t="shared" ref="I1037:I1046" si="316">ROUND(H1037*F1037,2)</f>
        <v>1546.15</v>
      </c>
      <c r="J1037" s="148"/>
      <c r="K1037" s="148"/>
      <c r="L1037" s="148"/>
      <c r="M1037" s="148">
        <v>79.900000000000006</v>
      </c>
      <c r="N1037" s="148">
        <v>101.32</v>
      </c>
      <c r="O1037" s="148">
        <v>1722.44</v>
      </c>
      <c r="P1037" s="494"/>
      <c r="Q1037" s="148">
        <f t="shared" si="312"/>
        <v>0</v>
      </c>
      <c r="R1037" s="148"/>
      <c r="S1037" s="148">
        <f t="shared" ref="S1037:S1046" si="317">ROUND(R1037*P1037,2)</f>
        <v>0</v>
      </c>
      <c r="T1037" s="148">
        <f t="shared" si="314"/>
        <v>17</v>
      </c>
      <c r="U1037" s="148">
        <f t="shared" si="309"/>
        <v>1722.44</v>
      </c>
      <c r="V1037" s="379"/>
      <c r="W1037" s="379"/>
      <c r="X1037" s="57">
        <f>'COMPOSIÇÃO DE CUSTOS'!G1947</f>
        <v>71.73</v>
      </c>
      <c r="Y1037" s="334">
        <v>84.38</v>
      </c>
      <c r="Z1037" s="334">
        <f t="shared" si="300"/>
        <v>1219.2909999999999</v>
      </c>
      <c r="AA1037" s="57"/>
      <c r="AB1037" s="58"/>
    </row>
    <row r="1038" spans="1:28" s="55" customFormat="1">
      <c r="A1038" s="19" t="s">
        <v>1367</v>
      </c>
      <c r="B1038" s="20">
        <v>11527</v>
      </c>
      <c r="C1038" s="19" t="s">
        <v>297</v>
      </c>
      <c r="D1038" s="21" t="s">
        <v>44</v>
      </c>
      <c r="E1038" s="21" t="s">
        <v>17</v>
      </c>
      <c r="F1038" s="22">
        <v>3</v>
      </c>
      <c r="G1038" s="22">
        <f t="shared" si="299"/>
        <v>1156.9860000000001</v>
      </c>
      <c r="H1038" s="22">
        <f t="shared" si="315"/>
        <v>1467.17</v>
      </c>
      <c r="I1038" s="147">
        <f t="shared" si="316"/>
        <v>4401.51</v>
      </c>
      <c r="J1038" s="148"/>
      <c r="K1038" s="148"/>
      <c r="L1038" s="148"/>
      <c r="M1038" s="148">
        <v>1288.8900000000001</v>
      </c>
      <c r="N1038" s="148">
        <v>1634.44</v>
      </c>
      <c r="O1038" s="148">
        <v>4903.32</v>
      </c>
      <c r="P1038" s="494"/>
      <c r="Q1038" s="148">
        <f t="shared" si="312"/>
        <v>0</v>
      </c>
      <c r="R1038" s="148"/>
      <c r="S1038" s="148">
        <f t="shared" si="317"/>
        <v>0</v>
      </c>
      <c r="T1038" s="148">
        <f t="shared" si="314"/>
        <v>3</v>
      </c>
      <c r="U1038" s="148">
        <f t="shared" si="309"/>
        <v>4903.32</v>
      </c>
      <c r="V1038" s="379"/>
      <c r="W1038" s="379"/>
      <c r="X1038" s="57">
        <f>'COMPOSIÇÃO DE CUSTOS'!G2175</f>
        <v>1156.99</v>
      </c>
      <c r="Y1038" s="334">
        <v>1361.16</v>
      </c>
      <c r="Z1038" s="334">
        <f t="shared" si="300"/>
        <v>3470.9580000000005</v>
      </c>
      <c r="AA1038" s="57"/>
      <c r="AB1038" s="58"/>
    </row>
    <row r="1039" spans="1:28" s="55" customFormat="1">
      <c r="A1039" s="19" t="s">
        <v>1368</v>
      </c>
      <c r="B1039" s="150">
        <v>4436</v>
      </c>
      <c r="C1039" s="151" t="s">
        <v>2341</v>
      </c>
      <c r="D1039" s="152" t="s">
        <v>44</v>
      </c>
      <c r="E1039" s="152" t="s">
        <v>17</v>
      </c>
      <c r="F1039" s="145">
        <v>4</v>
      </c>
      <c r="G1039" s="22">
        <f t="shared" si="299"/>
        <v>126.65</v>
      </c>
      <c r="H1039" s="145">
        <f t="shared" si="315"/>
        <v>160.6</v>
      </c>
      <c r="I1039" s="446">
        <f t="shared" si="316"/>
        <v>642.4</v>
      </c>
      <c r="J1039" s="148"/>
      <c r="K1039" s="148"/>
      <c r="L1039" s="148"/>
      <c r="M1039" s="148">
        <v>141.09</v>
      </c>
      <c r="N1039" s="148">
        <v>178.92</v>
      </c>
      <c r="O1039" s="148">
        <v>715.68</v>
      </c>
      <c r="P1039" s="494"/>
      <c r="Q1039" s="148">
        <f t="shared" si="312"/>
        <v>0</v>
      </c>
      <c r="R1039" s="148"/>
      <c r="S1039" s="148">
        <f t="shared" si="317"/>
        <v>0</v>
      </c>
      <c r="T1039" s="148">
        <f t="shared" si="314"/>
        <v>4</v>
      </c>
      <c r="U1039" s="148">
        <f t="shared" si="309"/>
        <v>715.68</v>
      </c>
      <c r="V1039" s="379"/>
      <c r="W1039" s="379"/>
      <c r="X1039" s="57">
        <f>'COMPOSIÇÃO DE CUSTOS'!G2170</f>
        <v>126.65</v>
      </c>
      <c r="Y1039" s="334">
        <v>149</v>
      </c>
      <c r="Z1039" s="334">
        <f t="shared" si="300"/>
        <v>506.6</v>
      </c>
      <c r="AA1039" s="57"/>
      <c r="AB1039" s="58"/>
    </row>
    <row r="1040" spans="1:28" s="55" customFormat="1">
      <c r="A1040" s="133" t="s">
        <v>2335</v>
      </c>
      <c r="B1040" s="138">
        <v>10243</v>
      </c>
      <c r="C1040" s="139" t="s">
        <v>2034</v>
      </c>
      <c r="D1040" s="131" t="s">
        <v>44</v>
      </c>
      <c r="E1040" s="131" t="s">
        <v>17</v>
      </c>
      <c r="F1040" s="148">
        <v>6</v>
      </c>
      <c r="G1040" s="22">
        <f t="shared" si="299"/>
        <v>12.75</v>
      </c>
      <c r="H1040" s="148">
        <f t="shared" si="315"/>
        <v>16.170000000000002</v>
      </c>
      <c r="I1040" s="473">
        <f t="shared" si="316"/>
        <v>97.02</v>
      </c>
      <c r="J1040" s="148"/>
      <c r="K1040" s="148"/>
      <c r="L1040" s="148"/>
      <c r="M1040" s="148">
        <v>14.2</v>
      </c>
      <c r="N1040" s="148">
        <v>18.010000000000002</v>
      </c>
      <c r="O1040" s="148">
        <v>108.06</v>
      </c>
      <c r="P1040" s="494"/>
      <c r="Q1040" s="148">
        <f t="shared" si="312"/>
        <v>0</v>
      </c>
      <c r="R1040" s="148"/>
      <c r="S1040" s="148">
        <f t="shared" si="317"/>
        <v>0</v>
      </c>
      <c r="T1040" s="148">
        <f t="shared" si="314"/>
        <v>6</v>
      </c>
      <c r="U1040" s="148">
        <f t="shared" si="309"/>
        <v>108.06</v>
      </c>
      <c r="V1040" s="379"/>
      <c r="W1040" s="379"/>
      <c r="X1040" s="57">
        <f>'COMPOSIÇÃO DE CUSTOS'!G2180</f>
        <v>12.75</v>
      </c>
      <c r="Y1040" s="334">
        <v>15</v>
      </c>
      <c r="Z1040" s="334">
        <f t="shared" si="300"/>
        <v>76.5</v>
      </c>
      <c r="AA1040" s="57"/>
      <c r="AB1040" s="58"/>
    </row>
    <row r="1041" spans="1:28" s="55" customFormat="1" ht="30">
      <c r="A1041" s="133" t="s">
        <v>2336</v>
      </c>
      <c r="B1041" s="138" t="s">
        <v>2446</v>
      </c>
      <c r="C1041" s="139" t="s">
        <v>1956</v>
      </c>
      <c r="D1041" s="131" t="s">
        <v>1914</v>
      </c>
      <c r="E1041" s="131" t="s">
        <v>17</v>
      </c>
      <c r="F1041" s="148">
        <v>6</v>
      </c>
      <c r="G1041" s="22">
        <f t="shared" si="299"/>
        <v>35.453499999999998</v>
      </c>
      <c r="H1041" s="148">
        <f t="shared" si="315"/>
        <v>44.96</v>
      </c>
      <c r="I1041" s="473">
        <f t="shared" si="316"/>
        <v>269.76</v>
      </c>
      <c r="J1041" s="148"/>
      <c r="K1041" s="148"/>
      <c r="L1041" s="148"/>
      <c r="M1041" s="148">
        <v>39.5</v>
      </c>
      <c r="N1041" s="148">
        <v>50.09</v>
      </c>
      <c r="O1041" s="148">
        <v>300.54000000000002</v>
      </c>
      <c r="P1041" s="494"/>
      <c r="Q1041" s="148">
        <f t="shared" si="312"/>
        <v>0</v>
      </c>
      <c r="R1041" s="148"/>
      <c r="S1041" s="148">
        <f t="shared" si="317"/>
        <v>0</v>
      </c>
      <c r="T1041" s="148">
        <f t="shared" si="314"/>
        <v>6</v>
      </c>
      <c r="U1041" s="148">
        <f t="shared" si="309"/>
        <v>300.54000000000002</v>
      </c>
      <c r="V1041" s="379"/>
      <c r="W1041" s="379"/>
      <c r="X1041" s="57">
        <f>'COMPOSIÇÃO DE CUSTOS'!G2238</f>
        <v>35.44</v>
      </c>
      <c r="Y1041" s="334">
        <v>41.71</v>
      </c>
      <c r="Z1041" s="334">
        <f t="shared" si="300"/>
        <v>212.721</v>
      </c>
      <c r="AA1041" s="57"/>
      <c r="AB1041" s="58"/>
    </row>
    <row r="1042" spans="1:28" s="55" customFormat="1" ht="40.5" customHeight="1">
      <c r="A1042" s="133" t="s">
        <v>2337</v>
      </c>
      <c r="B1042" s="138">
        <f>B583</f>
        <v>8681</v>
      </c>
      <c r="C1042" s="153" t="str">
        <f>C583</f>
        <v>FORNECIMENTO E INSTALAÇÃO DE MINI RACK DE PAREDE 19" X 5U X 450MM</v>
      </c>
      <c r="D1042" s="131" t="s">
        <v>44</v>
      </c>
      <c r="E1042" s="131" t="s">
        <v>17</v>
      </c>
      <c r="F1042" s="148">
        <v>1</v>
      </c>
      <c r="G1042" s="22">
        <f t="shared" si="299"/>
        <v>387.66800000000001</v>
      </c>
      <c r="H1042" s="148">
        <f t="shared" si="315"/>
        <v>491.6</v>
      </c>
      <c r="I1042" s="473">
        <f t="shared" si="316"/>
        <v>491.6</v>
      </c>
      <c r="J1042" s="148"/>
      <c r="K1042" s="148"/>
      <c r="L1042" s="148"/>
      <c r="M1042" s="148">
        <v>431.87</v>
      </c>
      <c r="N1042" s="148">
        <v>547.65</v>
      </c>
      <c r="O1042" s="148">
        <v>547.65</v>
      </c>
      <c r="P1042" s="494"/>
      <c r="Q1042" s="148">
        <f t="shared" si="312"/>
        <v>0</v>
      </c>
      <c r="R1042" s="148"/>
      <c r="S1042" s="148">
        <f t="shared" si="317"/>
        <v>0</v>
      </c>
      <c r="T1042" s="148">
        <f t="shared" si="314"/>
        <v>1</v>
      </c>
      <c r="U1042" s="148">
        <f t="shared" si="309"/>
        <v>547.65</v>
      </c>
      <c r="V1042" s="379"/>
      <c r="W1042" s="379"/>
      <c r="X1042" s="57">
        <f>X583</f>
        <v>387.68</v>
      </c>
      <c r="Y1042" s="334">
        <v>456.08</v>
      </c>
      <c r="Z1042" s="334">
        <f t="shared" si="300"/>
        <v>387.66800000000001</v>
      </c>
      <c r="AA1042" s="57"/>
      <c r="AB1042" s="58"/>
    </row>
    <row r="1043" spans="1:28" s="55" customFormat="1" ht="30">
      <c r="A1043" s="19" t="s">
        <v>2338</v>
      </c>
      <c r="B1043" s="144">
        <v>13247</v>
      </c>
      <c r="C1043" s="143" t="str">
        <f>'COMPOSIÇÃO DE CUSTOS'!A1949</f>
        <v>MESA DE SOM / MIXER 8 CANAIS C/ USB OMX 52 - ONEAL OU SIMILAR</v>
      </c>
      <c r="D1043" s="154" t="s">
        <v>44</v>
      </c>
      <c r="E1043" s="154" t="s">
        <v>17</v>
      </c>
      <c r="F1043" s="149">
        <v>1</v>
      </c>
      <c r="G1043" s="22">
        <f t="shared" si="299"/>
        <v>759.39</v>
      </c>
      <c r="H1043" s="149">
        <f t="shared" si="315"/>
        <v>962.98</v>
      </c>
      <c r="I1043" s="474">
        <f t="shared" si="316"/>
        <v>962.98</v>
      </c>
      <c r="J1043" s="148"/>
      <c r="K1043" s="148"/>
      <c r="L1043" s="148"/>
      <c r="M1043" s="148">
        <v>845.97</v>
      </c>
      <c r="N1043" s="148">
        <v>1072.77</v>
      </c>
      <c r="O1043" s="148">
        <v>1072.77</v>
      </c>
      <c r="P1043" s="494"/>
      <c r="Q1043" s="148">
        <f t="shared" si="312"/>
        <v>0</v>
      </c>
      <c r="R1043" s="148"/>
      <c r="S1043" s="148">
        <f t="shared" si="317"/>
        <v>0</v>
      </c>
      <c r="T1043" s="148">
        <f t="shared" si="314"/>
        <v>1</v>
      </c>
      <c r="U1043" s="148">
        <f t="shared" si="309"/>
        <v>1072.77</v>
      </c>
      <c r="V1043" s="379"/>
      <c r="W1043" s="379"/>
      <c r="X1043" s="57">
        <f>'COMPOSIÇÃO DE CUSTOS'!G1954</f>
        <v>759.4</v>
      </c>
      <c r="Y1043" s="334">
        <v>893.4</v>
      </c>
      <c r="Z1043" s="334">
        <f t="shared" si="300"/>
        <v>759.39</v>
      </c>
      <c r="AA1043" s="57"/>
      <c r="AB1043" s="58"/>
    </row>
    <row r="1044" spans="1:28" s="55" customFormat="1" ht="30">
      <c r="A1044" s="19" t="s">
        <v>2339</v>
      </c>
      <c r="B1044" s="20">
        <v>4350</v>
      </c>
      <c r="C1044" s="19" t="str">
        <f>'COMPOSIÇÃO DE CUSTOS'!A1956</f>
        <v>AMPLIFICADOR CICLOTRON DBK 4000 (OU SIMILAR) - FORNECIMENTO E INSTALAÇÃO</v>
      </c>
      <c r="D1044" s="21" t="s">
        <v>44</v>
      </c>
      <c r="E1044" s="21" t="s">
        <v>17</v>
      </c>
      <c r="F1044" s="22">
        <v>1</v>
      </c>
      <c r="G1044" s="22">
        <f t="shared" si="299"/>
        <v>1506.4634999999998</v>
      </c>
      <c r="H1044" s="22">
        <f t="shared" si="315"/>
        <v>1910.35</v>
      </c>
      <c r="I1044" s="147">
        <f t="shared" si="316"/>
        <v>1910.35</v>
      </c>
      <c r="J1044" s="148"/>
      <c r="K1044" s="148"/>
      <c r="L1044" s="148"/>
      <c r="M1044" s="148">
        <v>1678.21</v>
      </c>
      <c r="N1044" s="148">
        <v>2128.14</v>
      </c>
      <c r="O1044" s="148">
        <v>2128.14</v>
      </c>
      <c r="P1044" s="494"/>
      <c r="Q1044" s="148">
        <f t="shared" si="312"/>
        <v>0</v>
      </c>
      <c r="R1044" s="148"/>
      <c r="S1044" s="148">
        <f t="shared" si="317"/>
        <v>0</v>
      </c>
      <c r="T1044" s="148">
        <f t="shared" si="314"/>
        <v>1</v>
      </c>
      <c r="U1044" s="148">
        <f t="shared" si="309"/>
        <v>2128.14</v>
      </c>
      <c r="V1044" s="379"/>
      <c r="W1044" s="379"/>
      <c r="X1044" s="57">
        <f>'COMPOSIÇÃO DE CUSTOS'!G1960</f>
        <v>1506.47</v>
      </c>
      <c r="Y1044" s="334">
        <v>1772.31</v>
      </c>
      <c r="Z1044" s="334">
        <f t="shared" si="300"/>
        <v>1506.4634999999998</v>
      </c>
      <c r="AA1044" s="57"/>
      <c r="AB1044" s="58"/>
    </row>
    <row r="1045" spans="1:28" s="55" customFormat="1">
      <c r="A1045" s="19" t="s">
        <v>2340</v>
      </c>
      <c r="B1045" s="20">
        <v>8914</v>
      </c>
      <c r="C1045" s="19" t="s">
        <v>298</v>
      </c>
      <c r="D1045" s="21" t="s">
        <v>44</v>
      </c>
      <c r="E1045" s="21" t="s">
        <v>17</v>
      </c>
      <c r="F1045" s="22">
        <v>2</v>
      </c>
      <c r="G1045" s="22">
        <f t="shared" ref="G1045:G1109" si="318">Y1045-(Y1045*$Y$15)</f>
        <v>401.625</v>
      </c>
      <c r="H1045" s="22">
        <f t="shared" si="315"/>
        <v>509.3</v>
      </c>
      <c r="I1045" s="147">
        <f t="shared" si="316"/>
        <v>1018.6</v>
      </c>
      <c r="J1045" s="148"/>
      <c r="K1045" s="148"/>
      <c r="L1045" s="148"/>
      <c r="M1045" s="148">
        <v>447.41</v>
      </c>
      <c r="N1045" s="148">
        <v>567.36</v>
      </c>
      <c r="O1045" s="148">
        <v>1134.72</v>
      </c>
      <c r="P1045" s="494"/>
      <c r="Q1045" s="148">
        <f t="shared" si="312"/>
        <v>0</v>
      </c>
      <c r="R1045" s="148"/>
      <c r="S1045" s="148">
        <f t="shared" si="317"/>
        <v>0</v>
      </c>
      <c r="T1045" s="148">
        <f t="shared" si="314"/>
        <v>2</v>
      </c>
      <c r="U1045" s="148">
        <f t="shared" si="309"/>
        <v>1134.72</v>
      </c>
      <c r="V1045" s="379"/>
      <c r="W1045" s="379"/>
      <c r="X1045" s="57">
        <f>'COMPOSIÇÃO DE CUSTOS'!G2143</f>
        <v>401.63</v>
      </c>
      <c r="Y1045" s="334">
        <v>472.5</v>
      </c>
      <c r="Z1045" s="334">
        <f t="shared" ref="Z1045:Z1109" si="319">F1045*G1045</f>
        <v>803.25</v>
      </c>
      <c r="AA1045" s="57"/>
      <c r="AB1045" s="58"/>
    </row>
    <row r="1046" spans="1:28" s="55" customFormat="1" ht="30">
      <c r="A1046" s="19" t="s">
        <v>2445</v>
      </c>
      <c r="B1046" s="155">
        <f>B569</f>
        <v>11419</v>
      </c>
      <c r="C1046" s="19" t="s">
        <v>220</v>
      </c>
      <c r="D1046" s="142" t="str">
        <f>D569</f>
        <v>ORSE</v>
      </c>
      <c r="E1046" s="21" t="s">
        <v>17</v>
      </c>
      <c r="F1046" s="22">
        <v>1</v>
      </c>
      <c r="G1046" s="22">
        <f t="shared" si="318"/>
        <v>17.977499999999999</v>
      </c>
      <c r="H1046" s="22">
        <f t="shared" si="315"/>
        <v>22.8</v>
      </c>
      <c r="I1046" s="147">
        <f t="shared" si="316"/>
        <v>22.8</v>
      </c>
      <c r="J1046" s="148"/>
      <c r="K1046" s="148"/>
      <c r="L1046" s="148"/>
      <c r="M1046" s="148">
        <v>20.03</v>
      </c>
      <c r="N1046" s="148">
        <v>25.4</v>
      </c>
      <c r="O1046" s="148">
        <v>25.4</v>
      </c>
      <c r="P1046" s="494"/>
      <c r="Q1046" s="148">
        <f t="shared" si="312"/>
        <v>0</v>
      </c>
      <c r="R1046" s="148"/>
      <c r="S1046" s="148">
        <f t="shared" si="317"/>
        <v>0</v>
      </c>
      <c r="T1046" s="148">
        <f t="shared" si="314"/>
        <v>1</v>
      </c>
      <c r="U1046" s="148">
        <f t="shared" si="309"/>
        <v>25.4</v>
      </c>
      <c r="V1046" s="379"/>
      <c r="W1046" s="379"/>
      <c r="X1046" s="57">
        <f>X569</f>
        <v>21.15</v>
      </c>
      <c r="Y1046" s="334">
        <v>21.15</v>
      </c>
      <c r="Z1046" s="334">
        <f t="shared" si="319"/>
        <v>17.977499999999999</v>
      </c>
      <c r="AA1046" s="57"/>
      <c r="AB1046" s="58"/>
    </row>
    <row r="1047" spans="1:28" ht="29.25" customHeight="1">
      <c r="A1047" s="19"/>
      <c r="B1047" s="21"/>
      <c r="C1047" s="19"/>
      <c r="D1047" s="21"/>
      <c r="E1047" s="21"/>
      <c r="F1047" s="22"/>
      <c r="G1047" s="22"/>
      <c r="H1047" s="22"/>
      <c r="I1047" s="147"/>
      <c r="J1047" s="148"/>
      <c r="K1047" s="148"/>
      <c r="L1047" s="148"/>
      <c r="M1047" s="148"/>
      <c r="N1047" s="148"/>
      <c r="O1047" s="148"/>
      <c r="P1047" s="494"/>
      <c r="Q1047" s="148"/>
      <c r="R1047" s="148"/>
      <c r="S1047" s="148"/>
      <c r="T1047" s="148"/>
      <c r="U1047" s="148">
        <f t="shared" si="309"/>
        <v>0</v>
      </c>
      <c r="V1047" s="379"/>
      <c r="W1047" s="379"/>
      <c r="X1047" s="30"/>
      <c r="Y1047" s="337"/>
      <c r="Z1047" s="334">
        <f t="shared" si="319"/>
        <v>0</v>
      </c>
      <c r="AA1047" s="30"/>
      <c r="AB1047" s="30"/>
    </row>
    <row r="1048" spans="1:28" s="38" customFormat="1">
      <c r="A1048" s="229" t="s">
        <v>1373</v>
      </c>
      <c r="B1048" s="229"/>
      <c r="C1048" s="229" t="s">
        <v>299</v>
      </c>
      <c r="D1048" s="230"/>
      <c r="E1048" s="230"/>
      <c r="F1048" s="230"/>
      <c r="G1048" s="22"/>
      <c r="H1048" s="230"/>
      <c r="I1048" s="445">
        <f>SUM(I1050:I1065)</f>
        <v>57648.86</v>
      </c>
      <c r="J1048" s="440"/>
      <c r="K1048" s="440"/>
      <c r="L1048" s="440"/>
      <c r="M1048" s="440"/>
      <c r="N1048" s="440"/>
      <c r="O1048" s="440">
        <v>66423.349999999991</v>
      </c>
      <c r="P1048" s="492"/>
      <c r="Q1048" s="440">
        <f>SUM(Q1050:Q1065)</f>
        <v>0</v>
      </c>
      <c r="R1048" s="440"/>
      <c r="S1048" s="440">
        <f>SUM(S1050:S1065)</f>
        <v>0</v>
      </c>
      <c r="T1048" s="148"/>
      <c r="U1048" s="440">
        <f t="shared" si="309"/>
        <v>66423.349999999991</v>
      </c>
      <c r="V1048" s="330"/>
      <c r="W1048" s="330"/>
      <c r="X1048" s="39"/>
      <c r="Y1048" s="336"/>
      <c r="Z1048" s="334">
        <f t="shared" si="319"/>
        <v>0</v>
      </c>
      <c r="AA1048" s="39"/>
      <c r="AB1048" s="39"/>
    </row>
    <row r="1049" spans="1:28" s="55" customFormat="1" ht="15" customHeight="1">
      <c r="A1049" s="229" t="s">
        <v>1374</v>
      </c>
      <c r="B1049" s="229"/>
      <c r="C1049" s="229" t="s">
        <v>300</v>
      </c>
      <c r="D1049" s="230"/>
      <c r="E1049" s="230"/>
      <c r="F1049" s="230"/>
      <c r="G1049" s="22"/>
      <c r="H1049" s="230"/>
      <c r="I1049" s="445"/>
      <c r="J1049" s="440"/>
      <c r="K1049" s="440"/>
      <c r="L1049" s="440"/>
      <c r="M1049" s="440"/>
      <c r="N1049" s="440"/>
      <c r="O1049" s="440"/>
      <c r="P1049" s="492"/>
      <c r="Q1049" s="440"/>
      <c r="R1049" s="440"/>
      <c r="S1049" s="440"/>
      <c r="T1049" s="148"/>
      <c r="U1049" s="148"/>
      <c r="V1049" s="330"/>
      <c r="W1049" s="330"/>
      <c r="X1049" s="58"/>
      <c r="Y1049" s="334"/>
      <c r="Z1049" s="334">
        <f t="shared" si="319"/>
        <v>0</v>
      </c>
      <c r="AA1049" s="58"/>
      <c r="AB1049" s="58"/>
    </row>
    <row r="1050" spans="1:28" s="55" customFormat="1" ht="46.5" customHeight="1">
      <c r="A1050" s="19" t="s">
        <v>1375</v>
      </c>
      <c r="B1050" s="20">
        <v>96973</v>
      </c>
      <c r="C1050" s="19" t="s">
        <v>2508</v>
      </c>
      <c r="D1050" s="21" t="s">
        <v>12</v>
      </c>
      <c r="E1050" s="21" t="s">
        <v>52</v>
      </c>
      <c r="F1050" s="22">
        <v>425</v>
      </c>
      <c r="G1050" s="22">
        <f t="shared" si="318"/>
        <v>49.376500000000007</v>
      </c>
      <c r="H1050" s="22">
        <f t="shared" ref="H1050:H1055" si="320">ROUND(G1050*(1+$X$14),2)</f>
        <v>62.61</v>
      </c>
      <c r="I1050" s="147">
        <f t="shared" ref="I1050:I1055" si="321">ROUND(H1050*F1050,2)</f>
        <v>26609.25</v>
      </c>
      <c r="J1050" s="148"/>
      <c r="K1050" s="148"/>
      <c r="L1050" s="148"/>
      <c r="M1050" s="148">
        <v>59.09</v>
      </c>
      <c r="N1050" s="148">
        <v>74.930000000000007</v>
      </c>
      <c r="O1050" s="148">
        <v>31845.25</v>
      </c>
      <c r="P1050" s="494"/>
      <c r="Q1050" s="148">
        <f t="shared" ref="Q1050:Q1065" si="322">ROUND(P1050*N1050,2)</f>
        <v>0</v>
      </c>
      <c r="R1050" s="148"/>
      <c r="S1050" s="148">
        <f t="shared" ref="S1050:S1055" si="323">ROUND(R1050*P1050,2)</f>
        <v>0</v>
      </c>
      <c r="T1050" s="148">
        <f t="shared" ref="T1050:T1080" si="324">F1050+P1050-R1050</f>
        <v>425</v>
      </c>
      <c r="U1050" s="148">
        <f t="shared" si="309"/>
        <v>31845.25</v>
      </c>
      <c r="V1050" s="379"/>
      <c r="W1050" s="379"/>
      <c r="X1050" s="57" t="e">
        <f>IF(B1050&lt;&gt;0,VLOOKUP(B1050,#REF!,4,FALSE),"")</f>
        <v>#REF!</v>
      </c>
      <c r="Y1050" s="334" t="s">
        <v>3257</v>
      </c>
      <c r="Z1050" s="334">
        <f t="shared" si="319"/>
        <v>20985.012500000004</v>
      </c>
      <c r="AA1050" s="57"/>
      <c r="AB1050" s="58" t="e">
        <f>IF(B1050&lt;&gt;0,VLOOKUP(B1050,#REF!,2,FALSE),"")</f>
        <v>#REF!</v>
      </c>
    </row>
    <row r="1051" spans="1:28" s="55" customFormat="1" ht="30">
      <c r="A1051" s="19" t="s">
        <v>2342</v>
      </c>
      <c r="B1051" s="20">
        <v>8795</v>
      </c>
      <c r="C1051" s="19" t="s">
        <v>301</v>
      </c>
      <c r="D1051" s="21" t="s">
        <v>44</v>
      </c>
      <c r="E1051" s="21" t="s">
        <v>17</v>
      </c>
      <c r="F1051" s="22">
        <v>17</v>
      </c>
      <c r="G1051" s="22">
        <f t="shared" si="318"/>
        <v>19.473500000000001</v>
      </c>
      <c r="H1051" s="22">
        <f t="shared" si="320"/>
        <v>24.69</v>
      </c>
      <c r="I1051" s="147">
        <f t="shared" si="321"/>
        <v>419.73</v>
      </c>
      <c r="J1051" s="148"/>
      <c r="K1051" s="148"/>
      <c r="L1051" s="148"/>
      <c r="M1051" s="148">
        <v>21.69</v>
      </c>
      <c r="N1051" s="148">
        <v>27.51</v>
      </c>
      <c r="O1051" s="148">
        <v>467.67</v>
      </c>
      <c r="P1051" s="494"/>
      <c r="Q1051" s="148">
        <f t="shared" si="322"/>
        <v>0</v>
      </c>
      <c r="R1051" s="148"/>
      <c r="S1051" s="148">
        <f t="shared" si="323"/>
        <v>0</v>
      </c>
      <c r="T1051" s="148">
        <f t="shared" si="324"/>
        <v>17</v>
      </c>
      <c r="U1051" s="148">
        <f t="shared" si="309"/>
        <v>467.67</v>
      </c>
      <c r="V1051" s="379"/>
      <c r="W1051" s="379"/>
      <c r="X1051" s="57">
        <f>'COMPOSIÇÃO DE CUSTOS'!G2150</f>
        <v>19.47</v>
      </c>
      <c r="Y1051" s="334">
        <v>22.91</v>
      </c>
      <c r="Z1051" s="334">
        <f t="shared" si="319"/>
        <v>331.04950000000002</v>
      </c>
      <c r="AA1051" s="57"/>
      <c r="AB1051" s="58"/>
    </row>
    <row r="1052" spans="1:28" s="55" customFormat="1" ht="30">
      <c r="A1052" s="19" t="s">
        <v>2343</v>
      </c>
      <c r="B1052" s="20">
        <v>10694</v>
      </c>
      <c r="C1052" s="19" t="s">
        <v>302</v>
      </c>
      <c r="D1052" s="21" t="s">
        <v>44</v>
      </c>
      <c r="E1052" s="21" t="s">
        <v>17</v>
      </c>
      <c r="F1052" s="22">
        <v>267</v>
      </c>
      <c r="G1052" s="22">
        <f t="shared" si="318"/>
        <v>19.694500000000001</v>
      </c>
      <c r="H1052" s="22">
        <f t="shared" si="320"/>
        <v>24.97</v>
      </c>
      <c r="I1052" s="147">
        <f t="shared" si="321"/>
        <v>6666.99</v>
      </c>
      <c r="J1052" s="148"/>
      <c r="K1052" s="148"/>
      <c r="L1052" s="148"/>
      <c r="M1052" s="148">
        <v>21.94</v>
      </c>
      <c r="N1052" s="148">
        <v>27.82</v>
      </c>
      <c r="O1052" s="148">
        <v>7427.94</v>
      </c>
      <c r="P1052" s="494"/>
      <c r="Q1052" s="148">
        <f t="shared" si="322"/>
        <v>0</v>
      </c>
      <c r="R1052" s="148"/>
      <c r="S1052" s="148">
        <f t="shared" si="323"/>
        <v>0</v>
      </c>
      <c r="T1052" s="148">
        <f t="shared" si="324"/>
        <v>267</v>
      </c>
      <c r="U1052" s="148">
        <f t="shared" si="309"/>
        <v>7427.94</v>
      </c>
      <c r="V1052" s="379"/>
      <c r="W1052" s="379"/>
      <c r="X1052" s="57">
        <f>'COMPOSIÇÃO DE CUSTOS'!G1921</f>
        <v>19.690000000000001</v>
      </c>
      <c r="Y1052" s="334">
        <v>23.17</v>
      </c>
      <c r="Z1052" s="334">
        <f t="shared" si="319"/>
        <v>5258.4315000000006</v>
      </c>
      <c r="AA1052" s="57"/>
      <c r="AB1052" s="58"/>
    </row>
    <row r="1053" spans="1:28" s="55" customFormat="1" ht="30">
      <c r="A1053" s="36" t="s">
        <v>3730</v>
      </c>
      <c r="B1053" s="20">
        <v>96987</v>
      </c>
      <c r="C1053" s="439" t="s">
        <v>3731</v>
      </c>
      <c r="D1053" s="21" t="s">
        <v>12</v>
      </c>
      <c r="E1053" s="21" t="s">
        <v>17</v>
      </c>
      <c r="F1053" s="22">
        <v>1</v>
      </c>
      <c r="G1053" s="22">
        <f t="shared" si="318"/>
        <v>97.393000000000001</v>
      </c>
      <c r="H1053" s="22">
        <f t="shared" si="320"/>
        <v>123.5</v>
      </c>
      <c r="I1053" s="147">
        <f t="shared" si="321"/>
        <v>123.5</v>
      </c>
      <c r="J1053" s="148"/>
      <c r="K1053" s="148"/>
      <c r="L1053" s="148"/>
      <c r="M1053" s="148">
        <v>108.5</v>
      </c>
      <c r="N1053" s="148">
        <v>137.59</v>
      </c>
      <c r="O1053" s="148">
        <v>137.59</v>
      </c>
      <c r="P1053" s="494"/>
      <c r="Q1053" s="148">
        <f t="shared" si="322"/>
        <v>0</v>
      </c>
      <c r="R1053" s="148"/>
      <c r="S1053" s="148">
        <f t="shared" si="323"/>
        <v>0</v>
      </c>
      <c r="T1053" s="148">
        <f t="shared" si="324"/>
        <v>1</v>
      </c>
      <c r="U1053" s="148">
        <f t="shared" si="309"/>
        <v>137.59</v>
      </c>
      <c r="V1053" s="379"/>
      <c r="W1053" s="379"/>
      <c r="X1053" s="33" t="e">
        <f>IF(B1053&lt;&gt;0,VLOOKUP(B1053,#REF!,4,FALSE),"")</f>
        <v>#REF!</v>
      </c>
      <c r="Y1053" s="337" t="s">
        <v>3259</v>
      </c>
      <c r="Z1053" s="334">
        <f t="shared" si="319"/>
        <v>97.393000000000001</v>
      </c>
      <c r="AA1053" s="33"/>
      <c r="AB1053" s="30" t="e">
        <f>IF(B1053&lt;&gt;0,VLOOKUP(B1053,#REF!,2,FALSE),"")</f>
        <v>#REF!</v>
      </c>
    </row>
    <row r="1054" spans="1:28" s="55" customFormat="1" ht="30">
      <c r="A1054" s="36" t="s">
        <v>3732</v>
      </c>
      <c r="B1054" s="20">
        <v>96988</v>
      </c>
      <c r="C1054" s="439" t="s">
        <v>3733</v>
      </c>
      <c r="D1054" s="21" t="s">
        <v>12</v>
      </c>
      <c r="E1054" s="21" t="s">
        <v>17</v>
      </c>
      <c r="F1054" s="22">
        <v>1</v>
      </c>
      <c r="G1054" s="22">
        <f t="shared" si="318"/>
        <v>156.995</v>
      </c>
      <c r="H1054" s="22">
        <f t="shared" si="320"/>
        <v>199.09</v>
      </c>
      <c r="I1054" s="147">
        <f t="shared" si="321"/>
        <v>199.09</v>
      </c>
      <c r="J1054" s="148"/>
      <c r="K1054" s="148"/>
      <c r="L1054" s="148"/>
      <c r="M1054" s="148">
        <v>174.89</v>
      </c>
      <c r="N1054" s="148">
        <v>221.78</v>
      </c>
      <c r="O1054" s="148">
        <v>221.78</v>
      </c>
      <c r="P1054" s="494"/>
      <c r="Q1054" s="148">
        <f t="shared" si="322"/>
        <v>0</v>
      </c>
      <c r="R1054" s="148"/>
      <c r="S1054" s="148">
        <f t="shared" si="323"/>
        <v>0</v>
      </c>
      <c r="T1054" s="148">
        <f t="shared" si="324"/>
        <v>1</v>
      </c>
      <c r="U1054" s="148">
        <f t="shared" si="309"/>
        <v>221.78</v>
      </c>
      <c r="V1054" s="379"/>
      <c r="W1054" s="379"/>
      <c r="X1054" s="33" t="e">
        <f>IF(B1054&lt;&gt;0,VLOOKUP(B1054,#REF!,4,FALSE),"")</f>
        <v>#REF!</v>
      </c>
      <c r="Y1054" s="337" t="s">
        <v>3260</v>
      </c>
      <c r="Z1054" s="334">
        <f t="shared" si="319"/>
        <v>156.995</v>
      </c>
      <c r="AA1054" s="33"/>
      <c r="AB1054" s="30" t="e">
        <f>IF(B1054&lt;&gt;0,VLOOKUP(B1054,#REF!,2,FALSE),"")</f>
        <v>#REF!</v>
      </c>
    </row>
    <row r="1055" spans="1:28" ht="30" customHeight="1">
      <c r="A1055" s="19" t="s">
        <v>3082</v>
      </c>
      <c r="B1055" s="20">
        <v>96989</v>
      </c>
      <c r="C1055" s="19" t="s">
        <v>2509</v>
      </c>
      <c r="D1055" s="21" t="s">
        <v>12</v>
      </c>
      <c r="E1055" s="21" t="s">
        <v>17</v>
      </c>
      <c r="F1055" s="22">
        <v>1</v>
      </c>
      <c r="G1055" s="22">
        <f t="shared" si="318"/>
        <v>103.10499999999999</v>
      </c>
      <c r="H1055" s="22">
        <f t="shared" si="320"/>
        <v>130.75</v>
      </c>
      <c r="I1055" s="147">
        <f t="shared" si="321"/>
        <v>130.75</v>
      </c>
      <c r="J1055" s="148"/>
      <c r="K1055" s="148"/>
      <c r="L1055" s="148"/>
      <c r="M1055" s="148">
        <v>114.86</v>
      </c>
      <c r="N1055" s="148">
        <v>145.65</v>
      </c>
      <c r="O1055" s="148">
        <v>145.65</v>
      </c>
      <c r="P1055" s="494"/>
      <c r="Q1055" s="148">
        <f t="shared" si="322"/>
        <v>0</v>
      </c>
      <c r="R1055" s="148"/>
      <c r="S1055" s="148">
        <f t="shared" si="323"/>
        <v>0</v>
      </c>
      <c r="T1055" s="148">
        <f t="shared" si="324"/>
        <v>1</v>
      </c>
      <c r="U1055" s="148">
        <f t="shared" si="309"/>
        <v>145.65</v>
      </c>
      <c r="V1055" s="379"/>
      <c r="W1055" s="379"/>
      <c r="X1055" s="33" t="e">
        <f>IF(B1055&lt;&gt;0,VLOOKUP(B1055,#REF!,4,FALSE),"")</f>
        <v>#REF!</v>
      </c>
      <c r="Y1055" s="337" t="s">
        <v>3261</v>
      </c>
      <c r="Z1055" s="334">
        <f t="shared" si="319"/>
        <v>103.10499999999999</v>
      </c>
      <c r="AA1055" s="33"/>
      <c r="AB1055" s="30" t="e">
        <f>IF(B1055&lt;&gt;0,VLOOKUP(B1055,#REF!,2,FALSE),"")</f>
        <v>#REF!</v>
      </c>
    </row>
    <row r="1056" spans="1:28" s="55" customFormat="1">
      <c r="A1056" s="229" t="s">
        <v>1382</v>
      </c>
      <c r="B1056" s="229"/>
      <c r="C1056" s="229" t="s">
        <v>303</v>
      </c>
      <c r="D1056" s="230"/>
      <c r="E1056" s="230"/>
      <c r="F1056" s="230"/>
      <c r="G1056" s="22"/>
      <c r="H1056" s="230"/>
      <c r="I1056" s="445"/>
      <c r="J1056" s="440"/>
      <c r="K1056" s="440"/>
      <c r="L1056" s="440"/>
      <c r="M1056" s="440"/>
      <c r="N1056" s="440"/>
      <c r="O1056" s="440"/>
      <c r="P1056" s="492"/>
      <c r="Q1056" s="148">
        <f t="shared" si="322"/>
        <v>0</v>
      </c>
      <c r="R1056" s="440"/>
      <c r="S1056" s="440"/>
      <c r="T1056" s="148"/>
      <c r="U1056" s="148"/>
      <c r="V1056" s="330"/>
      <c r="W1056" s="330"/>
      <c r="X1056" s="58"/>
      <c r="Y1056" s="334"/>
      <c r="Z1056" s="334">
        <f t="shared" si="319"/>
        <v>0</v>
      </c>
      <c r="AA1056" s="58"/>
      <c r="AB1056" s="58"/>
    </row>
    <row r="1057" spans="1:28" s="55" customFormat="1" ht="45">
      <c r="A1057" s="19" t="s">
        <v>1383</v>
      </c>
      <c r="B1057" s="20">
        <v>7903</v>
      </c>
      <c r="C1057" s="19" t="s">
        <v>304</v>
      </c>
      <c r="D1057" s="21" t="s">
        <v>44</v>
      </c>
      <c r="E1057" s="21" t="s">
        <v>17</v>
      </c>
      <c r="F1057" s="22">
        <v>68</v>
      </c>
      <c r="G1057" s="22">
        <f t="shared" si="318"/>
        <v>52.003</v>
      </c>
      <c r="H1057" s="22">
        <f>ROUND(G1057*(1+$X$14),2)</f>
        <v>65.95</v>
      </c>
      <c r="I1057" s="147">
        <f>ROUND(H1057*F1057,2)</f>
        <v>4484.6000000000004</v>
      </c>
      <c r="J1057" s="148"/>
      <c r="K1057" s="148"/>
      <c r="L1057" s="148"/>
      <c r="M1057" s="148">
        <v>57.93</v>
      </c>
      <c r="N1057" s="148">
        <v>73.459999999999994</v>
      </c>
      <c r="O1057" s="148">
        <v>4995.28</v>
      </c>
      <c r="P1057" s="494"/>
      <c r="Q1057" s="148">
        <f t="shared" si="322"/>
        <v>0</v>
      </c>
      <c r="R1057" s="148"/>
      <c r="S1057" s="148">
        <f>ROUND(R1057*P1057,2)</f>
        <v>0</v>
      </c>
      <c r="T1057" s="148">
        <f t="shared" si="324"/>
        <v>68</v>
      </c>
      <c r="U1057" s="148">
        <f t="shared" si="309"/>
        <v>4995.28</v>
      </c>
      <c r="V1057" s="379"/>
      <c r="W1057" s="379"/>
      <c r="X1057" s="57">
        <f>'COMPOSIÇÃO DE CUSTOS'!G1479</f>
        <v>52</v>
      </c>
      <c r="Y1057" s="334">
        <v>61.18</v>
      </c>
      <c r="Z1057" s="334">
        <f t="shared" si="319"/>
        <v>3536.2040000000002</v>
      </c>
      <c r="AA1057" s="57"/>
      <c r="AB1057" s="58"/>
    </row>
    <row r="1058" spans="1:28" s="55" customFormat="1" ht="30">
      <c r="A1058" s="19" t="s">
        <v>1384</v>
      </c>
      <c r="B1058" s="20">
        <v>7904</v>
      </c>
      <c r="C1058" s="19" t="s">
        <v>3081</v>
      </c>
      <c r="D1058" s="21" t="s">
        <v>44</v>
      </c>
      <c r="E1058" s="21" t="s">
        <v>17</v>
      </c>
      <c r="F1058" s="22">
        <v>51</v>
      </c>
      <c r="G1058" s="22">
        <f t="shared" si="318"/>
        <v>7.6754999999999995</v>
      </c>
      <c r="H1058" s="22">
        <f>ROUND(G1058*(1+$X$14),2)</f>
        <v>9.73</v>
      </c>
      <c r="I1058" s="147">
        <f>ROUND(H1058*F1058,2)</f>
        <v>496.23</v>
      </c>
      <c r="J1058" s="148"/>
      <c r="K1058" s="148"/>
      <c r="L1058" s="148"/>
      <c r="M1058" s="148">
        <v>8.5500000000000007</v>
      </c>
      <c r="N1058" s="148">
        <v>10.84</v>
      </c>
      <c r="O1058" s="148">
        <v>552.84</v>
      </c>
      <c r="P1058" s="494"/>
      <c r="Q1058" s="148">
        <f t="shared" si="322"/>
        <v>0</v>
      </c>
      <c r="R1058" s="148"/>
      <c r="S1058" s="148">
        <f>ROUND(R1058*P1058,2)</f>
        <v>0</v>
      </c>
      <c r="T1058" s="148">
        <f t="shared" si="324"/>
        <v>51</v>
      </c>
      <c r="U1058" s="148">
        <f t="shared" si="309"/>
        <v>552.84</v>
      </c>
      <c r="V1058" s="379"/>
      <c r="W1058" s="379"/>
      <c r="X1058" s="57">
        <f>'COMPOSIÇÃO DE CUSTOS'!G1486</f>
        <v>7.67</v>
      </c>
      <c r="Y1058" s="334">
        <v>9.0299999999999994</v>
      </c>
      <c r="Z1058" s="334">
        <f t="shared" si="319"/>
        <v>391.45049999999998</v>
      </c>
      <c r="AA1058" s="57"/>
      <c r="AB1058" s="58"/>
    </row>
    <row r="1059" spans="1:28" s="55" customFormat="1" ht="15" customHeight="1">
      <c r="A1059" s="229" t="s">
        <v>1385</v>
      </c>
      <c r="B1059" s="229"/>
      <c r="C1059" s="229" t="s">
        <v>305</v>
      </c>
      <c r="D1059" s="230"/>
      <c r="E1059" s="230"/>
      <c r="F1059" s="230"/>
      <c r="G1059" s="22"/>
      <c r="H1059" s="230"/>
      <c r="I1059" s="445"/>
      <c r="J1059" s="440"/>
      <c r="K1059" s="440"/>
      <c r="L1059" s="440"/>
      <c r="M1059" s="440"/>
      <c r="N1059" s="440"/>
      <c r="O1059" s="440"/>
      <c r="P1059" s="492"/>
      <c r="Q1059" s="148">
        <f t="shared" si="322"/>
        <v>0</v>
      </c>
      <c r="R1059" s="440"/>
      <c r="S1059" s="440"/>
      <c r="T1059" s="148"/>
      <c r="U1059" s="148"/>
      <c r="V1059" s="330"/>
      <c r="W1059" s="330"/>
      <c r="X1059" s="58"/>
      <c r="Y1059" s="334"/>
      <c r="Z1059" s="334">
        <f t="shared" si="319"/>
        <v>0</v>
      </c>
      <c r="AA1059" s="58"/>
      <c r="AB1059" s="58"/>
    </row>
    <row r="1060" spans="1:28" s="55" customFormat="1" ht="49.5" customHeight="1">
      <c r="A1060" s="19" t="s">
        <v>1386</v>
      </c>
      <c r="B1060" s="20">
        <v>98111</v>
      </c>
      <c r="C1060" s="19" t="s">
        <v>2510</v>
      </c>
      <c r="D1060" s="21" t="s">
        <v>12</v>
      </c>
      <c r="E1060" s="21" t="s">
        <v>17</v>
      </c>
      <c r="F1060" s="22">
        <v>50</v>
      </c>
      <c r="G1060" s="22">
        <f t="shared" si="318"/>
        <v>15.359500000000001</v>
      </c>
      <c r="H1060" s="22">
        <f t="shared" ref="H1060:H1065" si="325">ROUND(G1060*(1+$X$14),2)</f>
        <v>19.48</v>
      </c>
      <c r="I1060" s="147">
        <f t="shared" ref="I1060:I1065" si="326">ROUND(H1060*F1060,2)</f>
        <v>974</v>
      </c>
      <c r="J1060" s="148"/>
      <c r="K1060" s="148"/>
      <c r="L1060" s="148"/>
      <c r="M1060" s="148">
        <v>17.11</v>
      </c>
      <c r="N1060" s="148">
        <v>21.7</v>
      </c>
      <c r="O1060" s="148">
        <v>1085</v>
      </c>
      <c r="P1060" s="494"/>
      <c r="Q1060" s="148">
        <f t="shared" si="322"/>
        <v>0</v>
      </c>
      <c r="R1060" s="148"/>
      <c r="S1060" s="148">
        <f t="shared" ref="S1060:S1065" si="327">ROUND(R1060*P1060,2)</f>
        <v>0</v>
      </c>
      <c r="T1060" s="148">
        <f t="shared" si="324"/>
        <v>50</v>
      </c>
      <c r="U1060" s="148">
        <f t="shared" si="309"/>
        <v>1085</v>
      </c>
      <c r="V1060" s="379"/>
      <c r="W1060" s="379"/>
      <c r="X1060" s="57" t="e">
        <f>IF(B1060&lt;&gt;0,VLOOKUP(B1060,#REF!,4,FALSE),"")</f>
        <v>#REF!</v>
      </c>
      <c r="Y1060" s="334" t="s">
        <v>3133</v>
      </c>
      <c r="Z1060" s="334">
        <f t="shared" si="319"/>
        <v>767.97500000000002</v>
      </c>
      <c r="AA1060" s="57"/>
      <c r="AB1060" s="58" t="e">
        <f>IF(B1060&lt;&gt;0,VLOOKUP(B1060,#REF!,2,FALSE),"")</f>
        <v>#REF!</v>
      </c>
    </row>
    <row r="1061" spans="1:28" s="55" customFormat="1" ht="45" customHeight="1">
      <c r="A1061" s="36" t="s">
        <v>3734</v>
      </c>
      <c r="B1061" s="20">
        <v>96977</v>
      </c>
      <c r="C1061" s="439" t="s">
        <v>3766</v>
      </c>
      <c r="D1061" s="21" t="s">
        <v>12</v>
      </c>
      <c r="E1061" s="21" t="s">
        <v>52</v>
      </c>
      <c r="F1061" s="22">
        <v>198</v>
      </c>
      <c r="G1061" s="22">
        <f t="shared" si="318"/>
        <v>50.226500000000001</v>
      </c>
      <c r="H1061" s="22">
        <f t="shared" si="325"/>
        <v>63.69</v>
      </c>
      <c r="I1061" s="147">
        <f t="shared" si="326"/>
        <v>12610.62</v>
      </c>
      <c r="J1061" s="148"/>
      <c r="K1061" s="148"/>
      <c r="L1061" s="148"/>
      <c r="M1061" s="148">
        <v>55.95</v>
      </c>
      <c r="N1061" s="148">
        <v>70.95</v>
      </c>
      <c r="O1061" s="148">
        <v>14048.1</v>
      </c>
      <c r="P1061" s="494"/>
      <c r="Q1061" s="148">
        <f t="shared" si="322"/>
        <v>0</v>
      </c>
      <c r="R1061" s="148"/>
      <c r="S1061" s="148">
        <f t="shared" si="327"/>
        <v>0</v>
      </c>
      <c r="T1061" s="148">
        <f t="shared" si="324"/>
        <v>198</v>
      </c>
      <c r="U1061" s="148">
        <f t="shared" si="309"/>
        <v>14048.1</v>
      </c>
      <c r="V1061" s="379"/>
      <c r="W1061" s="379"/>
      <c r="X1061" s="57" t="e">
        <f>IF(B1061&lt;&gt;0,VLOOKUP(B1061,#REF!,4,FALSE),"")</f>
        <v>#REF!</v>
      </c>
      <c r="Y1061" s="334" t="s">
        <v>3258</v>
      </c>
      <c r="Z1061" s="334">
        <f t="shared" si="319"/>
        <v>9944.8469999999998</v>
      </c>
      <c r="AA1061" s="57"/>
      <c r="AB1061" s="58" t="e">
        <f>IF(B1061&lt;&gt;0,VLOOKUP(B1061,#REF!,2,FALSE),"")</f>
        <v>#REF!</v>
      </c>
    </row>
    <row r="1062" spans="1:28" s="55" customFormat="1" ht="30">
      <c r="A1062" s="19" t="s">
        <v>2344</v>
      </c>
      <c r="B1062" s="20">
        <v>10694</v>
      </c>
      <c r="C1062" s="19" t="s">
        <v>302</v>
      </c>
      <c r="D1062" s="21" t="s">
        <v>44</v>
      </c>
      <c r="E1062" s="21" t="s">
        <v>17</v>
      </c>
      <c r="F1062" s="22">
        <v>50</v>
      </c>
      <c r="G1062" s="22">
        <f t="shared" si="318"/>
        <v>19.694500000000001</v>
      </c>
      <c r="H1062" s="22">
        <f t="shared" si="325"/>
        <v>24.97</v>
      </c>
      <c r="I1062" s="147">
        <f t="shared" si="326"/>
        <v>1248.5</v>
      </c>
      <c r="J1062" s="148"/>
      <c r="K1062" s="148"/>
      <c r="L1062" s="148"/>
      <c r="M1062" s="148">
        <v>21.94</v>
      </c>
      <c r="N1062" s="148">
        <v>27.82</v>
      </c>
      <c r="O1062" s="148">
        <v>1391</v>
      </c>
      <c r="P1062" s="494"/>
      <c r="Q1062" s="148">
        <f t="shared" si="322"/>
        <v>0</v>
      </c>
      <c r="R1062" s="148"/>
      <c r="S1062" s="148">
        <f t="shared" si="327"/>
        <v>0</v>
      </c>
      <c r="T1062" s="148">
        <f t="shared" si="324"/>
        <v>50</v>
      </c>
      <c r="U1062" s="148">
        <f t="shared" si="309"/>
        <v>1391</v>
      </c>
      <c r="V1062" s="379"/>
      <c r="W1062" s="379"/>
      <c r="X1062" s="57">
        <f>X1052</f>
        <v>19.690000000000001</v>
      </c>
      <c r="Y1062" s="334">
        <v>23.17</v>
      </c>
      <c r="Z1062" s="334">
        <f t="shared" si="319"/>
        <v>984.72500000000002</v>
      </c>
      <c r="AA1062" s="57"/>
      <c r="AB1062" s="58"/>
    </row>
    <row r="1063" spans="1:28" s="55" customFormat="1" ht="105">
      <c r="A1063" s="19" t="s">
        <v>2345</v>
      </c>
      <c r="B1063" s="20">
        <v>90092</v>
      </c>
      <c r="C1063" s="19" t="s">
        <v>1679</v>
      </c>
      <c r="D1063" s="21" t="s">
        <v>12</v>
      </c>
      <c r="E1063" s="21" t="s">
        <v>35</v>
      </c>
      <c r="F1063" s="22">
        <v>47</v>
      </c>
      <c r="G1063" s="22">
        <f t="shared" si="318"/>
        <v>3.4595000000000002</v>
      </c>
      <c r="H1063" s="22">
        <f t="shared" si="325"/>
        <v>4.3899999999999997</v>
      </c>
      <c r="I1063" s="147">
        <f t="shared" si="326"/>
        <v>206.33</v>
      </c>
      <c r="J1063" s="148"/>
      <c r="K1063" s="148"/>
      <c r="L1063" s="148"/>
      <c r="M1063" s="148">
        <v>3.85</v>
      </c>
      <c r="N1063" s="148">
        <v>4.88</v>
      </c>
      <c r="O1063" s="148">
        <v>229.36</v>
      </c>
      <c r="P1063" s="494"/>
      <c r="Q1063" s="148">
        <f t="shared" si="322"/>
        <v>0</v>
      </c>
      <c r="R1063" s="148"/>
      <c r="S1063" s="148">
        <f t="shared" si="327"/>
        <v>0</v>
      </c>
      <c r="T1063" s="148">
        <f t="shared" si="324"/>
        <v>47</v>
      </c>
      <c r="U1063" s="148">
        <f t="shared" si="309"/>
        <v>229.36</v>
      </c>
      <c r="V1063" s="379"/>
      <c r="W1063" s="379"/>
      <c r="X1063" s="57" t="e">
        <f>IF(B1063&lt;&gt;0,VLOOKUP(B1063,#REF!,4,FALSE),"")</f>
        <v>#REF!</v>
      </c>
      <c r="Y1063" s="334" t="s">
        <v>1854</v>
      </c>
      <c r="Z1063" s="334">
        <f t="shared" si="319"/>
        <v>162.59650000000002</v>
      </c>
      <c r="AA1063" s="57"/>
      <c r="AB1063" s="58" t="e">
        <f>IF(B1063&lt;&gt;0,VLOOKUP(B1063,#REF!,2,FALSE),"")</f>
        <v>#REF!</v>
      </c>
    </row>
    <row r="1064" spans="1:28" s="55" customFormat="1" ht="90">
      <c r="A1064" s="19" t="s">
        <v>2346</v>
      </c>
      <c r="B1064" s="20">
        <v>93381</v>
      </c>
      <c r="C1064" s="19" t="s">
        <v>1680</v>
      </c>
      <c r="D1064" s="21" t="s">
        <v>12</v>
      </c>
      <c r="E1064" s="21" t="s">
        <v>35</v>
      </c>
      <c r="F1064" s="22">
        <v>47</v>
      </c>
      <c r="G1064" s="22">
        <f t="shared" si="318"/>
        <v>6.63</v>
      </c>
      <c r="H1064" s="22">
        <f t="shared" si="325"/>
        <v>8.41</v>
      </c>
      <c r="I1064" s="147">
        <f t="shared" si="326"/>
        <v>395.27</v>
      </c>
      <c r="J1064" s="148"/>
      <c r="K1064" s="148"/>
      <c r="L1064" s="148"/>
      <c r="M1064" s="148">
        <v>7.39</v>
      </c>
      <c r="N1064" s="148">
        <v>9.3699999999999992</v>
      </c>
      <c r="O1064" s="148">
        <v>440.39</v>
      </c>
      <c r="P1064" s="494"/>
      <c r="Q1064" s="148">
        <f t="shared" si="322"/>
        <v>0</v>
      </c>
      <c r="R1064" s="148"/>
      <c r="S1064" s="148">
        <f t="shared" si="327"/>
        <v>0</v>
      </c>
      <c r="T1064" s="148">
        <f t="shared" si="324"/>
        <v>47</v>
      </c>
      <c r="U1064" s="148">
        <f t="shared" si="309"/>
        <v>440.39</v>
      </c>
      <c r="V1064" s="379"/>
      <c r="W1064" s="379"/>
      <c r="X1064" s="57" t="e">
        <f>IF(B1064&lt;&gt;0,VLOOKUP(B1064,#REF!,4,FALSE),"")</f>
        <v>#REF!</v>
      </c>
      <c r="Y1064" s="334" t="s">
        <v>3114</v>
      </c>
      <c r="Z1064" s="334">
        <f t="shared" si="319"/>
        <v>311.61</v>
      </c>
      <c r="AA1064" s="57"/>
      <c r="AB1064" s="58" t="e">
        <f>IF(B1064&lt;&gt;0,VLOOKUP(B1064,#REF!,2,FALSE),"")</f>
        <v>#REF!</v>
      </c>
    </row>
    <row r="1065" spans="1:28" s="55" customFormat="1" ht="30">
      <c r="A1065" s="19" t="s">
        <v>2347</v>
      </c>
      <c r="B1065" s="20">
        <v>96985</v>
      </c>
      <c r="C1065" s="19" t="s">
        <v>2511</v>
      </c>
      <c r="D1065" s="21" t="s">
        <v>12</v>
      </c>
      <c r="E1065" s="21" t="s">
        <v>17</v>
      </c>
      <c r="F1065" s="22">
        <f>33+17</f>
        <v>50</v>
      </c>
      <c r="G1065" s="22">
        <f t="shared" si="318"/>
        <v>48.637</v>
      </c>
      <c r="H1065" s="22">
        <f t="shared" si="325"/>
        <v>61.68</v>
      </c>
      <c r="I1065" s="147">
        <f t="shared" si="326"/>
        <v>3084</v>
      </c>
      <c r="J1065" s="148"/>
      <c r="K1065" s="148"/>
      <c r="L1065" s="148"/>
      <c r="M1065" s="148">
        <v>54.18</v>
      </c>
      <c r="N1065" s="148">
        <v>68.709999999999994</v>
      </c>
      <c r="O1065" s="148">
        <v>3435.5</v>
      </c>
      <c r="P1065" s="494"/>
      <c r="Q1065" s="148">
        <f t="shared" si="322"/>
        <v>0</v>
      </c>
      <c r="R1065" s="148"/>
      <c r="S1065" s="148">
        <f t="shared" si="327"/>
        <v>0</v>
      </c>
      <c r="T1065" s="148">
        <f t="shared" si="324"/>
        <v>50</v>
      </c>
      <c r="U1065" s="148">
        <f t="shared" si="309"/>
        <v>3435.5</v>
      </c>
      <c r="V1065" s="379"/>
      <c r="W1065" s="379"/>
      <c r="X1065" s="57" t="e">
        <f>IF(B1065&lt;&gt;0,VLOOKUP(B1065,#REF!,4,FALSE),"")</f>
        <v>#REF!</v>
      </c>
      <c r="Y1065" s="334" t="s">
        <v>1883</v>
      </c>
      <c r="Z1065" s="334">
        <f t="shared" si="319"/>
        <v>2431.85</v>
      </c>
      <c r="AA1065" s="57"/>
      <c r="AB1065" s="58" t="e">
        <f>IF(B1065&lt;&gt;0,VLOOKUP(B1065,#REF!,2,FALSE),"")</f>
        <v>#REF!</v>
      </c>
    </row>
    <row r="1066" spans="1:28" ht="32.25" customHeight="1">
      <c r="A1066" s="19"/>
      <c r="B1066" s="21"/>
      <c r="C1066" s="19"/>
      <c r="D1066" s="21"/>
      <c r="E1066" s="21"/>
      <c r="F1066" s="22"/>
      <c r="G1066" s="22"/>
      <c r="H1066" s="22"/>
      <c r="I1066" s="147"/>
      <c r="J1066" s="148"/>
      <c r="K1066" s="148"/>
      <c r="L1066" s="148"/>
      <c r="M1066" s="148"/>
      <c r="N1066" s="148"/>
      <c r="O1066" s="148"/>
      <c r="P1066" s="494"/>
      <c r="Q1066" s="148"/>
      <c r="R1066" s="148"/>
      <c r="S1066" s="148"/>
      <c r="T1066" s="148"/>
      <c r="U1066" s="148"/>
      <c r="V1066" s="379"/>
      <c r="W1066" s="379"/>
      <c r="X1066" s="30"/>
      <c r="Y1066" s="337"/>
      <c r="Z1066" s="334">
        <f t="shared" si="319"/>
        <v>0</v>
      </c>
      <c r="AA1066" s="30"/>
      <c r="AB1066" s="30"/>
    </row>
    <row r="1067" spans="1:28" s="38" customFormat="1" ht="15" customHeight="1">
      <c r="A1067" s="229" t="s">
        <v>1390</v>
      </c>
      <c r="B1067" s="229"/>
      <c r="C1067" s="229" t="s">
        <v>307</v>
      </c>
      <c r="D1067" s="230"/>
      <c r="E1067" s="230"/>
      <c r="F1067" s="230"/>
      <c r="G1067" s="22"/>
      <c r="H1067" s="230"/>
      <c r="I1067" s="445">
        <f>ROUND(SUM(I1070:I1120),2)</f>
        <v>1498654.93</v>
      </c>
      <c r="J1067" s="440"/>
      <c r="K1067" s="440"/>
      <c r="L1067" s="440"/>
      <c r="M1067" s="440"/>
      <c r="N1067" s="440"/>
      <c r="O1067" s="440">
        <v>2504181.71</v>
      </c>
      <c r="P1067" s="492"/>
      <c r="Q1067" s="440">
        <f>ROUND(SUM(Q1070:Q1151),2)</f>
        <v>248801.93</v>
      </c>
      <c r="R1067" s="440"/>
      <c r="S1067" s="440">
        <f>ROUND(SUM(S1070:S1151),2)</f>
        <v>0</v>
      </c>
      <c r="T1067" s="148"/>
      <c r="U1067" s="440">
        <f>O1067+Q1067-S1067+L1067</f>
        <v>2752983.64</v>
      </c>
      <c r="V1067" s="330"/>
      <c r="W1067" s="330"/>
      <c r="X1067" s="39"/>
      <c r="Y1067" s="336"/>
      <c r="Z1067" s="334">
        <f t="shared" si="319"/>
        <v>0</v>
      </c>
      <c r="AA1067" s="39"/>
      <c r="AB1067" s="39"/>
    </row>
    <row r="1068" spans="1:28" s="55" customFormat="1" ht="15" customHeight="1">
      <c r="A1068" s="229" t="s">
        <v>1391</v>
      </c>
      <c r="B1068" s="229"/>
      <c r="C1068" s="229" t="s">
        <v>308</v>
      </c>
      <c r="D1068" s="230"/>
      <c r="E1068" s="230"/>
      <c r="F1068" s="230"/>
      <c r="G1068" s="22"/>
      <c r="H1068" s="230"/>
      <c r="I1068" s="445"/>
      <c r="J1068" s="440"/>
      <c r="K1068" s="440"/>
      <c r="L1068" s="440"/>
      <c r="M1068" s="440"/>
      <c r="N1068" s="440"/>
      <c r="O1068" s="440"/>
      <c r="P1068" s="492"/>
      <c r="Q1068" s="440"/>
      <c r="R1068" s="440"/>
      <c r="S1068" s="440"/>
      <c r="T1068" s="148"/>
      <c r="U1068" s="148"/>
      <c r="V1068" s="330"/>
      <c r="W1068" s="330"/>
      <c r="X1068" s="58"/>
      <c r="Y1068" s="334"/>
      <c r="Z1068" s="334">
        <f t="shared" si="319"/>
        <v>0</v>
      </c>
      <c r="AA1068" s="58"/>
      <c r="AB1068" s="58"/>
    </row>
    <row r="1069" spans="1:28" s="55" customFormat="1">
      <c r="A1069" s="229" t="s">
        <v>1392</v>
      </c>
      <c r="B1069" s="229"/>
      <c r="C1069" s="229" t="s">
        <v>309</v>
      </c>
      <c r="D1069" s="230"/>
      <c r="E1069" s="230"/>
      <c r="F1069" s="230"/>
      <c r="G1069" s="22"/>
      <c r="H1069" s="230"/>
      <c r="I1069" s="445"/>
      <c r="J1069" s="440"/>
      <c r="K1069" s="440"/>
      <c r="L1069" s="440"/>
      <c r="M1069" s="440"/>
      <c r="N1069" s="440"/>
      <c r="O1069" s="440"/>
      <c r="P1069" s="492"/>
      <c r="Q1069" s="440"/>
      <c r="R1069" s="440"/>
      <c r="S1069" s="440"/>
      <c r="T1069" s="148"/>
      <c r="U1069" s="148"/>
      <c r="V1069" s="330"/>
      <c r="W1069" s="330"/>
      <c r="X1069" s="58"/>
      <c r="Y1069" s="334"/>
      <c r="Z1069" s="334">
        <f t="shared" si="319"/>
        <v>0</v>
      </c>
      <c r="AA1069" s="58"/>
      <c r="AB1069" s="58"/>
    </row>
    <row r="1070" spans="1:28" s="55" customFormat="1" ht="45">
      <c r="A1070" s="19" t="s">
        <v>1393</v>
      </c>
      <c r="B1070" s="21" t="s">
        <v>2365</v>
      </c>
      <c r="C1070" s="19" t="s">
        <v>3347</v>
      </c>
      <c r="D1070" s="21" t="s">
        <v>1914</v>
      </c>
      <c r="E1070" s="21" t="s">
        <v>17</v>
      </c>
      <c r="F1070" s="22">
        <v>1</v>
      </c>
      <c r="G1070" s="22">
        <f t="shared" si="318"/>
        <v>220820.98150000002</v>
      </c>
      <c r="H1070" s="22">
        <f>ROUND(G1070*(1+$X$14),2)</f>
        <v>280023.09000000003</v>
      </c>
      <c r="I1070" s="147">
        <f>ROUND(H1070*F1070,2)</f>
        <v>280023.09000000003</v>
      </c>
      <c r="J1070" s="148"/>
      <c r="K1070" s="148"/>
      <c r="L1070" s="148"/>
      <c r="M1070" s="148">
        <v>552417.01</v>
      </c>
      <c r="N1070" s="148">
        <v>655608.51</v>
      </c>
      <c r="O1070" s="148">
        <v>655608.51</v>
      </c>
      <c r="P1070" s="494"/>
      <c r="Q1070" s="148">
        <f t="shared" ref="Q1070:Q1119" si="328">ROUND(P1070*N1070,2)</f>
        <v>0</v>
      </c>
      <c r="R1070" s="148"/>
      <c r="S1070" s="148">
        <f>ROUND(R1070*P1070,2)</f>
        <v>0</v>
      </c>
      <c r="T1070" s="148">
        <f t="shared" si="324"/>
        <v>1</v>
      </c>
      <c r="U1070" s="148">
        <f t="shared" si="309"/>
        <v>655608.51</v>
      </c>
      <c r="V1070" s="379"/>
      <c r="W1070" s="379"/>
      <c r="X1070" s="57">
        <f>'COMPOSIÇÃO DE CUSTOS'!G1491</f>
        <v>220820.98</v>
      </c>
      <c r="Y1070" s="334">
        <v>259789.39</v>
      </c>
      <c r="Z1070" s="334">
        <f t="shared" si="319"/>
        <v>220820.98150000002</v>
      </c>
      <c r="AA1070" s="57"/>
      <c r="AB1070" s="58"/>
    </row>
    <row r="1071" spans="1:28" s="55" customFormat="1" ht="25.5" customHeight="1">
      <c r="A1071" s="229" t="s">
        <v>1394</v>
      </c>
      <c r="B1071" s="229"/>
      <c r="C1071" s="229" t="s">
        <v>310</v>
      </c>
      <c r="D1071" s="230"/>
      <c r="E1071" s="230"/>
      <c r="F1071" s="230"/>
      <c r="G1071" s="22"/>
      <c r="H1071" s="230"/>
      <c r="I1071" s="445"/>
      <c r="J1071" s="440"/>
      <c r="K1071" s="440"/>
      <c r="L1071" s="440"/>
      <c r="M1071" s="440"/>
      <c r="N1071" s="440"/>
      <c r="O1071" s="440"/>
      <c r="P1071" s="492"/>
      <c r="Q1071" s="148">
        <f t="shared" si="328"/>
        <v>0</v>
      </c>
      <c r="R1071" s="440"/>
      <c r="S1071" s="440"/>
      <c r="T1071" s="148"/>
      <c r="U1071" s="148"/>
      <c r="V1071" s="330"/>
      <c r="W1071" s="330"/>
      <c r="X1071" s="57"/>
      <c r="Y1071" s="334"/>
      <c r="Z1071" s="334">
        <f t="shared" si="319"/>
        <v>0</v>
      </c>
      <c r="AA1071" s="57"/>
      <c r="AB1071" s="58"/>
    </row>
    <row r="1072" spans="1:28" s="55" customFormat="1" ht="45">
      <c r="A1072" s="19" t="s">
        <v>1395</v>
      </c>
      <c r="B1072" s="20">
        <v>9512</v>
      </c>
      <c r="C1072" s="19" t="s">
        <v>3345</v>
      </c>
      <c r="D1072" s="21" t="s">
        <v>44</v>
      </c>
      <c r="E1072" s="21" t="s">
        <v>17</v>
      </c>
      <c r="F1072" s="22">
        <v>3</v>
      </c>
      <c r="G1072" s="22">
        <f t="shared" si="318"/>
        <v>21460.3835</v>
      </c>
      <c r="H1072" s="22">
        <f>ROUND(G1072*(1+$X$14),2)</f>
        <v>27213.91</v>
      </c>
      <c r="I1072" s="147">
        <f>ROUND(H1072*F1072,2)</f>
        <v>81641.73</v>
      </c>
      <c r="J1072" s="148"/>
      <c r="K1072" s="148"/>
      <c r="L1072" s="148"/>
      <c r="M1072" s="148">
        <v>43617.86</v>
      </c>
      <c r="N1072" s="148">
        <v>51765.68</v>
      </c>
      <c r="O1072" s="148">
        <v>155297.04</v>
      </c>
      <c r="P1072" s="494"/>
      <c r="Q1072" s="148">
        <f t="shared" si="328"/>
        <v>0</v>
      </c>
      <c r="R1072" s="148"/>
      <c r="S1072" s="148">
        <f>ROUND(R1072*P1072,2)</f>
        <v>0</v>
      </c>
      <c r="T1072" s="148">
        <f t="shared" si="324"/>
        <v>3</v>
      </c>
      <c r="U1072" s="148">
        <f t="shared" si="309"/>
        <v>155297.04</v>
      </c>
      <c r="V1072" s="379"/>
      <c r="W1072" s="379"/>
      <c r="X1072" s="57">
        <f>'COMPOSIÇÃO DE CUSTOS'!G1500</f>
        <v>25231.35</v>
      </c>
      <c r="Y1072" s="334">
        <v>25247.51</v>
      </c>
      <c r="Z1072" s="334">
        <f t="shared" si="319"/>
        <v>64381.150500000003</v>
      </c>
      <c r="AA1072" s="57"/>
      <c r="AB1072" s="58"/>
    </row>
    <row r="1073" spans="1:28" s="55" customFormat="1" ht="24.75" customHeight="1">
      <c r="A1073" s="229" t="s">
        <v>1396</v>
      </c>
      <c r="B1073" s="229"/>
      <c r="C1073" s="229" t="s">
        <v>2364</v>
      </c>
      <c r="D1073" s="230"/>
      <c r="E1073" s="230"/>
      <c r="F1073" s="230"/>
      <c r="G1073" s="22"/>
      <c r="H1073" s="230"/>
      <c r="I1073" s="445"/>
      <c r="J1073" s="440"/>
      <c r="K1073" s="440"/>
      <c r="L1073" s="440"/>
      <c r="M1073" s="440"/>
      <c r="N1073" s="440"/>
      <c r="O1073" s="440"/>
      <c r="P1073" s="492"/>
      <c r="Q1073" s="148"/>
      <c r="R1073" s="440"/>
      <c r="S1073" s="440"/>
      <c r="T1073" s="148"/>
      <c r="U1073" s="148"/>
      <c r="V1073" s="330"/>
      <c r="W1073" s="330"/>
      <c r="X1073" s="57"/>
      <c r="Y1073" s="334"/>
      <c r="Z1073" s="334">
        <f t="shared" si="319"/>
        <v>0</v>
      </c>
      <c r="AA1073" s="57"/>
      <c r="AB1073" s="58"/>
    </row>
    <row r="1074" spans="1:28" s="55" customFormat="1" ht="49.5" customHeight="1">
      <c r="A1074" s="19" t="s">
        <v>1397</v>
      </c>
      <c r="B1074" s="21" t="s">
        <v>3322</v>
      </c>
      <c r="C1074" s="19" t="str">
        <f>'COMPOSIÇÃO DE CUSTOS'!A1502</f>
        <v>GRUPO GERADOR 450 KVA COM QUADRO DE TRANSFERÊNCIA AUTOMÁTICA, CARENADO 85DB, COMPLETO (UN)</v>
      </c>
      <c r="D1074" s="21" t="s">
        <v>3046</v>
      </c>
      <c r="E1074" s="21" t="s">
        <v>17</v>
      </c>
      <c r="F1074" s="22">
        <v>2</v>
      </c>
      <c r="G1074" s="22">
        <f t="shared" si="318"/>
        <v>242522.28900000002</v>
      </c>
      <c r="H1074" s="22">
        <f>ROUND(G1074*(1+$X$15),2)</f>
        <v>287825.45</v>
      </c>
      <c r="I1074" s="147">
        <f>ROUND(H1074*F1074,2)</f>
        <v>575650.9</v>
      </c>
      <c r="J1074" s="148"/>
      <c r="K1074" s="148"/>
      <c r="L1074" s="148"/>
      <c r="M1074" s="148">
        <v>386466.67</v>
      </c>
      <c r="N1074" s="148">
        <v>458658.64</v>
      </c>
      <c r="O1074" s="148">
        <v>917317.28</v>
      </c>
      <c r="P1074" s="494"/>
      <c r="Q1074" s="148">
        <f t="shared" si="328"/>
        <v>0</v>
      </c>
      <c r="R1074" s="148"/>
      <c r="S1074" s="148">
        <f>ROUND(R1074*P1074,2)</f>
        <v>0</v>
      </c>
      <c r="T1074" s="148">
        <f t="shared" si="324"/>
        <v>2</v>
      </c>
      <c r="U1074" s="148">
        <f t="shared" ref="U1074:U1172" si="329">O1074+Q1074-S1074+L1074</f>
        <v>917317.28</v>
      </c>
      <c r="V1074" s="379"/>
      <c r="W1074" s="379"/>
      <c r="X1074" s="57">
        <f>'COMPOSIÇÃO DE CUSTOS'!G1505</f>
        <v>285320.34000000003</v>
      </c>
      <c r="Y1074" s="334">
        <v>285320.34000000003</v>
      </c>
      <c r="Z1074" s="334">
        <f t="shared" si="319"/>
        <v>485044.57800000004</v>
      </c>
      <c r="AA1074" s="356">
        <f>G1074</f>
        <v>242522.28900000002</v>
      </c>
      <c r="AB1074" s="58"/>
    </row>
    <row r="1075" spans="1:28" s="55" customFormat="1">
      <c r="A1075" s="19" t="s">
        <v>3022</v>
      </c>
      <c r="B1075" s="21" t="s">
        <v>3374</v>
      </c>
      <c r="C1075" s="19" t="s">
        <v>3023</v>
      </c>
      <c r="D1075" s="21" t="s">
        <v>70</v>
      </c>
      <c r="E1075" s="21" t="s">
        <v>17</v>
      </c>
      <c r="F1075" s="22">
        <v>2</v>
      </c>
      <c r="G1075" s="22">
        <f t="shared" si="318"/>
        <v>3170.16</v>
      </c>
      <c r="H1075" s="22">
        <f>ROUND(G1075*(1+$X$14),2)</f>
        <v>4020.08</v>
      </c>
      <c r="I1075" s="147">
        <f>ROUND(H1075*F1075,2)</f>
        <v>8040.16</v>
      </c>
      <c r="J1075" s="148"/>
      <c r="K1075" s="148"/>
      <c r="L1075" s="148"/>
      <c r="M1075" s="148">
        <v>3531.58</v>
      </c>
      <c r="N1075" s="148">
        <v>4478.3999999999996</v>
      </c>
      <c r="O1075" s="148">
        <v>8956.7999999999993</v>
      </c>
      <c r="P1075" s="494"/>
      <c r="Q1075" s="148">
        <f t="shared" si="328"/>
        <v>0</v>
      </c>
      <c r="R1075" s="148"/>
      <c r="S1075" s="148">
        <f>ROUND(R1075*P1075,2)</f>
        <v>0</v>
      </c>
      <c r="T1075" s="148">
        <f t="shared" si="324"/>
        <v>2</v>
      </c>
      <c r="U1075" s="148">
        <f t="shared" si="329"/>
        <v>8956.7999999999993</v>
      </c>
      <c r="V1075" s="379"/>
      <c r="W1075" s="379"/>
      <c r="X1075" s="57">
        <f>'COMPOSIÇÃO DE CUSTOS'!G2539</f>
        <v>3170.16</v>
      </c>
      <c r="Y1075" s="334">
        <v>3729.6</v>
      </c>
      <c r="Z1075" s="334">
        <f t="shared" si="319"/>
        <v>6340.32</v>
      </c>
      <c r="AA1075" s="57"/>
      <c r="AB1075" s="58"/>
    </row>
    <row r="1076" spans="1:28" s="38" customFormat="1" ht="30">
      <c r="A1076" s="449" t="s">
        <v>4123</v>
      </c>
      <c r="B1076" s="447" t="s">
        <v>4124</v>
      </c>
      <c r="C1076" s="449" t="s">
        <v>4125</v>
      </c>
      <c r="D1076" s="447" t="s">
        <v>1914</v>
      </c>
      <c r="E1076" s="447" t="s">
        <v>17</v>
      </c>
      <c r="F1076" s="450"/>
      <c r="G1076" s="450">
        <f>(V1076-(V1076*$Y$15))*$S$16</f>
        <v>1315.2539757052666</v>
      </c>
      <c r="H1076" s="450">
        <f t="shared" ref="H1076" si="330">ROUND(G1076*(1+$X$14),2)</f>
        <v>1667.87</v>
      </c>
      <c r="I1076" s="451"/>
      <c r="J1076" s="452"/>
      <c r="K1076" s="452"/>
      <c r="L1076" s="452"/>
      <c r="M1076" s="452"/>
      <c r="N1076" s="452"/>
      <c r="O1076" s="452"/>
      <c r="P1076" s="493">
        <v>2</v>
      </c>
      <c r="Q1076" s="452">
        <f>ROUND(P1076*H1076,2)</f>
        <v>3335.74</v>
      </c>
      <c r="R1076" s="452"/>
      <c r="S1076" s="452"/>
      <c r="T1076" s="452">
        <f t="shared" ref="T1076" si="331">F1076+P1076-R1076</f>
        <v>2</v>
      </c>
      <c r="U1076" s="452">
        <f t="shared" ref="U1076" si="332">O1076+Q1076-S1076+L1076</f>
        <v>3335.74</v>
      </c>
      <c r="V1076" s="453">
        <f>COMP!G370</f>
        <v>1389</v>
      </c>
      <c r="W1076" s="453"/>
      <c r="X1076" s="42"/>
      <c r="Y1076" s="336"/>
      <c r="Z1076" s="336"/>
      <c r="AA1076" s="42"/>
      <c r="AB1076" s="39"/>
    </row>
    <row r="1077" spans="1:28" s="55" customFormat="1" ht="15" customHeight="1">
      <c r="A1077" s="229" t="s">
        <v>1398</v>
      </c>
      <c r="B1077" s="229"/>
      <c r="C1077" s="229" t="s">
        <v>193</v>
      </c>
      <c r="D1077" s="230"/>
      <c r="E1077" s="230"/>
      <c r="F1077" s="230"/>
      <c r="G1077" s="22"/>
      <c r="H1077" s="230"/>
      <c r="I1077" s="445"/>
      <c r="J1077" s="440"/>
      <c r="K1077" s="440"/>
      <c r="L1077" s="440"/>
      <c r="M1077" s="440"/>
      <c r="N1077" s="440"/>
      <c r="O1077" s="440"/>
      <c r="P1077" s="492"/>
      <c r="Q1077" s="148">
        <f t="shared" si="328"/>
        <v>0</v>
      </c>
      <c r="R1077" s="440"/>
      <c r="S1077" s="440"/>
      <c r="T1077" s="148"/>
      <c r="U1077" s="148"/>
      <c r="V1077" s="330"/>
      <c r="W1077" s="330"/>
      <c r="X1077" s="58"/>
      <c r="Y1077" s="334"/>
      <c r="Z1077" s="334">
        <f t="shared" si="319"/>
        <v>0</v>
      </c>
      <c r="AA1077" s="58"/>
      <c r="AB1077" s="58"/>
    </row>
    <row r="1078" spans="1:28" s="55" customFormat="1" ht="105">
      <c r="A1078" s="19" t="s">
        <v>1399</v>
      </c>
      <c r="B1078" s="20">
        <v>90092</v>
      </c>
      <c r="C1078" s="19" t="s">
        <v>1679</v>
      </c>
      <c r="D1078" s="21" t="s">
        <v>12</v>
      </c>
      <c r="E1078" s="21" t="s">
        <v>35</v>
      </c>
      <c r="F1078" s="22">
        <v>28</v>
      </c>
      <c r="G1078" s="22">
        <f t="shared" si="318"/>
        <v>3.4595000000000002</v>
      </c>
      <c r="H1078" s="22">
        <f t="shared" ref="H1078:H1085" si="333">ROUND(G1078*(1+$X$14),2)</f>
        <v>4.3899999999999997</v>
      </c>
      <c r="I1078" s="147">
        <f t="shared" ref="I1078:I1085" si="334">ROUND(H1078*F1078,2)</f>
        <v>122.92</v>
      </c>
      <c r="J1078" s="148"/>
      <c r="K1078" s="148"/>
      <c r="L1078" s="148"/>
      <c r="M1078" s="148">
        <v>3.85</v>
      </c>
      <c r="N1078" s="148">
        <v>4.88</v>
      </c>
      <c r="O1078" s="148">
        <v>136.63999999999999</v>
      </c>
      <c r="P1078" s="494"/>
      <c r="Q1078" s="148">
        <f t="shared" si="328"/>
        <v>0</v>
      </c>
      <c r="R1078" s="148"/>
      <c r="S1078" s="148">
        <f t="shared" ref="S1078:S1085" si="335">ROUND(R1078*P1078,2)</f>
        <v>0</v>
      </c>
      <c r="T1078" s="148">
        <f t="shared" si="324"/>
        <v>28</v>
      </c>
      <c r="U1078" s="148">
        <f t="shared" si="329"/>
        <v>136.63999999999999</v>
      </c>
      <c r="V1078" s="379"/>
      <c r="W1078" s="379"/>
      <c r="X1078" s="57" t="e">
        <f>IF(B1078&lt;&gt;0,VLOOKUP(B1078,#REF!,4,FALSE),"")</f>
        <v>#REF!</v>
      </c>
      <c r="Y1078" s="334" t="s">
        <v>1854</v>
      </c>
      <c r="Z1078" s="334">
        <f t="shared" si="319"/>
        <v>96.866000000000014</v>
      </c>
      <c r="AA1078" s="57"/>
      <c r="AB1078" s="58" t="e">
        <f>IF(B1078&lt;&gt;0,VLOOKUP(B1078,#REF!,2,FALSE),"")</f>
        <v>#REF!</v>
      </c>
    </row>
    <row r="1079" spans="1:28" s="55" customFormat="1" ht="90">
      <c r="A1079" s="19" t="s">
        <v>1400</v>
      </c>
      <c r="B1079" s="20">
        <v>93381</v>
      </c>
      <c r="C1079" s="19" t="s">
        <v>1680</v>
      </c>
      <c r="D1079" s="21" t="s">
        <v>12</v>
      </c>
      <c r="E1079" s="21" t="s">
        <v>35</v>
      </c>
      <c r="F1079" s="22">
        <v>28</v>
      </c>
      <c r="G1079" s="22">
        <f t="shared" si="318"/>
        <v>6.63</v>
      </c>
      <c r="H1079" s="22">
        <f t="shared" si="333"/>
        <v>8.41</v>
      </c>
      <c r="I1079" s="147">
        <f t="shared" si="334"/>
        <v>235.48</v>
      </c>
      <c r="J1079" s="148"/>
      <c r="K1079" s="148"/>
      <c r="L1079" s="148"/>
      <c r="M1079" s="148">
        <v>7.39</v>
      </c>
      <c r="N1079" s="148">
        <v>9.3699999999999992</v>
      </c>
      <c r="O1079" s="148">
        <v>262.36</v>
      </c>
      <c r="P1079" s="494"/>
      <c r="Q1079" s="148">
        <f t="shared" si="328"/>
        <v>0</v>
      </c>
      <c r="R1079" s="148"/>
      <c r="S1079" s="148">
        <f t="shared" si="335"/>
        <v>0</v>
      </c>
      <c r="T1079" s="148">
        <f t="shared" si="324"/>
        <v>28</v>
      </c>
      <c r="U1079" s="148">
        <f t="shared" si="329"/>
        <v>262.36</v>
      </c>
      <c r="V1079" s="379"/>
      <c r="W1079" s="379"/>
      <c r="X1079" s="57" t="e">
        <f>IF(B1079&lt;&gt;0,VLOOKUP(B1079,#REF!,4,FALSE),"")</f>
        <v>#REF!</v>
      </c>
      <c r="Y1079" s="334" t="s">
        <v>3114</v>
      </c>
      <c r="Z1079" s="334">
        <f t="shared" si="319"/>
        <v>185.64</v>
      </c>
      <c r="AA1079" s="57"/>
      <c r="AB1079" s="58" t="e">
        <f>IF(B1079&lt;&gt;0,VLOOKUP(B1079,#REF!,2,FALSE),"")</f>
        <v>#REF!</v>
      </c>
    </row>
    <row r="1080" spans="1:28" s="55" customFormat="1" ht="30">
      <c r="A1080" s="19" t="s">
        <v>1401</v>
      </c>
      <c r="B1080" s="20">
        <v>749</v>
      </c>
      <c r="C1080" s="19" t="s">
        <v>2350</v>
      </c>
      <c r="D1080" s="21" t="s">
        <v>44</v>
      </c>
      <c r="E1080" s="21" t="s">
        <v>17</v>
      </c>
      <c r="F1080" s="22">
        <v>3</v>
      </c>
      <c r="G1080" s="22">
        <f t="shared" si="318"/>
        <v>55.385999999999996</v>
      </c>
      <c r="H1080" s="22">
        <f t="shared" si="333"/>
        <v>70.23</v>
      </c>
      <c r="I1080" s="147">
        <f t="shared" si="334"/>
        <v>210.69</v>
      </c>
      <c r="J1080" s="148"/>
      <c r="K1080" s="148"/>
      <c r="L1080" s="148"/>
      <c r="M1080" s="148">
        <v>61.7</v>
      </c>
      <c r="N1080" s="148">
        <v>78.239999999999995</v>
      </c>
      <c r="O1080" s="148">
        <v>234.72</v>
      </c>
      <c r="P1080" s="494"/>
      <c r="Q1080" s="148">
        <f t="shared" si="328"/>
        <v>0</v>
      </c>
      <c r="R1080" s="148"/>
      <c r="S1080" s="148">
        <f t="shared" si="335"/>
        <v>0</v>
      </c>
      <c r="T1080" s="148">
        <f t="shared" si="324"/>
        <v>3</v>
      </c>
      <c r="U1080" s="148">
        <f t="shared" si="329"/>
        <v>234.72</v>
      </c>
      <c r="V1080" s="379"/>
      <c r="W1080" s="379"/>
      <c r="X1080" s="57">
        <f>'COMPOSIÇÃO DE CUSTOS'!G1032</f>
        <v>55.39</v>
      </c>
      <c r="Y1080" s="334">
        <v>65.16</v>
      </c>
      <c r="Z1080" s="334">
        <f t="shared" si="319"/>
        <v>166.15799999999999</v>
      </c>
      <c r="AA1080" s="57"/>
      <c r="AB1080" s="58"/>
    </row>
    <row r="1081" spans="1:28" s="55" customFormat="1" ht="30">
      <c r="A1081" s="19" t="s">
        <v>1402</v>
      </c>
      <c r="B1081" s="20">
        <v>11522</v>
      </c>
      <c r="C1081" s="19" t="s">
        <v>200</v>
      </c>
      <c r="D1081" s="21" t="s">
        <v>44</v>
      </c>
      <c r="E1081" s="21" t="s">
        <v>17</v>
      </c>
      <c r="F1081" s="22">
        <v>2</v>
      </c>
      <c r="G1081" s="22">
        <f t="shared" si="318"/>
        <v>28.814999999999998</v>
      </c>
      <c r="H1081" s="22">
        <f t="shared" si="333"/>
        <v>36.54</v>
      </c>
      <c r="I1081" s="147">
        <f t="shared" si="334"/>
        <v>73.08</v>
      </c>
      <c r="J1081" s="148"/>
      <c r="K1081" s="148"/>
      <c r="L1081" s="148"/>
      <c r="M1081" s="148">
        <v>32.1</v>
      </c>
      <c r="N1081" s="148">
        <v>40.71</v>
      </c>
      <c r="O1081" s="148">
        <v>81.42</v>
      </c>
      <c r="P1081" s="494"/>
      <c r="Q1081" s="148">
        <f t="shared" si="328"/>
        <v>0</v>
      </c>
      <c r="R1081" s="148"/>
      <c r="S1081" s="148">
        <f t="shared" si="335"/>
        <v>0</v>
      </c>
      <c r="T1081" s="148">
        <f t="shared" ref="T1081:T1112" si="336">F1081+P1081-R1081</f>
        <v>2</v>
      </c>
      <c r="U1081" s="148">
        <f t="shared" si="329"/>
        <v>81.42</v>
      </c>
      <c r="V1081" s="379"/>
      <c r="W1081" s="379"/>
      <c r="X1081" s="57">
        <f>'COMPOSIÇÃO DE CUSTOS'!G1046</f>
        <v>28.81</v>
      </c>
      <c r="Y1081" s="334">
        <v>33.9</v>
      </c>
      <c r="Z1081" s="334">
        <f t="shared" si="319"/>
        <v>57.629999999999995</v>
      </c>
      <c r="AA1081" s="57"/>
      <c r="AB1081" s="58"/>
    </row>
    <row r="1082" spans="1:28" s="55" customFormat="1" ht="37.5" customHeight="1">
      <c r="A1082" s="19" t="s">
        <v>1403</v>
      </c>
      <c r="B1082" s="20">
        <v>6913</v>
      </c>
      <c r="C1082" s="19" t="s">
        <v>2314</v>
      </c>
      <c r="D1082" s="21" t="s">
        <v>44</v>
      </c>
      <c r="E1082" s="21" t="s">
        <v>17</v>
      </c>
      <c r="F1082" s="22">
        <v>2</v>
      </c>
      <c r="G1082" s="22">
        <f t="shared" si="318"/>
        <v>12.1295</v>
      </c>
      <c r="H1082" s="22">
        <f t="shared" si="333"/>
        <v>15.38</v>
      </c>
      <c r="I1082" s="147">
        <f t="shared" si="334"/>
        <v>30.76</v>
      </c>
      <c r="J1082" s="148"/>
      <c r="K1082" s="148"/>
      <c r="L1082" s="148"/>
      <c r="M1082" s="148">
        <v>13.51</v>
      </c>
      <c r="N1082" s="148">
        <v>17.13</v>
      </c>
      <c r="O1082" s="148">
        <v>34.26</v>
      </c>
      <c r="P1082" s="494"/>
      <c r="Q1082" s="148">
        <f t="shared" si="328"/>
        <v>0</v>
      </c>
      <c r="R1082" s="148"/>
      <c r="S1082" s="148">
        <f t="shared" si="335"/>
        <v>0</v>
      </c>
      <c r="T1082" s="148">
        <f t="shared" si="336"/>
        <v>2</v>
      </c>
      <c r="U1082" s="148">
        <f t="shared" si="329"/>
        <v>34.26</v>
      </c>
      <c r="V1082" s="379"/>
      <c r="W1082" s="379"/>
      <c r="X1082" s="57">
        <f>'COMPOSIÇÃO DE CUSTOS'!G1378</f>
        <v>12.13</v>
      </c>
      <c r="Y1082" s="334">
        <v>14.27</v>
      </c>
      <c r="Z1082" s="334">
        <f t="shared" si="319"/>
        <v>24.259</v>
      </c>
      <c r="AA1082" s="57"/>
      <c r="AB1082" s="58"/>
    </row>
    <row r="1083" spans="1:28" s="55" customFormat="1" ht="30">
      <c r="A1083" s="19" t="s">
        <v>1404</v>
      </c>
      <c r="B1083" s="20">
        <v>11286</v>
      </c>
      <c r="C1083" s="19" t="s">
        <v>199</v>
      </c>
      <c r="D1083" s="21" t="s">
        <v>44</v>
      </c>
      <c r="E1083" s="21" t="s">
        <v>17</v>
      </c>
      <c r="F1083" s="22">
        <v>2</v>
      </c>
      <c r="G1083" s="22">
        <f t="shared" si="318"/>
        <v>63.231499999999997</v>
      </c>
      <c r="H1083" s="22">
        <f t="shared" si="333"/>
        <v>80.180000000000007</v>
      </c>
      <c r="I1083" s="147">
        <f t="shared" si="334"/>
        <v>160.36000000000001</v>
      </c>
      <c r="J1083" s="148"/>
      <c r="K1083" s="148"/>
      <c r="L1083" s="148"/>
      <c r="M1083" s="148">
        <v>70.44</v>
      </c>
      <c r="N1083" s="148">
        <v>89.32</v>
      </c>
      <c r="O1083" s="148">
        <v>178.64</v>
      </c>
      <c r="P1083" s="494"/>
      <c r="Q1083" s="148">
        <f t="shared" si="328"/>
        <v>0</v>
      </c>
      <c r="R1083" s="148"/>
      <c r="S1083" s="148">
        <f t="shared" si="335"/>
        <v>0</v>
      </c>
      <c r="T1083" s="148">
        <f t="shared" si="336"/>
        <v>2</v>
      </c>
      <c r="U1083" s="148">
        <f t="shared" si="329"/>
        <v>178.64</v>
      </c>
      <c r="V1083" s="379"/>
      <c r="W1083" s="379"/>
      <c r="X1083" s="57">
        <f>'COMPOSIÇÃO DE CUSTOS'!G1039</f>
        <v>63.23</v>
      </c>
      <c r="Y1083" s="334">
        <v>74.39</v>
      </c>
      <c r="Z1083" s="334">
        <f t="shared" si="319"/>
        <v>126.46299999999999</v>
      </c>
      <c r="AA1083" s="57"/>
      <c r="AB1083" s="58"/>
    </row>
    <row r="1084" spans="1:28" s="55" customFormat="1" ht="30">
      <c r="A1084" s="19" t="s">
        <v>1405</v>
      </c>
      <c r="B1084" s="20">
        <v>9546</v>
      </c>
      <c r="C1084" s="19" t="s">
        <v>2352</v>
      </c>
      <c r="D1084" s="21" t="s">
        <v>44</v>
      </c>
      <c r="E1084" s="21" t="s">
        <v>17</v>
      </c>
      <c r="F1084" s="22">
        <v>33</v>
      </c>
      <c r="G1084" s="22">
        <f t="shared" si="318"/>
        <v>249.34750000000003</v>
      </c>
      <c r="H1084" s="22">
        <f t="shared" si="333"/>
        <v>316.2</v>
      </c>
      <c r="I1084" s="147">
        <f t="shared" si="334"/>
        <v>10434.6</v>
      </c>
      <c r="J1084" s="148"/>
      <c r="K1084" s="148"/>
      <c r="L1084" s="148"/>
      <c r="M1084" s="148">
        <v>277.77999999999997</v>
      </c>
      <c r="N1084" s="148">
        <v>352.25</v>
      </c>
      <c r="O1084" s="148">
        <v>11624.25</v>
      </c>
      <c r="P1084" s="494"/>
      <c r="Q1084" s="148">
        <f t="shared" si="328"/>
        <v>0</v>
      </c>
      <c r="R1084" s="148"/>
      <c r="S1084" s="148">
        <f t="shared" si="335"/>
        <v>0</v>
      </c>
      <c r="T1084" s="148">
        <f t="shared" si="336"/>
        <v>33</v>
      </c>
      <c r="U1084" s="148">
        <f t="shared" si="329"/>
        <v>11624.25</v>
      </c>
      <c r="V1084" s="379"/>
      <c r="W1084" s="379"/>
      <c r="X1084" s="57">
        <f>'COMPOSIÇÃO DE CUSTOS'!G1512</f>
        <v>249.34</v>
      </c>
      <c r="Y1084" s="334">
        <v>293.35000000000002</v>
      </c>
      <c r="Z1084" s="334">
        <f t="shared" si="319"/>
        <v>8228.4675000000007</v>
      </c>
      <c r="AA1084" s="57"/>
      <c r="AB1084" s="58"/>
    </row>
    <row r="1085" spans="1:28" s="55" customFormat="1" ht="30">
      <c r="A1085" s="19" t="s">
        <v>1406</v>
      </c>
      <c r="B1085" s="21" t="s">
        <v>2412</v>
      </c>
      <c r="C1085" s="19" t="s">
        <v>2411</v>
      </c>
      <c r="D1085" s="21" t="s">
        <v>70</v>
      </c>
      <c r="E1085" s="21" t="s">
        <v>52</v>
      </c>
      <c r="F1085" s="22">
        <v>70</v>
      </c>
      <c r="G1085" s="22">
        <f t="shared" si="318"/>
        <v>20.824999999999999</v>
      </c>
      <c r="H1085" s="22">
        <f t="shared" si="333"/>
        <v>26.41</v>
      </c>
      <c r="I1085" s="147">
        <f t="shared" si="334"/>
        <v>1848.7</v>
      </c>
      <c r="J1085" s="148"/>
      <c r="K1085" s="148"/>
      <c r="L1085" s="148"/>
      <c r="M1085" s="148">
        <v>23.2</v>
      </c>
      <c r="N1085" s="148">
        <v>29.42</v>
      </c>
      <c r="O1085" s="148">
        <v>2059.4</v>
      </c>
      <c r="P1085" s="494"/>
      <c r="Q1085" s="148">
        <f t="shared" si="328"/>
        <v>0</v>
      </c>
      <c r="R1085" s="148"/>
      <c r="S1085" s="148">
        <f t="shared" si="335"/>
        <v>0</v>
      </c>
      <c r="T1085" s="148">
        <f t="shared" si="336"/>
        <v>70</v>
      </c>
      <c r="U1085" s="148">
        <f t="shared" si="329"/>
        <v>2059.4</v>
      </c>
      <c r="V1085" s="379">
        <f>12+2.5+35+22+2.2</f>
        <v>73.7</v>
      </c>
      <c r="W1085" s="379"/>
      <c r="X1085" s="57">
        <f>'COMPOSIÇÃO DE CUSTOS'!G1519</f>
        <v>20.81</v>
      </c>
      <c r="Y1085" s="334">
        <v>24.5</v>
      </c>
      <c r="Z1085" s="334">
        <f t="shared" si="319"/>
        <v>1457.75</v>
      </c>
      <c r="AA1085" s="57"/>
      <c r="AB1085" s="58"/>
    </row>
    <row r="1086" spans="1:28" s="55" customFormat="1" ht="15" customHeight="1">
      <c r="A1086" s="229" t="s">
        <v>1407</v>
      </c>
      <c r="B1086" s="229"/>
      <c r="C1086" s="229" t="s">
        <v>311</v>
      </c>
      <c r="D1086" s="230"/>
      <c r="E1086" s="230"/>
      <c r="F1086" s="230"/>
      <c r="G1086" s="22"/>
      <c r="H1086" s="230"/>
      <c r="I1086" s="445"/>
      <c r="J1086" s="440"/>
      <c r="K1086" s="440"/>
      <c r="L1086" s="440"/>
      <c r="M1086" s="440"/>
      <c r="N1086" s="440"/>
      <c r="O1086" s="440"/>
      <c r="P1086" s="492"/>
      <c r="Q1086" s="148">
        <f t="shared" si="328"/>
        <v>0</v>
      </c>
      <c r="R1086" s="440"/>
      <c r="S1086" s="440"/>
      <c r="T1086" s="148"/>
      <c r="U1086" s="148"/>
      <c r="V1086" s="330"/>
      <c r="W1086" s="330"/>
      <c r="X1086" s="58"/>
      <c r="Y1086" s="334"/>
      <c r="Z1086" s="334">
        <f t="shared" si="319"/>
        <v>0</v>
      </c>
      <c r="AA1086" s="58"/>
      <c r="AB1086" s="58"/>
    </row>
    <row r="1087" spans="1:28" s="55" customFormat="1" ht="45">
      <c r="A1087" s="19" t="s">
        <v>1408</v>
      </c>
      <c r="B1087" s="20">
        <v>619</v>
      </c>
      <c r="C1087" s="19" t="s">
        <v>3020</v>
      </c>
      <c r="D1087" s="21" t="s">
        <v>44</v>
      </c>
      <c r="E1087" s="21" t="s">
        <v>238</v>
      </c>
      <c r="F1087" s="22">
        <v>6</v>
      </c>
      <c r="G1087" s="22">
        <f t="shared" si="318"/>
        <v>376.56700000000001</v>
      </c>
      <c r="H1087" s="22">
        <f>ROUND(G1087*(1+$X$14),2)</f>
        <v>477.52</v>
      </c>
      <c r="I1087" s="147">
        <f>ROUND(H1087*F1087,2)</f>
        <v>2865.12</v>
      </c>
      <c r="J1087" s="148"/>
      <c r="K1087" s="148"/>
      <c r="L1087" s="148"/>
      <c r="M1087" s="148">
        <v>419.5</v>
      </c>
      <c r="N1087" s="148">
        <v>531.97</v>
      </c>
      <c r="O1087" s="148">
        <v>3191.82</v>
      </c>
      <c r="P1087" s="494"/>
      <c r="Q1087" s="148">
        <f t="shared" si="328"/>
        <v>0</v>
      </c>
      <c r="R1087" s="148"/>
      <c r="S1087" s="148">
        <f>ROUND(R1087*P1087,2)</f>
        <v>0</v>
      </c>
      <c r="T1087" s="148">
        <f t="shared" si="336"/>
        <v>6</v>
      </c>
      <c r="U1087" s="148">
        <f t="shared" si="329"/>
        <v>3191.82</v>
      </c>
      <c r="V1087" s="379"/>
      <c r="W1087" s="379"/>
      <c r="X1087" s="57">
        <f>'COMPOSIÇÃO DE CUSTOS'!G1527</f>
        <v>376.57</v>
      </c>
      <c r="Y1087" s="334">
        <v>443.02</v>
      </c>
      <c r="Z1087" s="334">
        <f t="shared" si="319"/>
        <v>2259.402</v>
      </c>
      <c r="AA1087" s="57"/>
      <c r="AB1087" s="58"/>
    </row>
    <row r="1088" spans="1:28" s="55" customFormat="1">
      <c r="A1088" s="19" t="s">
        <v>1409</v>
      </c>
      <c r="B1088" s="21" t="s">
        <v>2357</v>
      </c>
      <c r="C1088" s="19" t="s">
        <v>312</v>
      </c>
      <c r="D1088" s="21" t="s">
        <v>1914</v>
      </c>
      <c r="E1088" s="21" t="s">
        <v>17</v>
      </c>
      <c r="F1088" s="22">
        <v>4</v>
      </c>
      <c r="G1088" s="22">
        <f t="shared" si="318"/>
        <v>196.214</v>
      </c>
      <c r="H1088" s="22">
        <f>ROUND(G1088*(1+$X$14),2)</f>
        <v>248.82</v>
      </c>
      <c r="I1088" s="147">
        <f>ROUND(H1088*F1088,2)</f>
        <v>995.28</v>
      </c>
      <c r="J1088" s="148"/>
      <c r="K1088" s="148"/>
      <c r="L1088" s="148"/>
      <c r="M1088" s="148">
        <v>218.58</v>
      </c>
      <c r="N1088" s="148">
        <v>277.18</v>
      </c>
      <c r="O1088" s="148">
        <v>1108.72</v>
      </c>
      <c r="P1088" s="494"/>
      <c r="Q1088" s="148">
        <f t="shared" si="328"/>
        <v>0</v>
      </c>
      <c r="R1088" s="148"/>
      <c r="S1088" s="148">
        <f>ROUND(R1088*P1088,2)</f>
        <v>0</v>
      </c>
      <c r="T1088" s="148">
        <f t="shared" si="336"/>
        <v>4</v>
      </c>
      <c r="U1088" s="148">
        <f t="shared" si="329"/>
        <v>1108.72</v>
      </c>
      <c r="V1088" s="379"/>
      <c r="W1088" s="379"/>
      <c r="X1088" s="57">
        <f>'COMPOSIÇÃO DE CUSTOS'!G1533</f>
        <v>196.22</v>
      </c>
      <c r="Y1088" s="334">
        <v>230.84</v>
      </c>
      <c r="Z1088" s="334">
        <f t="shared" si="319"/>
        <v>784.85599999999999</v>
      </c>
      <c r="AA1088" s="57"/>
      <c r="AB1088" s="58"/>
    </row>
    <row r="1089" spans="1:28" s="55" customFormat="1" ht="45">
      <c r="A1089" s="19" t="s">
        <v>1410</v>
      </c>
      <c r="B1089" s="20">
        <v>91996</v>
      </c>
      <c r="C1089" s="19" t="s">
        <v>1719</v>
      </c>
      <c r="D1089" s="21" t="s">
        <v>12</v>
      </c>
      <c r="E1089" s="21" t="s">
        <v>17</v>
      </c>
      <c r="F1089" s="22">
        <v>4</v>
      </c>
      <c r="G1089" s="22">
        <f t="shared" si="318"/>
        <v>20.433999999999997</v>
      </c>
      <c r="H1089" s="22">
        <f>ROUND(G1089*(1+$X$14),2)</f>
        <v>25.91</v>
      </c>
      <c r="I1089" s="147">
        <f>ROUND(H1089*F1089,2)</f>
        <v>103.64</v>
      </c>
      <c r="J1089" s="148"/>
      <c r="K1089" s="148"/>
      <c r="L1089" s="148"/>
      <c r="M1089" s="148">
        <v>22.76</v>
      </c>
      <c r="N1089" s="148">
        <v>28.86</v>
      </c>
      <c r="O1089" s="148">
        <v>115.44</v>
      </c>
      <c r="P1089" s="494"/>
      <c r="Q1089" s="148">
        <f t="shared" si="328"/>
        <v>0</v>
      </c>
      <c r="R1089" s="148"/>
      <c r="S1089" s="148">
        <f>ROUND(R1089*P1089,2)</f>
        <v>0</v>
      </c>
      <c r="T1089" s="148">
        <f t="shared" si="336"/>
        <v>4</v>
      </c>
      <c r="U1089" s="148">
        <f t="shared" si="329"/>
        <v>115.44</v>
      </c>
      <c r="V1089" s="379"/>
      <c r="W1089" s="379"/>
      <c r="X1089" s="57" t="e">
        <f>IF(B1089&lt;&gt;0,VLOOKUP(B1089,#REF!,4,FALSE),"")</f>
        <v>#REF!</v>
      </c>
      <c r="Y1089" s="334" t="s">
        <v>3162</v>
      </c>
      <c r="Z1089" s="334">
        <f t="shared" si="319"/>
        <v>81.73599999999999</v>
      </c>
      <c r="AA1089" s="57"/>
      <c r="AB1089" s="58" t="e">
        <f>IF(B1089&lt;&gt;0,VLOOKUP(B1089,#REF!,2,FALSE),"")</f>
        <v>#REF!</v>
      </c>
    </row>
    <row r="1090" spans="1:28" s="55" customFormat="1" ht="45">
      <c r="A1090" s="19" t="s">
        <v>1411</v>
      </c>
      <c r="B1090" s="20">
        <v>91953</v>
      </c>
      <c r="C1090" s="19" t="s">
        <v>1721</v>
      </c>
      <c r="D1090" s="21" t="s">
        <v>12</v>
      </c>
      <c r="E1090" s="21" t="s">
        <v>17</v>
      </c>
      <c r="F1090" s="22">
        <v>1</v>
      </c>
      <c r="G1090" s="22">
        <f t="shared" si="318"/>
        <v>17.391000000000002</v>
      </c>
      <c r="H1090" s="22">
        <f>ROUND(G1090*(1+$X$14),2)</f>
        <v>22.05</v>
      </c>
      <c r="I1090" s="147">
        <f>ROUND(H1090*F1090,2)</f>
        <v>22.05</v>
      </c>
      <c r="J1090" s="148"/>
      <c r="K1090" s="148"/>
      <c r="L1090" s="148"/>
      <c r="M1090" s="148">
        <v>19.37</v>
      </c>
      <c r="N1090" s="148">
        <v>24.56</v>
      </c>
      <c r="O1090" s="148">
        <v>24.56</v>
      </c>
      <c r="P1090" s="494"/>
      <c r="Q1090" s="148">
        <f t="shared" si="328"/>
        <v>0</v>
      </c>
      <c r="R1090" s="148"/>
      <c r="S1090" s="148">
        <f>ROUND(R1090*P1090,2)</f>
        <v>0</v>
      </c>
      <c r="T1090" s="148">
        <f t="shared" si="336"/>
        <v>1</v>
      </c>
      <c r="U1090" s="148">
        <f t="shared" si="329"/>
        <v>24.56</v>
      </c>
      <c r="V1090" s="379"/>
      <c r="W1090" s="379"/>
      <c r="X1090" s="57" t="e">
        <f>IF(B1090&lt;&gt;0,VLOOKUP(B1090,#REF!,4,FALSE),"")</f>
        <v>#REF!</v>
      </c>
      <c r="Y1090" s="334" t="s">
        <v>1879</v>
      </c>
      <c r="Z1090" s="334">
        <f t="shared" si="319"/>
        <v>17.391000000000002</v>
      </c>
      <c r="AA1090" s="57"/>
      <c r="AB1090" s="58" t="e">
        <f>IF(B1090&lt;&gt;0,VLOOKUP(B1090,#REF!,2,FALSE),"")</f>
        <v>#REF!</v>
      </c>
    </row>
    <row r="1091" spans="1:28" s="55" customFormat="1" ht="15" customHeight="1">
      <c r="A1091" s="229" t="s">
        <v>1412</v>
      </c>
      <c r="B1091" s="229"/>
      <c r="C1091" s="229" t="s">
        <v>313</v>
      </c>
      <c r="D1091" s="230"/>
      <c r="E1091" s="230"/>
      <c r="F1091" s="230"/>
      <c r="G1091" s="22"/>
      <c r="H1091" s="230"/>
      <c r="I1091" s="445"/>
      <c r="J1091" s="440"/>
      <c r="K1091" s="440"/>
      <c r="L1091" s="440"/>
      <c r="M1091" s="440"/>
      <c r="N1091" s="440"/>
      <c r="O1091" s="440"/>
      <c r="P1091" s="492"/>
      <c r="Q1091" s="148">
        <f t="shared" si="328"/>
        <v>0</v>
      </c>
      <c r="R1091" s="440"/>
      <c r="S1091" s="440"/>
      <c r="T1091" s="148"/>
      <c r="U1091" s="148"/>
      <c r="V1091" s="330"/>
      <c r="W1091" s="330"/>
      <c r="X1091" s="58"/>
      <c r="Y1091" s="334"/>
      <c r="Z1091" s="334">
        <f t="shared" si="319"/>
        <v>0</v>
      </c>
      <c r="AA1091" s="58"/>
      <c r="AB1091" s="58"/>
    </row>
    <row r="1092" spans="1:28" s="55" customFormat="1" ht="30">
      <c r="A1092" s="19" t="s">
        <v>1413</v>
      </c>
      <c r="B1092" s="20">
        <v>96985</v>
      </c>
      <c r="C1092" s="19" t="s">
        <v>2511</v>
      </c>
      <c r="D1092" s="21" t="s">
        <v>12</v>
      </c>
      <c r="E1092" s="21" t="s">
        <v>17</v>
      </c>
      <c r="F1092" s="22">
        <v>39</v>
      </c>
      <c r="G1092" s="22">
        <f t="shared" si="318"/>
        <v>48.637</v>
      </c>
      <c r="H1092" s="22">
        <f>ROUND(G1092*(1+$X$14),2)</f>
        <v>61.68</v>
      </c>
      <c r="I1092" s="147">
        <f>ROUND(H1092*F1092,2)</f>
        <v>2405.52</v>
      </c>
      <c r="J1092" s="148"/>
      <c r="K1092" s="148"/>
      <c r="L1092" s="148"/>
      <c r="M1092" s="148">
        <v>54.18</v>
      </c>
      <c r="N1092" s="148">
        <v>68.709999999999994</v>
      </c>
      <c r="O1092" s="148">
        <v>2679.69</v>
      </c>
      <c r="P1092" s="494"/>
      <c r="Q1092" s="148">
        <f t="shared" si="328"/>
        <v>0</v>
      </c>
      <c r="R1092" s="148"/>
      <c r="S1092" s="148">
        <f>ROUND(R1092*P1092,2)</f>
        <v>0</v>
      </c>
      <c r="T1092" s="148">
        <f t="shared" si="336"/>
        <v>39</v>
      </c>
      <c r="U1092" s="148">
        <f t="shared" si="329"/>
        <v>2679.69</v>
      </c>
      <c r="V1092" s="379"/>
      <c r="W1092" s="379"/>
      <c r="X1092" s="57" t="e">
        <f>IF(B1092&lt;&gt;0,VLOOKUP(B1092,#REF!,4,FALSE),"")</f>
        <v>#REF!</v>
      </c>
      <c r="Y1092" s="334" t="s">
        <v>1883</v>
      </c>
      <c r="Z1092" s="334">
        <f t="shared" si="319"/>
        <v>1896.8430000000001</v>
      </c>
      <c r="AA1092" s="57"/>
      <c r="AB1092" s="58" t="e">
        <f>IF(B1092&lt;&gt;0,VLOOKUP(B1092,#REF!,2,FALSE),"")</f>
        <v>#REF!</v>
      </c>
    </row>
    <row r="1093" spans="1:28" s="55" customFormat="1" ht="45">
      <c r="A1093" s="19" t="s">
        <v>1414</v>
      </c>
      <c r="B1093" s="20">
        <v>96973</v>
      </c>
      <c r="C1093" s="19" t="s">
        <v>2508</v>
      </c>
      <c r="D1093" s="21" t="s">
        <v>12</v>
      </c>
      <c r="E1093" s="21" t="s">
        <v>52</v>
      </c>
      <c r="F1093" s="22">
        <v>65</v>
      </c>
      <c r="G1093" s="22">
        <f t="shared" si="318"/>
        <v>49.376500000000007</v>
      </c>
      <c r="H1093" s="22">
        <f>ROUND(G1093*(1+$X$14),2)</f>
        <v>62.61</v>
      </c>
      <c r="I1093" s="147">
        <f>ROUND(H1093*F1093,2)</f>
        <v>4069.65</v>
      </c>
      <c r="J1093" s="148"/>
      <c r="K1093" s="148"/>
      <c r="L1093" s="148"/>
      <c r="M1093" s="148">
        <v>59.09</v>
      </c>
      <c r="N1093" s="148">
        <v>74.930000000000007</v>
      </c>
      <c r="O1093" s="148">
        <v>4870.45</v>
      </c>
      <c r="P1093" s="494"/>
      <c r="Q1093" s="148">
        <f t="shared" si="328"/>
        <v>0</v>
      </c>
      <c r="R1093" s="148"/>
      <c r="S1093" s="148">
        <f>ROUND(R1093*P1093,2)</f>
        <v>0</v>
      </c>
      <c r="T1093" s="148">
        <f t="shared" si="336"/>
        <v>65</v>
      </c>
      <c r="U1093" s="148">
        <f t="shared" si="329"/>
        <v>4870.45</v>
      </c>
      <c r="V1093" s="379"/>
      <c r="W1093" s="379"/>
      <c r="X1093" s="57" t="e">
        <f>IF(B1093&lt;&gt;0,VLOOKUP(B1093,#REF!,4,FALSE),"")</f>
        <v>#REF!</v>
      </c>
      <c r="Y1093" s="334" t="s">
        <v>3257</v>
      </c>
      <c r="Z1093" s="334">
        <f t="shared" si="319"/>
        <v>3209.4725000000003</v>
      </c>
      <c r="AA1093" s="57"/>
      <c r="AB1093" s="58" t="e">
        <f>IF(B1093&lt;&gt;0,VLOOKUP(B1093,#REF!,2,FALSE),"")</f>
        <v>#REF!</v>
      </c>
    </row>
    <row r="1094" spans="1:28" s="55" customFormat="1" ht="38.25" customHeight="1">
      <c r="A1094" s="19" t="s">
        <v>1415</v>
      </c>
      <c r="B1094" s="20">
        <v>96977</v>
      </c>
      <c r="C1094" s="19" t="s">
        <v>2512</v>
      </c>
      <c r="D1094" s="21" t="s">
        <v>12</v>
      </c>
      <c r="E1094" s="21" t="s">
        <v>52</v>
      </c>
      <c r="F1094" s="22">
        <v>198</v>
      </c>
      <c r="G1094" s="22">
        <f t="shared" si="318"/>
        <v>50.226500000000001</v>
      </c>
      <c r="H1094" s="22">
        <f>ROUND(G1094*(1+$X$14),2)</f>
        <v>63.69</v>
      </c>
      <c r="I1094" s="147">
        <f>ROUND(H1094*F1094,2)</f>
        <v>12610.62</v>
      </c>
      <c r="J1094" s="148"/>
      <c r="K1094" s="148"/>
      <c r="L1094" s="148"/>
      <c r="M1094" s="148">
        <v>55.95</v>
      </c>
      <c r="N1094" s="148">
        <v>70.95</v>
      </c>
      <c r="O1094" s="148">
        <v>14048.1</v>
      </c>
      <c r="P1094" s="494"/>
      <c r="Q1094" s="148">
        <f t="shared" si="328"/>
        <v>0</v>
      </c>
      <c r="R1094" s="148"/>
      <c r="S1094" s="148">
        <f>ROUND(R1094*P1094,2)</f>
        <v>0</v>
      </c>
      <c r="T1094" s="148">
        <f t="shared" si="336"/>
        <v>198</v>
      </c>
      <c r="U1094" s="148">
        <f t="shared" si="329"/>
        <v>14048.1</v>
      </c>
      <c r="V1094" s="379"/>
      <c r="W1094" s="379"/>
      <c r="X1094" s="57" t="e">
        <f>IF(B1094&lt;&gt;0,VLOOKUP(B1094,#REF!,4,FALSE),"")</f>
        <v>#REF!</v>
      </c>
      <c r="Y1094" s="334" t="s">
        <v>3258</v>
      </c>
      <c r="Z1094" s="334">
        <f t="shared" si="319"/>
        <v>9944.8469999999998</v>
      </c>
      <c r="AA1094" s="57"/>
      <c r="AB1094" s="58" t="e">
        <f>IF(B1094&lt;&gt;0,VLOOKUP(B1094,#REF!,2,FALSE),"")</f>
        <v>#REF!</v>
      </c>
    </row>
    <row r="1095" spans="1:28" s="55" customFormat="1">
      <c r="A1095" s="19" t="s">
        <v>1416</v>
      </c>
      <c r="B1095" s="20" t="s">
        <v>3091</v>
      </c>
      <c r="C1095" s="19" t="s">
        <v>306</v>
      </c>
      <c r="D1095" s="21" t="s">
        <v>70</v>
      </c>
      <c r="E1095" s="21" t="s">
        <v>17</v>
      </c>
      <c r="F1095" s="22">
        <v>75</v>
      </c>
      <c r="G1095" s="22">
        <f t="shared" si="318"/>
        <v>34.331499999999998</v>
      </c>
      <c r="H1095" s="22">
        <f>ROUND(G1095*(1+$X$14),2)</f>
        <v>43.54</v>
      </c>
      <c r="I1095" s="147">
        <f>ROUND(H1095*F1095,2)</f>
        <v>3265.5</v>
      </c>
      <c r="J1095" s="148"/>
      <c r="K1095" s="148"/>
      <c r="L1095" s="148"/>
      <c r="M1095" s="148">
        <v>38.25</v>
      </c>
      <c r="N1095" s="148">
        <v>48.5</v>
      </c>
      <c r="O1095" s="148">
        <v>3637.5</v>
      </c>
      <c r="P1095" s="494"/>
      <c r="Q1095" s="148">
        <f t="shared" si="328"/>
        <v>0</v>
      </c>
      <c r="R1095" s="148"/>
      <c r="S1095" s="148">
        <f>ROUND(R1095*P1095,2)</f>
        <v>0</v>
      </c>
      <c r="T1095" s="148">
        <f t="shared" si="336"/>
        <v>75</v>
      </c>
      <c r="U1095" s="148">
        <f t="shared" si="329"/>
        <v>3637.5</v>
      </c>
      <c r="V1095" s="379"/>
      <c r="W1095" s="379"/>
      <c r="X1095" s="57">
        <f>'COMPOSIÇÃO DE CUSTOS'!G1542</f>
        <v>34.33</v>
      </c>
      <c r="Y1095" s="334">
        <v>40.39</v>
      </c>
      <c r="Z1095" s="334">
        <f t="shared" si="319"/>
        <v>2574.8624999999997</v>
      </c>
      <c r="AA1095" s="57"/>
      <c r="AB1095" s="58"/>
    </row>
    <row r="1096" spans="1:28" s="55" customFormat="1">
      <c r="A1096" s="229" t="s">
        <v>1417</v>
      </c>
      <c r="B1096" s="229"/>
      <c r="C1096" s="229" t="s">
        <v>214</v>
      </c>
      <c r="D1096" s="230"/>
      <c r="E1096" s="230"/>
      <c r="F1096" s="230"/>
      <c r="G1096" s="22"/>
      <c r="H1096" s="230"/>
      <c r="I1096" s="445"/>
      <c r="J1096" s="440"/>
      <c r="K1096" s="440"/>
      <c r="L1096" s="440"/>
      <c r="M1096" s="440"/>
      <c r="N1096" s="440"/>
      <c r="O1096" s="440"/>
      <c r="P1096" s="492"/>
      <c r="Q1096" s="148">
        <f t="shared" si="328"/>
        <v>0</v>
      </c>
      <c r="R1096" s="440"/>
      <c r="S1096" s="440"/>
      <c r="T1096" s="148"/>
      <c r="U1096" s="148"/>
      <c r="V1096" s="330"/>
      <c r="W1096" s="330"/>
      <c r="X1096" s="58"/>
      <c r="Y1096" s="334"/>
      <c r="Z1096" s="334">
        <f t="shared" si="319"/>
        <v>0</v>
      </c>
      <c r="AA1096" s="58"/>
      <c r="AB1096" s="58"/>
    </row>
    <row r="1097" spans="1:28" s="55" customFormat="1" ht="45">
      <c r="A1097" s="19" t="s">
        <v>1418</v>
      </c>
      <c r="B1097" s="20">
        <v>91926</v>
      </c>
      <c r="C1097" s="19" t="s">
        <v>1713</v>
      </c>
      <c r="D1097" s="21" t="s">
        <v>12</v>
      </c>
      <c r="E1097" s="21" t="s">
        <v>52</v>
      </c>
      <c r="F1097" s="22">
        <v>215</v>
      </c>
      <c r="G1097" s="22">
        <f t="shared" si="318"/>
        <v>3.0684999999999998</v>
      </c>
      <c r="H1097" s="22">
        <f>ROUND(G1097*(1+$X$14),2)</f>
        <v>3.89</v>
      </c>
      <c r="I1097" s="147">
        <f>ROUND(H1097*F1097,2)</f>
        <v>836.35</v>
      </c>
      <c r="J1097" s="148"/>
      <c r="K1097" s="148"/>
      <c r="L1097" s="148"/>
      <c r="M1097" s="148">
        <v>4.33</v>
      </c>
      <c r="N1097" s="148">
        <v>5.49</v>
      </c>
      <c r="O1097" s="148">
        <v>1180.3499999999999</v>
      </c>
      <c r="P1097" s="494"/>
      <c r="Q1097" s="148">
        <f t="shared" si="328"/>
        <v>0</v>
      </c>
      <c r="R1097" s="148"/>
      <c r="S1097" s="148">
        <f>ROUND(R1097*P1097,2)</f>
        <v>0</v>
      </c>
      <c r="T1097" s="148">
        <f t="shared" si="336"/>
        <v>215</v>
      </c>
      <c r="U1097" s="148">
        <f t="shared" si="329"/>
        <v>1180.3499999999999</v>
      </c>
      <c r="V1097" s="379"/>
      <c r="W1097" s="379"/>
      <c r="X1097" s="57" t="e">
        <f>IF(B1097&lt;&gt;0,VLOOKUP(B1097,#REF!,4,FALSE),"")</f>
        <v>#REF!</v>
      </c>
      <c r="Y1097" s="334" t="s">
        <v>3104</v>
      </c>
      <c r="Z1097" s="334">
        <f t="shared" si="319"/>
        <v>659.72749999999996</v>
      </c>
      <c r="AA1097" s="57"/>
      <c r="AB1097" s="58" t="e">
        <f>IF(B1097&lt;&gt;0,VLOOKUP(B1097,#REF!,2,FALSE),"")</f>
        <v>#REF!</v>
      </c>
    </row>
    <row r="1098" spans="1:28" s="55" customFormat="1" ht="45">
      <c r="A1098" s="19" t="s">
        <v>1419</v>
      </c>
      <c r="B1098" s="20">
        <v>92994</v>
      </c>
      <c r="C1098" s="19" t="s">
        <v>1689</v>
      </c>
      <c r="D1098" s="21" t="s">
        <v>12</v>
      </c>
      <c r="E1098" s="21" t="s">
        <v>52</v>
      </c>
      <c r="F1098" s="22">
        <v>977</v>
      </c>
      <c r="G1098" s="22">
        <f t="shared" si="318"/>
        <v>102.017</v>
      </c>
      <c r="H1098" s="22">
        <f>ROUND(G1098*(1+$X$14),2)</f>
        <v>129.37</v>
      </c>
      <c r="I1098" s="147">
        <f>ROUND(H1098*F1098,2)</f>
        <v>126394.49</v>
      </c>
      <c r="J1098" s="148"/>
      <c r="K1098" s="148"/>
      <c r="L1098" s="148"/>
      <c r="M1098" s="148">
        <v>112.58</v>
      </c>
      <c r="N1098" s="148">
        <v>142.76</v>
      </c>
      <c r="O1098" s="148">
        <v>139476.51999999999</v>
      </c>
      <c r="P1098" s="494"/>
      <c r="Q1098" s="148">
        <f t="shared" si="328"/>
        <v>0</v>
      </c>
      <c r="R1098" s="148"/>
      <c r="S1098" s="148">
        <f>ROUND(R1098*P1098,2)</f>
        <v>0</v>
      </c>
      <c r="T1098" s="148">
        <f t="shared" si="336"/>
        <v>977</v>
      </c>
      <c r="U1098" s="148">
        <f t="shared" si="329"/>
        <v>139476.51999999999</v>
      </c>
      <c r="V1098" s="379"/>
      <c r="W1098" s="379"/>
      <c r="X1098" s="57" t="e">
        <f>IF(B1098&lt;&gt;0,VLOOKUP(B1098,#REF!,4,FALSE),"")</f>
        <v>#REF!</v>
      </c>
      <c r="Y1098" s="334" t="s">
        <v>3231</v>
      </c>
      <c r="Z1098" s="334">
        <f t="shared" si="319"/>
        <v>99670.608999999997</v>
      </c>
      <c r="AA1098" s="57"/>
      <c r="AB1098" s="58" t="e">
        <f>IF(B1098&lt;&gt;0,VLOOKUP(B1098,#REF!,2,FALSE),"")</f>
        <v>#REF!</v>
      </c>
    </row>
    <row r="1099" spans="1:28" s="55" customFormat="1" ht="45">
      <c r="A1099" s="19" t="s">
        <v>1420</v>
      </c>
      <c r="B1099" s="20">
        <v>93000</v>
      </c>
      <c r="C1099" s="19" t="s">
        <v>1738</v>
      </c>
      <c r="D1099" s="21" t="s">
        <v>12</v>
      </c>
      <c r="E1099" s="21" t="s">
        <v>52</v>
      </c>
      <c r="F1099" s="22">
        <v>779</v>
      </c>
      <c r="G1099" s="22">
        <f t="shared" si="318"/>
        <v>202.90350000000001</v>
      </c>
      <c r="H1099" s="22">
        <f>ROUND(G1099*(1+$X$14),2)</f>
        <v>257.3</v>
      </c>
      <c r="I1099" s="147">
        <f>ROUND(H1099*F1099,2)</f>
        <v>200436.7</v>
      </c>
      <c r="J1099" s="148"/>
      <c r="K1099" s="148"/>
      <c r="L1099" s="148"/>
      <c r="M1099" s="148">
        <v>245.29</v>
      </c>
      <c r="N1099" s="148">
        <v>311.05</v>
      </c>
      <c r="O1099" s="148">
        <v>242307.95</v>
      </c>
      <c r="P1099" s="494"/>
      <c r="Q1099" s="148">
        <f t="shared" si="328"/>
        <v>0</v>
      </c>
      <c r="R1099" s="148"/>
      <c r="S1099" s="148">
        <f>ROUND(R1099*P1099,2)</f>
        <v>0</v>
      </c>
      <c r="T1099" s="148">
        <f t="shared" si="336"/>
        <v>779</v>
      </c>
      <c r="U1099" s="148">
        <f t="shared" si="329"/>
        <v>242307.95</v>
      </c>
      <c r="V1099" s="379"/>
      <c r="W1099" s="379"/>
      <c r="X1099" s="57" t="e">
        <f>IF(B1099&lt;&gt;0,VLOOKUP(B1099,#REF!,4,FALSE),"")</f>
        <v>#REF!</v>
      </c>
      <c r="Y1099" s="334" t="s">
        <v>3232</v>
      </c>
      <c r="Z1099" s="334">
        <f t="shared" si="319"/>
        <v>158061.8265</v>
      </c>
      <c r="AA1099" s="57"/>
      <c r="AB1099" s="58" t="e">
        <f>IF(B1099&lt;&gt;0,VLOOKUP(B1099,#REF!,2,FALSE),"")</f>
        <v>#REF!</v>
      </c>
    </row>
    <row r="1100" spans="1:28" s="55" customFormat="1" ht="30">
      <c r="A1100" s="19" t="s">
        <v>1421</v>
      </c>
      <c r="B1100" s="21" t="s">
        <v>2359</v>
      </c>
      <c r="C1100" s="19" t="s">
        <v>3095</v>
      </c>
      <c r="D1100" s="21" t="s">
        <v>1914</v>
      </c>
      <c r="E1100" s="21" t="s">
        <v>52</v>
      </c>
      <c r="F1100" s="22">
        <v>210</v>
      </c>
      <c r="G1100" s="22">
        <f t="shared" si="318"/>
        <v>86.037000000000006</v>
      </c>
      <c r="H1100" s="22">
        <f>ROUND(G1100*(1+$X$14),2)</f>
        <v>109.1</v>
      </c>
      <c r="I1100" s="147">
        <f>ROUND(H1100*F1100,2)</f>
        <v>22911</v>
      </c>
      <c r="J1100" s="148"/>
      <c r="K1100" s="148"/>
      <c r="L1100" s="148"/>
      <c r="M1100" s="148">
        <v>95.85</v>
      </c>
      <c r="N1100" s="148">
        <v>121.55</v>
      </c>
      <c r="O1100" s="148">
        <v>25525.5</v>
      </c>
      <c r="P1100" s="494"/>
      <c r="Q1100" s="148">
        <f t="shared" si="328"/>
        <v>0</v>
      </c>
      <c r="R1100" s="148"/>
      <c r="S1100" s="148">
        <f>ROUND(R1100*P1100,2)</f>
        <v>0</v>
      </c>
      <c r="T1100" s="148">
        <f t="shared" si="336"/>
        <v>210</v>
      </c>
      <c r="U1100" s="148">
        <f t="shared" si="329"/>
        <v>25525.5</v>
      </c>
      <c r="V1100" s="379"/>
      <c r="W1100" s="379"/>
      <c r="X1100" s="57">
        <f>'COMPOSIÇÃO DE CUSTOS'!G1549</f>
        <v>86.04</v>
      </c>
      <c r="Y1100" s="334">
        <v>101.22</v>
      </c>
      <c r="Z1100" s="334">
        <f t="shared" si="319"/>
        <v>18067.77</v>
      </c>
      <c r="AA1100" s="57"/>
      <c r="AB1100" s="58">
        <f>(1159-488)/3</f>
        <v>223.66666666666666</v>
      </c>
    </row>
    <row r="1101" spans="1:28" ht="60">
      <c r="A1101" s="19" t="s">
        <v>2485</v>
      </c>
      <c r="B1101" s="21" t="s">
        <v>2349</v>
      </c>
      <c r="C1101" s="19" t="s">
        <v>2484</v>
      </c>
      <c r="D1101" s="21" t="s">
        <v>1914</v>
      </c>
      <c r="E1101" s="21" t="s">
        <v>17</v>
      </c>
      <c r="F1101" s="22">
        <f>18+3</f>
        <v>21</v>
      </c>
      <c r="G1101" s="22">
        <f t="shared" si="318"/>
        <v>275.68899999999996</v>
      </c>
      <c r="H1101" s="22">
        <f>ROUND(G1101*(1+$X$14),2)</f>
        <v>349.6</v>
      </c>
      <c r="I1101" s="147">
        <f>ROUND(H1101*F1101,2)</f>
        <v>7341.6</v>
      </c>
      <c r="J1101" s="148"/>
      <c r="K1101" s="148"/>
      <c r="L1101" s="148"/>
      <c r="M1101" s="148">
        <v>307.12</v>
      </c>
      <c r="N1101" s="148">
        <v>389.46</v>
      </c>
      <c r="O1101" s="148">
        <v>8178.66</v>
      </c>
      <c r="P1101" s="494"/>
      <c r="Q1101" s="148">
        <f t="shared" si="328"/>
        <v>0</v>
      </c>
      <c r="R1101" s="148"/>
      <c r="S1101" s="148">
        <f>ROUND(R1101*P1101,2)</f>
        <v>0</v>
      </c>
      <c r="T1101" s="148">
        <f t="shared" si="336"/>
        <v>21</v>
      </c>
      <c r="U1101" s="148">
        <f t="shared" si="329"/>
        <v>8178.66</v>
      </c>
      <c r="V1101" s="379"/>
      <c r="W1101" s="379"/>
      <c r="X1101" s="33">
        <f>'COMPOSIÇÃO DE CUSTOS'!G1556</f>
        <v>275.7</v>
      </c>
      <c r="Y1101" s="337">
        <v>324.33999999999997</v>
      </c>
      <c r="Z1101" s="334">
        <f t="shared" si="319"/>
        <v>5789.4689999999991</v>
      </c>
      <c r="AA1101" s="33"/>
      <c r="AB1101" s="30" t="e">
        <f>IF(B1101&lt;&gt;0,VLOOKUP(B1101,#REF!,2,FALSE),"")</f>
        <v>#REF!</v>
      </c>
    </row>
    <row r="1102" spans="1:28" s="55" customFormat="1" ht="15" customHeight="1">
      <c r="A1102" s="229" t="s">
        <v>1422</v>
      </c>
      <c r="B1102" s="229"/>
      <c r="C1102" s="229" t="s">
        <v>216</v>
      </c>
      <c r="D1102" s="230"/>
      <c r="E1102" s="230"/>
      <c r="F1102" s="230"/>
      <c r="G1102" s="22"/>
      <c r="H1102" s="230"/>
      <c r="I1102" s="445"/>
      <c r="J1102" s="440"/>
      <c r="K1102" s="440"/>
      <c r="L1102" s="440"/>
      <c r="M1102" s="440"/>
      <c r="N1102" s="440"/>
      <c r="O1102" s="440"/>
      <c r="P1102" s="492"/>
      <c r="Q1102" s="148">
        <f t="shared" si="328"/>
        <v>0</v>
      </c>
      <c r="R1102" s="440"/>
      <c r="S1102" s="440"/>
      <c r="T1102" s="148"/>
      <c r="U1102" s="148"/>
      <c r="V1102" s="330"/>
      <c r="W1102" s="330"/>
      <c r="X1102" s="58"/>
      <c r="Y1102" s="334"/>
      <c r="Z1102" s="334">
        <f t="shared" si="319"/>
        <v>0</v>
      </c>
      <c r="AA1102" s="58"/>
      <c r="AB1102" s="58"/>
    </row>
    <row r="1103" spans="1:28" s="55" customFormat="1" ht="45">
      <c r="A1103" s="19" t="s">
        <v>1423</v>
      </c>
      <c r="B1103" s="20">
        <v>95779</v>
      </c>
      <c r="C1103" s="19" t="s">
        <v>1710</v>
      </c>
      <c r="D1103" s="21" t="s">
        <v>12</v>
      </c>
      <c r="E1103" s="21" t="s">
        <v>17</v>
      </c>
      <c r="F1103" s="22">
        <v>4</v>
      </c>
      <c r="G1103" s="22">
        <f t="shared" si="318"/>
        <v>17.442</v>
      </c>
      <c r="H1103" s="22">
        <f>ROUND(G1103*(1+$X$14),2)</f>
        <v>22.12</v>
      </c>
      <c r="I1103" s="147">
        <f>ROUND(H1103*F1103,2)</f>
        <v>88.48</v>
      </c>
      <c r="J1103" s="148"/>
      <c r="K1103" s="148"/>
      <c r="L1103" s="148"/>
      <c r="M1103" s="148">
        <v>19.43</v>
      </c>
      <c r="N1103" s="148">
        <v>24.64</v>
      </c>
      <c r="O1103" s="148">
        <v>98.56</v>
      </c>
      <c r="P1103" s="494"/>
      <c r="Q1103" s="148">
        <f t="shared" si="328"/>
        <v>0</v>
      </c>
      <c r="R1103" s="148"/>
      <c r="S1103" s="148">
        <f>ROUND(R1103*P1103,2)</f>
        <v>0</v>
      </c>
      <c r="T1103" s="148">
        <f t="shared" si="336"/>
        <v>4</v>
      </c>
      <c r="U1103" s="148">
        <f t="shared" si="329"/>
        <v>98.56</v>
      </c>
      <c r="V1103" s="379"/>
      <c r="W1103" s="379"/>
      <c r="X1103" s="57" t="e">
        <f>IF(B1103&lt;&gt;0,VLOOKUP(B1103,#REF!,4,FALSE),"")</f>
        <v>#REF!</v>
      </c>
      <c r="Y1103" s="334" t="s">
        <v>1899</v>
      </c>
      <c r="Z1103" s="334">
        <f t="shared" si="319"/>
        <v>69.768000000000001</v>
      </c>
      <c r="AA1103" s="57"/>
      <c r="AB1103" s="58" t="e">
        <f>IF(B1103&lt;&gt;0,VLOOKUP(B1103,#REF!,2,FALSE),"")</f>
        <v>#REF!</v>
      </c>
    </row>
    <row r="1104" spans="1:28" s="55" customFormat="1" ht="45">
      <c r="A1104" s="19" t="s">
        <v>1424</v>
      </c>
      <c r="B1104" s="20">
        <v>95795</v>
      </c>
      <c r="C1104" s="19" t="s">
        <v>1707</v>
      </c>
      <c r="D1104" s="21" t="s">
        <v>12</v>
      </c>
      <c r="E1104" s="21" t="s">
        <v>17</v>
      </c>
      <c r="F1104" s="22">
        <v>7</v>
      </c>
      <c r="G1104" s="22">
        <f t="shared" si="318"/>
        <v>21.488</v>
      </c>
      <c r="H1104" s="22">
        <f>ROUND(G1104*(1+$X$14),2)</f>
        <v>27.25</v>
      </c>
      <c r="I1104" s="147">
        <f>ROUND(H1104*F1104,2)</f>
        <v>190.75</v>
      </c>
      <c r="J1104" s="148"/>
      <c r="K1104" s="148"/>
      <c r="L1104" s="148"/>
      <c r="M1104" s="148">
        <v>23.94</v>
      </c>
      <c r="N1104" s="148">
        <v>30.36</v>
      </c>
      <c r="O1104" s="148">
        <v>212.52</v>
      </c>
      <c r="P1104" s="494"/>
      <c r="Q1104" s="148">
        <f t="shared" si="328"/>
        <v>0</v>
      </c>
      <c r="R1104" s="148"/>
      <c r="S1104" s="148">
        <f>ROUND(R1104*P1104,2)</f>
        <v>0</v>
      </c>
      <c r="T1104" s="148">
        <f t="shared" si="336"/>
        <v>7</v>
      </c>
      <c r="U1104" s="148">
        <f t="shared" si="329"/>
        <v>212.52</v>
      </c>
      <c r="V1104" s="379"/>
      <c r="W1104" s="379"/>
      <c r="X1104" s="57" t="e">
        <f>IF(B1104&lt;&gt;0,VLOOKUP(B1104,#REF!,4,FALSE),"")</f>
        <v>#REF!</v>
      </c>
      <c r="Y1104" s="334" t="s">
        <v>3235</v>
      </c>
      <c r="Z1104" s="334">
        <f t="shared" si="319"/>
        <v>150.416</v>
      </c>
      <c r="AA1104" s="57"/>
      <c r="AB1104" s="58" t="e">
        <f>IF(B1104&lt;&gt;0,VLOOKUP(B1104,#REF!,2,FALSE),"")</f>
        <v>#REF!</v>
      </c>
    </row>
    <row r="1105" spans="1:28" s="55" customFormat="1" ht="45">
      <c r="A1105" s="19" t="s">
        <v>1425</v>
      </c>
      <c r="B1105" s="20">
        <v>95787</v>
      </c>
      <c r="C1105" s="19" t="s">
        <v>1708</v>
      </c>
      <c r="D1105" s="21" t="s">
        <v>12</v>
      </c>
      <c r="E1105" s="21" t="s">
        <v>17</v>
      </c>
      <c r="F1105" s="22">
        <v>1</v>
      </c>
      <c r="G1105" s="22">
        <f t="shared" si="318"/>
        <v>18.614999999999998</v>
      </c>
      <c r="H1105" s="22">
        <f>ROUND(G1105*(1+$X$14),2)</f>
        <v>23.61</v>
      </c>
      <c r="I1105" s="147">
        <f>ROUND(H1105*F1105,2)</f>
        <v>23.61</v>
      </c>
      <c r="J1105" s="148"/>
      <c r="K1105" s="148"/>
      <c r="L1105" s="148"/>
      <c r="M1105" s="148">
        <v>20.74</v>
      </c>
      <c r="N1105" s="148">
        <v>26.3</v>
      </c>
      <c r="O1105" s="148">
        <v>26.3</v>
      </c>
      <c r="P1105" s="494"/>
      <c r="Q1105" s="148">
        <f t="shared" si="328"/>
        <v>0</v>
      </c>
      <c r="R1105" s="148"/>
      <c r="S1105" s="148">
        <f>ROUND(R1105*P1105,2)</f>
        <v>0</v>
      </c>
      <c r="T1105" s="148">
        <f t="shared" si="336"/>
        <v>1</v>
      </c>
      <c r="U1105" s="148">
        <f t="shared" si="329"/>
        <v>26.3</v>
      </c>
      <c r="V1105" s="379"/>
      <c r="W1105" s="379"/>
      <c r="X1105" s="57" t="e">
        <f>IF(B1105&lt;&gt;0,VLOOKUP(B1105,#REF!,4,FALSE),"")</f>
        <v>#REF!</v>
      </c>
      <c r="Y1105" s="334" t="s">
        <v>1887</v>
      </c>
      <c r="Z1105" s="334">
        <f t="shared" si="319"/>
        <v>18.614999999999998</v>
      </c>
      <c r="AA1105" s="57"/>
      <c r="AB1105" s="58" t="e">
        <f>IF(B1105&lt;&gt;0,VLOOKUP(B1105,#REF!,2,FALSE),"")</f>
        <v>#REF!</v>
      </c>
    </row>
    <row r="1106" spans="1:28" s="55" customFormat="1" ht="45">
      <c r="A1106" s="19" t="s">
        <v>1426</v>
      </c>
      <c r="B1106" s="20">
        <v>91940</v>
      </c>
      <c r="C1106" s="19" t="s">
        <v>1727</v>
      </c>
      <c r="D1106" s="21" t="s">
        <v>12</v>
      </c>
      <c r="E1106" s="21" t="s">
        <v>17</v>
      </c>
      <c r="F1106" s="22">
        <v>1</v>
      </c>
      <c r="G1106" s="22">
        <f t="shared" si="318"/>
        <v>8.8484999999999996</v>
      </c>
      <c r="H1106" s="22">
        <f>ROUND(G1106*(1+$X$14),2)</f>
        <v>11.22</v>
      </c>
      <c r="I1106" s="147">
        <f>ROUND(H1106*F1106,2)</f>
        <v>11.22</v>
      </c>
      <c r="J1106" s="148"/>
      <c r="K1106" s="148"/>
      <c r="L1106" s="148"/>
      <c r="M1106" s="148">
        <v>9.86</v>
      </c>
      <c r="N1106" s="148">
        <v>12.5</v>
      </c>
      <c r="O1106" s="148">
        <v>12.5</v>
      </c>
      <c r="P1106" s="494"/>
      <c r="Q1106" s="148">
        <f t="shared" si="328"/>
        <v>0</v>
      </c>
      <c r="R1106" s="148"/>
      <c r="S1106" s="148">
        <f>ROUND(R1106*P1106,2)</f>
        <v>0</v>
      </c>
      <c r="T1106" s="148">
        <f t="shared" si="336"/>
        <v>1</v>
      </c>
      <c r="U1106" s="148">
        <f t="shared" si="329"/>
        <v>12.5</v>
      </c>
      <c r="V1106" s="379"/>
      <c r="W1106" s="379"/>
      <c r="X1106" s="57" t="e">
        <f>IF(B1106&lt;&gt;0,VLOOKUP(B1106,#REF!,4,FALSE),"")</f>
        <v>#REF!</v>
      </c>
      <c r="Y1106" s="334" t="s">
        <v>3190</v>
      </c>
      <c r="Z1106" s="334">
        <f t="shared" si="319"/>
        <v>8.8484999999999996</v>
      </c>
      <c r="AA1106" s="57"/>
      <c r="AB1106" s="58" t="e">
        <f>IF(B1106&lt;&gt;0,VLOOKUP(B1106,#REF!,2,FALSE),"")</f>
        <v>#REF!</v>
      </c>
    </row>
    <row r="1107" spans="1:28" s="55" customFormat="1" ht="57" customHeight="1">
      <c r="A1107" s="19" t="s">
        <v>1427</v>
      </c>
      <c r="B1107" s="20">
        <v>97883</v>
      </c>
      <c r="C1107" s="19" t="str">
        <f>C560</f>
        <v>CAIXA ENTERRADA ELÉTRICA RETANGULAR, EM
CONCRETO PRÉ-MOLDADO, FUNDO COM BRITA,
DIMENSÕES INTERNAS: 0,6X0,6X0,5 M. AF_12/2020</v>
      </c>
      <c r="D1107" s="21" t="s">
        <v>12</v>
      </c>
      <c r="E1107" s="21" t="s">
        <v>17</v>
      </c>
      <c r="F1107" s="22">
        <v>1</v>
      </c>
      <c r="G1107" s="22">
        <f t="shared" si="318"/>
        <v>254.422</v>
      </c>
      <c r="H1107" s="22">
        <f>ROUND(G1107*(1+$X$14),2)</f>
        <v>322.63</v>
      </c>
      <c r="I1107" s="147">
        <f>ROUND(H1107*F1107,2)</f>
        <v>322.63</v>
      </c>
      <c r="J1107" s="148"/>
      <c r="K1107" s="148"/>
      <c r="L1107" s="148"/>
      <c r="M1107" s="148">
        <v>283.43</v>
      </c>
      <c r="N1107" s="148">
        <v>359.42</v>
      </c>
      <c r="O1107" s="148">
        <v>359.42</v>
      </c>
      <c r="P1107" s="494"/>
      <c r="Q1107" s="148">
        <f t="shared" si="328"/>
        <v>0</v>
      </c>
      <c r="R1107" s="148"/>
      <c r="S1107" s="148">
        <f>ROUND(R1107*P1107,2)</f>
        <v>0</v>
      </c>
      <c r="T1107" s="148">
        <f t="shared" si="336"/>
        <v>1</v>
      </c>
      <c r="U1107" s="148">
        <f t="shared" si="329"/>
        <v>359.42</v>
      </c>
      <c r="V1107" s="379"/>
      <c r="W1107" s="379"/>
      <c r="X1107" s="57" t="e">
        <f>IF(B1107&lt;&gt;0,VLOOKUP(B1107,#REF!,4,FALSE),"")</f>
        <v>#REF!</v>
      </c>
      <c r="Y1107" s="334" t="s">
        <v>3238</v>
      </c>
      <c r="Z1107" s="334">
        <f t="shared" si="319"/>
        <v>254.422</v>
      </c>
      <c r="AA1107" s="57"/>
      <c r="AB1107" s="58" t="e">
        <f>IF(B1107&lt;&gt;0,VLOOKUP(B1107,#REF!,2,FALSE),"")</f>
        <v>#REF!</v>
      </c>
    </row>
    <row r="1108" spans="1:28" s="55" customFormat="1" ht="15" customHeight="1">
      <c r="A1108" s="229" t="s">
        <v>1428</v>
      </c>
      <c r="B1108" s="229"/>
      <c r="C1108" s="229" t="s">
        <v>314</v>
      </c>
      <c r="D1108" s="230"/>
      <c r="E1108" s="230"/>
      <c r="F1108" s="230"/>
      <c r="G1108" s="22"/>
      <c r="H1108" s="230"/>
      <c r="I1108" s="445"/>
      <c r="J1108" s="440"/>
      <c r="K1108" s="440"/>
      <c r="L1108" s="440"/>
      <c r="M1108" s="440"/>
      <c r="N1108" s="440"/>
      <c r="O1108" s="440"/>
      <c r="P1108" s="492"/>
      <c r="Q1108" s="148">
        <f t="shared" si="328"/>
        <v>0</v>
      </c>
      <c r="R1108" s="440"/>
      <c r="S1108" s="440"/>
      <c r="T1108" s="148"/>
      <c r="U1108" s="148"/>
      <c r="V1108" s="330"/>
      <c r="W1108" s="330"/>
      <c r="X1108" s="58"/>
      <c r="Y1108" s="334"/>
      <c r="Z1108" s="334">
        <f t="shared" si="319"/>
        <v>0</v>
      </c>
      <c r="AA1108" s="58"/>
      <c r="AB1108" s="58"/>
    </row>
    <row r="1109" spans="1:28" s="55" customFormat="1" ht="45">
      <c r="A1109" s="19" t="s">
        <v>1429</v>
      </c>
      <c r="B1109" s="20">
        <v>11908</v>
      </c>
      <c r="C1109" s="19" t="s">
        <v>315</v>
      </c>
      <c r="D1109" s="21" t="s">
        <v>44</v>
      </c>
      <c r="E1109" s="21" t="s">
        <v>17</v>
      </c>
      <c r="F1109" s="22">
        <v>1</v>
      </c>
      <c r="G1109" s="22">
        <f t="shared" si="318"/>
        <v>38990.333000000006</v>
      </c>
      <c r="H1109" s="22">
        <f>ROUND(G1109*(1+$X$14),2)</f>
        <v>49443.64</v>
      </c>
      <c r="I1109" s="147">
        <f>ROUND(H1109*F1109,2)</f>
        <v>49443.64</v>
      </c>
      <c r="J1109" s="148"/>
      <c r="K1109" s="148"/>
      <c r="L1109" s="148"/>
      <c r="M1109" s="148">
        <v>72177.36</v>
      </c>
      <c r="N1109" s="148">
        <v>91528.11</v>
      </c>
      <c r="O1109" s="148">
        <v>91528.11</v>
      </c>
      <c r="P1109" s="494"/>
      <c r="Q1109" s="148">
        <f t="shared" si="328"/>
        <v>0</v>
      </c>
      <c r="R1109" s="148"/>
      <c r="S1109" s="148">
        <f>ROUND(R1109*P1109,2)</f>
        <v>0</v>
      </c>
      <c r="T1109" s="148">
        <f t="shared" si="336"/>
        <v>1</v>
      </c>
      <c r="U1109" s="148">
        <f t="shared" si="329"/>
        <v>91528.11</v>
      </c>
      <c r="V1109" s="379"/>
      <c r="W1109" s="379"/>
      <c r="X1109" s="57">
        <f>'COMPOSIÇÃO DE CUSTOS'!G1563</f>
        <v>38990.33</v>
      </c>
      <c r="Y1109" s="334">
        <v>45870.98</v>
      </c>
      <c r="Z1109" s="334">
        <f t="shared" si="319"/>
        <v>38990.333000000006</v>
      </c>
      <c r="AA1109" s="57"/>
      <c r="AB1109" s="58"/>
    </row>
    <row r="1110" spans="1:28" s="55" customFormat="1" ht="45">
      <c r="A1110" s="19" t="s">
        <v>1430</v>
      </c>
      <c r="B1110" s="20" t="s">
        <v>2416</v>
      </c>
      <c r="C1110" s="19" t="s">
        <v>316</v>
      </c>
      <c r="D1110" s="21" t="s">
        <v>1914</v>
      </c>
      <c r="E1110" s="21" t="s">
        <v>17</v>
      </c>
      <c r="F1110" s="22">
        <v>2</v>
      </c>
      <c r="G1110" s="22">
        <f>Y1110-(Y1110*$Y$15)</f>
        <v>25973.79</v>
      </c>
      <c r="H1110" s="22">
        <f>ROUND(G1110*(1+$X$14),2)</f>
        <v>32937.360000000001</v>
      </c>
      <c r="I1110" s="147">
        <f>ROUND(H1110*F1110,2)</f>
        <v>65874.720000000001</v>
      </c>
      <c r="J1110" s="148"/>
      <c r="K1110" s="148"/>
      <c r="L1110" s="148"/>
      <c r="M1110" s="148">
        <v>67335.64</v>
      </c>
      <c r="N1110" s="148">
        <v>85388.33</v>
      </c>
      <c r="O1110" s="148">
        <v>170776.66</v>
      </c>
      <c r="P1110" s="494"/>
      <c r="Q1110" s="148">
        <f t="shared" si="328"/>
        <v>0</v>
      </c>
      <c r="R1110" s="148"/>
      <c r="S1110" s="148">
        <f>ROUND(R1110*P1110,2)</f>
        <v>0</v>
      </c>
      <c r="T1110" s="148">
        <f t="shared" si="336"/>
        <v>2</v>
      </c>
      <c r="U1110" s="148">
        <f t="shared" si="329"/>
        <v>170776.66</v>
      </c>
      <c r="V1110" s="379"/>
      <c r="W1110" s="379"/>
      <c r="X1110" s="57">
        <f>'COMPOSIÇÃO DE CUSTOS'!G1570</f>
        <v>25973.79</v>
      </c>
      <c r="Y1110" s="334">
        <v>30557.4</v>
      </c>
      <c r="Z1110" s="334">
        <f t="shared" ref="Z1110:Z1237" si="337">F1110*G1110</f>
        <v>51947.58</v>
      </c>
      <c r="AA1110" s="57"/>
      <c r="AB1110" s="58"/>
    </row>
    <row r="1111" spans="1:28" s="55" customFormat="1" ht="15" customHeight="1">
      <c r="A1111" s="229" t="s">
        <v>1431</v>
      </c>
      <c r="B1111" s="229"/>
      <c r="C1111" s="229" t="s">
        <v>317</v>
      </c>
      <c r="D1111" s="230"/>
      <c r="E1111" s="230"/>
      <c r="F1111" s="230"/>
      <c r="G1111" s="22"/>
      <c r="H1111" s="230"/>
      <c r="I1111" s="445"/>
      <c r="J1111" s="440"/>
      <c r="K1111" s="440"/>
      <c r="L1111" s="440"/>
      <c r="M1111" s="440"/>
      <c r="N1111" s="440"/>
      <c r="O1111" s="440"/>
      <c r="P1111" s="492"/>
      <c r="Q1111" s="148">
        <f t="shared" si="328"/>
        <v>0</v>
      </c>
      <c r="R1111" s="440"/>
      <c r="S1111" s="440"/>
      <c r="T1111" s="148"/>
      <c r="U1111" s="148"/>
      <c r="V1111" s="330"/>
      <c r="W1111" s="330"/>
      <c r="X1111" s="58"/>
      <c r="Y1111" s="334"/>
      <c r="Z1111" s="334">
        <f t="shared" si="337"/>
        <v>0</v>
      </c>
      <c r="AA1111" s="58"/>
      <c r="AB1111" s="58"/>
    </row>
    <row r="1112" spans="1:28" s="55" customFormat="1" ht="32.25" customHeight="1">
      <c r="A1112" s="19" t="s">
        <v>1432</v>
      </c>
      <c r="B1112" s="20">
        <v>7384</v>
      </c>
      <c r="C1112" s="30" t="str">
        <f>C540</f>
        <v>FIXAÇÃO DE ELETROCALHA COM VERGALHÃO (TIRANTE) COM ROSCA TOTAL Ø 1/4"X1000MM</v>
      </c>
      <c r="D1112" s="21" t="s">
        <v>44</v>
      </c>
      <c r="E1112" s="21" t="s">
        <v>52</v>
      </c>
      <c r="F1112" s="22">
        <v>2</v>
      </c>
      <c r="G1112" s="22">
        <f>Y1112-(Y1112*$Y$15)</f>
        <v>19.244</v>
      </c>
      <c r="H1112" s="22">
        <f>ROUND(G1112*(1+$X$14),2)</f>
        <v>24.4</v>
      </c>
      <c r="I1112" s="147">
        <f>ROUND(H1112*F1112,2)</f>
        <v>48.8</v>
      </c>
      <c r="J1112" s="148"/>
      <c r="K1112" s="148"/>
      <c r="L1112" s="148"/>
      <c r="M1112" s="148">
        <v>21.44</v>
      </c>
      <c r="N1112" s="148">
        <v>27.19</v>
      </c>
      <c r="O1112" s="148">
        <v>54.38</v>
      </c>
      <c r="P1112" s="494"/>
      <c r="Q1112" s="148">
        <f t="shared" si="328"/>
        <v>0</v>
      </c>
      <c r="R1112" s="148"/>
      <c r="S1112" s="148">
        <f>ROUND(R1112*P1112,2)</f>
        <v>0</v>
      </c>
      <c r="T1112" s="148">
        <f t="shared" si="336"/>
        <v>2</v>
      </c>
      <c r="U1112" s="148">
        <f t="shared" si="329"/>
        <v>54.38</v>
      </c>
      <c r="V1112" s="379"/>
      <c r="W1112" s="379"/>
      <c r="X1112" s="57">
        <f>X540</f>
        <v>19.25</v>
      </c>
      <c r="Y1112" s="334">
        <v>22.64</v>
      </c>
      <c r="Z1112" s="334">
        <f t="shared" si="337"/>
        <v>38.488</v>
      </c>
      <c r="AA1112" s="57"/>
      <c r="AB1112" s="58"/>
    </row>
    <row r="1113" spans="1:28" s="55" customFormat="1" ht="30">
      <c r="A1113" s="19" t="s">
        <v>1433</v>
      </c>
      <c r="B1113" s="21" t="s">
        <v>2361</v>
      </c>
      <c r="C1113" s="19" t="s">
        <v>318</v>
      </c>
      <c r="D1113" s="21" t="s">
        <v>1914</v>
      </c>
      <c r="E1113" s="21" t="s">
        <v>52</v>
      </c>
      <c r="F1113" s="22">
        <v>97</v>
      </c>
      <c r="G1113" s="22">
        <f>Y1113-(Y1113*$Y$15)</f>
        <v>17.076499999999999</v>
      </c>
      <c r="H1113" s="22">
        <f>ROUND(G1113*(1+$X$14),2)</f>
        <v>21.65</v>
      </c>
      <c r="I1113" s="147">
        <f>ROUND(H1113*F1113,2)</f>
        <v>2100.0500000000002</v>
      </c>
      <c r="J1113" s="148"/>
      <c r="K1113" s="148"/>
      <c r="L1113" s="148"/>
      <c r="M1113" s="148">
        <v>19.02</v>
      </c>
      <c r="N1113" s="148">
        <v>24.12</v>
      </c>
      <c r="O1113" s="148">
        <v>2339.64</v>
      </c>
      <c r="P1113" s="494"/>
      <c r="Q1113" s="148">
        <f t="shared" si="328"/>
        <v>0</v>
      </c>
      <c r="R1113" s="148"/>
      <c r="S1113" s="148">
        <f>ROUND(R1113*P1113,2)</f>
        <v>0</v>
      </c>
      <c r="T1113" s="148">
        <f t="shared" ref="T1113:T1151" si="338">F1113+P1113-R1113</f>
        <v>97</v>
      </c>
      <c r="U1113" s="148">
        <f t="shared" si="329"/>
        <v>2339.64</v>
      </c>
      <c r="V1113" s="379"/>
      <c r="W1113" s="379"/>
      <c r="X1113" s="57">
        <f>'COMPOSIÇÃO DE CUSTOS'!G1581</f>
        <v>17.07</v>
      </c>
      <c r="Y1113" s="334">
        <v>20.09</v>
      </c>
      <c r="Z1113" s="334">
        <f t="shared" si="337"/>
        <v>1656.4204999999999</v>
      </c>
      <c r="AA1113" s="57"/>
      <c r="AB1113" s="58"/>
    </row>
    <row r="1114" spans="1:28" s="55" customFormat="1" ht="30">
      <c r="A1114" s="19" t="s">
        <v>1434</v>
      </c>
      <c r="B1114" s="20">
        <f>B541</f>
        <v>8697</v>
      </c>
      <c r="C1114" s="19" t="str">
        <f>C541</f>
        <v xml:space="preserve">SUPORTE VERTICAL 75 X 50 MM PARA FIXAÇÃO DE ELETROCALHA METÁLICA </v>
      </c>
      <c r="D1114" s="21" t="s">
        <v>44</v>
      </c>
      <c r="E1114" s="21" t="s">
        <v>17</v>
      </c>
      <c r="F1114" s="22">
        <v>5</v>
      </c>
      <c r="G1114" s="22">
        <f>Y1114-(Y1114*$Y$15)</f>
        <v>8.1940000000000008</v>
      </c>
      <c r="H1114" s="22">
        <f>ROUND(G1114*(1+$X$14),2)</f>
        <v>10.39</v>
      </c>
      <c r="I1114" s="147">
        <f>ROUND(H1114*F1114,2)</f>
        <v>51.95</v>
      </c>
      <c r="J1114" s="148"/>
      <c r="K1114" s="148"/>
      <c r="L1114" s="148"/>
      <c r="M1114" s="148">
        <v>9.1300000000000008</v>
      </c>
      <c r="N1114" s="148">
        <v>11.58</v>
      </c>
      <c r="O1114" s="148">
        <v>57.9</v>
      </c>
      <c r="P1114" s="494"/>
      <c r="Q1114" s="148">
        <f t="shared" si="328"/>
        <v>0</v>
      </c>
      <c r="R1114" s="148"/>
      <c r="S1114" s="148">
        <f>ROUND(R1114*P1114,2)</f>
        <v>0</v>
      </c>
      <c r="T1114" s="148">
        <f t="shared" si="338"/>
        <v>5</v>
      </c>
      <c r="U1114" s="148">
        <f t="shared" si="329"/>
        <v>57.9</v>
      </c>
      <c r="V1114" s="379"/>
      <c r="W1114" s="379"/>
      <c r="X1114" s="57">
        <f>X541</f>
        <v>8.19</v>
      </c>
      <c r="Y1114" s="334">
        <v>9.64</v>
      </c>
      <c r="Z1114" s="334">
        <f t="shared" si="337"/>
        <v>40.970000000000006</v>
      </c>
      <c r="AA1114" s="57"/>
      <c r="AB1114" s="58"/>
    </row>
    <row r="1115" spans="1:28" s="55" customFormat="1">
      <c r="A1115" s="229" t="s">
        <v>1435</v>
      </c>
      <c r="B1115" s="229"/>
      <c r="C1115" s="229" t="s">
        <v>252</v>
      </c>
      <c r="D1115" s="230"/>
      <c r="E1115" s="230"/>
      <c r="F1115" s="230"/>
      <c r="G1115" s="22"/>
      <c r="H1115" s="230"/>
      <c r="I1115" s="445"/>
      <c r="J1115" s="440"/>
      <c r="K1115" s="440"/>
      <c r="L1115" s="440"/>
      <c r="M1115" s="440"/>
      <c r="N1115" s="440"/>
      <c r="O1115" s="440"/>
      <c r="P1115" s="492"/>
      <c r="Q1115" s="148">
        <f t="shared" si="328"/>
        <v>0</v>
      </c>
      <c r="R1115" s="440"/>
      <c r="S1115" s="440"/>
      <c r="T1115" s="148"/>
      <c r="U1115" s="148"/>
      <c r="V1115" s="330"/>
      <c r="W1115" s="330"/>
      <c r="X1115" s="58"/>
      <c r="Y1115" s="334"/>
      <c r="Z1115" s="334">
        <f t="shared" si="337"/>
        <v>0</v>
      </c>
      <c r="AA1115" s="58"/>
      <c r="AB1115" s="58"/>
    </row>
    <row r="1116" spans="1:28" s="55" customFormat="1" ht="30">
      <c r="A1116" s="19" t="s">
        <v>1436</v>
      </c>
      <c r="B1116" s="20">
        <v>12844</v>
      </c>
      <c r="C1116" s="19" t="s">
        <v>2375</v>
      </c>
      <c r="D1116" s="21" t="s">
        <v>44</v>
      </c>
      <c r="E1116" s="21" t="s">
        <v>17</v>
      </c>
      <c r="F1116" s="22">
        <v>2</v>
      </c>
      <c r="G1116" s="22">
        <f>Y1116-(Y1116*$Y$15)</f>
        <v>491.46150000000006</v>
      </c>
      <c r="H1116" s="22">
        <f t="shared" ref="H1116:H1122" si="339">ROUND(G1116*(1+$X$14),2)</f>
        <v>623.22</v>
      </c>
      <c r="I1116" s="147">
        <f t="shared" ref="I1116:I1152" si="340">ROUND(H1116*F1116,2)</f>
        <v>1246.44</v>
      </c>
      <c r="J1116" s="148"/>
      <c r="K1116" s="148"/>
      <c r="L1116" s="148"/>
      <c r="M1116" s="148">
        <v>547.49</v>
      </c>
      <c r="N1116" s="148">
        <v>694.27</v>
      </c>
      <c r="O1116" s="148">
        <v>1388.54</v>
      </c>
      <c r="P1116" s="494"/>
      <c r="Q1116" s="148">
        <f t="shared" si="328"/>
        <v>0</v>
      </c>
      <c r="R1116" s="148"/>
      <c r="S1116" s="148">
        <f t="shared" ref="S1116:S1125" si="341">ROUND(R1116*P1116,2)</f>
        <v>0</v>
      </c>
      <c r="T1116" s="148">
        <f t="shared" si="338"/>
        <v>2</v>
      </c>
      <c r="U1116" s="148">
        <f t="shared" si="329"/>
        <v>1388.54</v>
      </c>
      <c r="V1116" s="379"/>
      <c r="W1116" s="379"/>
      <c r="X1116" s="57">
        <f>'COMPOSIÇÃO DE CUSTOS'!G1781</f>
        <v>491.46</v>
      </c>
      <c r="Y1116" s="334">
        <v>578.19000000000005</v>
      </c>
      <c r="Z1116" s="334">
        <f t="shared" si="337"/>
        <v>982.92300000000012</v>
      </c>
      <c r="AA1116" s="57"/>
      <c r="AB1116" s="58"/>
    </row>
    <row r="1117" spans="1:28" s="55" customFormat="1" ht="60">
      <c r="A1117" s="19" t="s">
        <v>2371</v>
      </c>
      <c r="B1117" s="20">
        <v>11103</v>
      </c>
      <c r="C1117" s="19" t="s">
        <v>2370</v>
      </c>
      <c r="D1117" s="21" t="s">
        <v>44</v>
      </c>
      <c r="E1117" s="21" t="s">
        <v>17</v>
      </c>
      <c r="F1117" s="22">
        <v>3</v>
      </c>
      <c r="G1117" s="22">
        <f>Y1117-(Y1117*$Y$15)</f>
        <v>7342.1640000000007</v>
      </c>
      <c r="H1117" s="22">
        <f t="shared" si="339"/>
        <v>9310.6</v>
      </c>
      <c r="I1117" s="147">
        <f t="shared" si="340"/>
        <v>27931.8</v>
      </c>
      <c r="J1117" s="148"/>
      <c r="K1117" s="148"/>
      <c r="L1117" s="148"/>
      <c r="M1117" s="148">
        <v>7786.02</v>
      </c>
      <c r="N1117" s="148">
        <v>9873.4500000000007</v>
      </c>
      <c r="O1117" s="148">
        <v>29620.35</v>
      </c>
      <c r="P1117" s="494"/>
      <c r="Q1117" s="148">
        <f t="shared" si="328"/>
        <v>0</v>
      </c>
      <c r="R1117" s="148"/>
      <c r="S1117" s="148">
        <f t="shared" si="341"/>
        <v>0</v>
      </c>
      <c r="T1117" s="148">
        <f t="shared" si="338"/>
        <v>3</v>
      </c>
      <c r="U1117" s="148">
        <f t="shared" si="329"/>
        <v>29620.35</v>
      </c>
      <c r="V1117" s="379"/>
      <c r="W1117" s="379"/>
      <c r="X1117" s="57">
        <f>'COMPOSIÇÃO DE CUSTOS'!G1787</f>
        <v>7342.16</v>
      </c>
      <c r="Y1117" s="334">
        <v>8637.84</v>
      </c>
      <c r="Z1117" s="334">
        <f t="shared" si="337"/>
        <v>22026.492000000002</v>
      </c>
      <c r="AA1117" s="57"/>
      <c r="AB1117" s="58"/>
    </row>
    <row r="1118" spans="1:28" s="55" customFormat="1" ht="45">
      <c r="A1118" s="19" t="s">
        <v>2372</v>
      </c>
      <c r="B1118" s="20">
        <v>11542</v>
      </c>
      <c r="C1118" s="19" t="s">
        <v>2369</v>
      </c>
      <c r="D1118" s="21" t="s">
        <v>44</v>
      </c>
      <c r="E1118" s="21" t="s">
        <v>17</v>
      </c>
      <c r="F1118" s="22">
        <v>15</v>
      </c>
      <c r="G1118" s="22">
        <f>Y1118-(Y1118*$Y$15)</f>
        <v>407.84699999999998</v>
      </c>
      <c r="H1118" s="22">
        <f t="shared" si="339"/>
        <v>517.19000000000005</v>
      </c>
      <c r="I1118" s="147">
        <f t="shared" si="340"/>
        <v>7757.85</v>
      </c>
      <c r="J1118" s="148"/>
      <c r="K1118" s="148"/>
      <c r="L1118" s="148"/>
      <c r="M1118" s="148">
        <v>454.34</v>
      </c>
      <c r="N1118" s="148">
        <v>576.15</v>
      </c>
      <c r="O1118" s="148">
        <v>8642.25</v>
      </c>
      <c r="P1118" s="494"/>
      <c r="Q1118" s="148">
        <f>ROUND(P1118*N1118,2)</f>
        <v>0</v>
      </c>
      <c r="R1118" s="148"/>
      <c r="S1118" s="148">
        <f t="shared" si="341"/>
        <v>0</v>
      </c>
      <c r="T1118" s="148">
        <f t="shared" si="338"/>
        <v>15</v>
      </c>
      <c r="U1118" s="148">
        <f t="shared" si="329"/>
        <v>8642.25</v>
      </c>
      <c r="V1118" s="379"/>
      <c r="W1118" s="379"/>
      <c r="X1118" s="57">
        <f>'COMPOSIÇÃO DE CUSTOS'!G1799</f>
        <v>407.84</v>
      </c>
      <c r="Y1118" s="334">
        <v>479.82</v>
      </c>
      <c r="Z1118" s="334">
        <f t="shared" si="337"/>
        <v>6117.7049999999999</v>
      </c>
      <c r="AA1118" s="57"/>
      <c r="AB1118" s="58"/>
    </row>
    <row r="1119" spans="1:28" s="55" customFormat="1" ht="37.5" customHeight="1">
      <c r="A1119" s="19" t="s">
        <v>2373</v>
      </c>
      <c r="B1119" s="20">
        <v>101907</v>
      </c>
      <c r="C1119" s="19" t="s">
        <v>181</v>
      </c>
      <c r="D1119" s="21" t="s">
        <v>12</v>
      </c>
      <c r="E1119" s="21" t="s">
        <v>17</v>
      </c>
      <c r="F1119" s="22">
        <v>1</v>
      </c>
      <c r="G1119" s="22">
        <f>Y1119-(Y1119*$Y$15)</f>
        <v>516.0095</v>
      </c>
      <c r="H1119" s="22">
        <f t="shared" si="339"/>
        <v>654.35</v>
      </c>
      <c r="I1119" s="147">
        <f t="shared" si="340"/>
        <v>654.35</v>
      </c>
      <c r="J1119" s="148"/>
      <c r="K1119" s="148"/>
      <c r="L1119" s="148"/>
      <c r="M1119" s="148">
        <v>574.84</v>
      </c>
      <c r="N1119" s="148">
        <v>728.95</v>
      </c>
      <c r="O1119" s="148">
        <v>728.95</v>
      </c>
      <c r="P1119" s="494"/>
      <c r="Q1119" s="148">
        <f t="shared" si="328"/>
        <v>0</v>
      </c>
      <c r="R1119" s="148"/>
      <c r="S1119" s="148">
        <f t="shared" si="341"/>
        <v>0</v>
      </c>
      <c r="T1119" s="148">
        <f t="shared" si="338"/>
        <v>1</v>
      </c>
      <c r="U1119" s="148">
        <f t="shared" si="329"/>
        <v>728.95</v>
      </c>
      <c r="V1119" s="379"/>
      <c r="W1119" s="379"/>
      <c r="X1119" s="57" t="e">
        <f>IF(B1119&lt;&gt;0,VLOOKUP(B1119,#REF!,4,FALSE),"")</f>
        <v>#REF!</v>
      </c>
      <c r="Y1119" s="334" t="s">
        <v>3263</v>
      </c>
      <c r="Z1119" s="334">
        <f t="shared" si="337"/>
        <v>516.0095</v>
      </c>
      <c r="AA1119" s="57"/>
      <c r="AB1119" s="58" t="e">
        <f>IF(B1119&lt;&gt;0,VLOOKUP(B1119,#REF!,2,FALSE),"")</f>
        <v>#REF!</v>
      </c>
    </row>
    <row r="1120" spans="1:28" s="55" customFormat="1" ht="30">
      <c r="A1120" s="19" t="s">
        <v>2374</v>
      </c>
      <c r="B1120" s="20">
        <v>3922</v>
      </c>
      <c r="C1120" s="19" t="s">
        <v>320</v>
      </c>
      <c r="D1120" s="21" t="s">
        <v>1914</v>
      </c>
      <c r="E1120" s="21" t="s">
        <v>68</v>
      </c>
      <c r="F1120" s="22">
        <v>3</v>
      </c>
      <c r="G1120" s="22">
        <f>Y1120-(Y1120*$Y$15)</f>
        <v>46.962499999999999</v>
      </c>
      <c r="H1120" s="22">
        <f t="shared" si="339"/>
        <v>59.55</v>
      </c>
      <c r="I1120" s="147">
        <f t="shared" si="340"/>
        <v>178.65</v>
      </c>
      <c r="J1120" s="148"/>
      <c r="K1120" s="148"/>
      <c r="L1120" s="148"/>
      <c r="M1120" s="148">
        <v>52.32</v>
      </c>
      <c r="N1120" s="148">
        <v>66.349999999999994</v>
      </c>
      <c r="O1120" s="148">
        <v>199.05</v>
      </c>
      <c r="P1120" s="494"/>
      <c r="Q1120" s="148">
        <f>ROUND(P1120*N1120,2)</f>
        <v>0</v>
      </c>
      <c r="R1120" s="148"/>
      <c r="S1120" s="148">
        <f t="shared" si="341"/>
        <v>0</v>
      </c>
      <c r="T1120" s="148">
        <f t="shared" si="338"/>
        <v>3</v>
      </c>
      <c r="U1120" s="148">
        <f t="shared" si="329"/>
        <v>199.05</v>
      </c>
      <c r="V1120" s="379"/>
      <c r="W1120" s="379"/>
      <c r="X1120" s="57">
        <f>'COMPOSIÇÃO DE CUSTOS'!G1589</f>
        <v>46.96</v>
      </c>
      <c r="Y1120" s="334">
        <v>55.25</v>
      </c>
      <c r="Z1120" s="334">
        <f t="shared" si="337"/>
        <v>140.88749999999999</v>
      </c>
      <c r="AA1120" s="57"/>
      <c r="AB1120" s="58"/>
    </row>
    <row r="1121" spans="1:28" s="55" customFormat="1">
      <c r="A1121" s="449" t="s">
        <v>3963</v>
      </c>
      <c r="B1121" s="448">
        <v>98459</v>
      </c>
      <c r="C1121" s="449" t="s">
        <v>3006</v>
      </c>
      <c r="D1121" s="447" t="s">
        <v>12</v>
      </c>
      <c r="E1121" s="447" t="s">
        <v>26</v>
      </c>
      <c r="F1121" s="450"/>
      <c r="G1121" s="450">
        <f>G39</f>
        <v>79.9255</v>
      </c>
      <c r="H1121" s="450">
        <f t="shared" si="339"/>
        <v>101.35</v>
      </c>
      <c r="I1121" s="451">
        <f t="shared" si="340"/>
        <v>0</v>
      </c>
      <c r="J1121" s="452"/>
      <c r="K1121" s="452"/>
      <c r="L1121" s="452"/>
      <c r="M1121" s="452"/>
      <c r="N1121" s="452"/>
      <c r="O1121" s="452"/>
      <c r="P1121" s="493">
        <f>(38*2+5*2)*2.1</f>
        <v>180.6</v>
      </c>
      <c r="Q1121" s="452">
        <f>ROUND(P1121*H1121*$S$16,2)</f>
        <v>20390.599999999999</v>
      </c>
      <c r="R1121" s="452"/>
      <c r="S1121" s="452">
        <f t="shared" si="341"/>
        <v>0</v>
      </c>
      <c r="T1121" s="452">
        <f t="shared" si="338"/>
        <v>180.6</v>
      </c>
      <c r="U1121" s="452">
        <f t="shared" si="329"/>
        <v>20390.599999999999</v>
      </c>
      <c r="V1121" s="379"/>
      <c r="W1121" s="379"/>
      <c r="X1121" s="57"/>
      <c r="Y1121" s="334"/>
      <c r="Z1121" s="334"/>
      <c r="AA1121" s="57"/>
      <c r="AB1121" s="58"/>
    </row>
    <row r="1122" spans="1:28" s="55" customFormat="1" ht="30">
      <c r="A1122" s="449" t="s">
        <v>3964</v>
      </c>
      <c r="B1122" s="448">
        <v>97635</v>
      </c>
      <c r="C1122" s="449" t="s">
        <v>3007</v>
      </c>
      <c r="D1122" s="447" t="s">
        <v>12</v>
      </c>
      <c r="E1122" s="447" t="s">
        <v>26</v>
      </c>
      <c r="F1122" s="450"/>
      <c r="G1122" s="450">
        <f>G46</f>
        <v>8.7635000000000005</v>
      </c>
      <c r="H1122" s="450">
        <f t="shared" si="339"/>
        <v>11.11</v>
      </c>
      <c r="I1122" s="451">
        <f t="shared" si="340"/>
        <v>0</v>
      </c>
      <c r="J1122" s="452"/>
      <c r="K1122" s="452"/>
      <c r="L1122" s="452"/>
      <c r="M1122" s="452"/>
      <c r="N1122" s="452"/>
      <c r="O1122" s="452"/>
      <c r="P1122" s="493">
        <f>((38+2)*(5+2))</f>
        <v>280</v>
      </c>
      <c r="Q1122" s="452">
        <f t="shared" ref="Q1122:Q1125" si="342">ROUND(P1122*H1122*$S$16,2)</f>
        <v>3465.46</v>
      </c>
      <c r="R1122" s="452"/>
      <c r="S1122" s="452">
        <f t="shared" si="341"/>
        <v>0</v>
      </c>
      <c r="T1122" s="452">
        <f t="shared" si="338"/>
        <v>280</v>
      </c>
      <c r="U1122" s="452">
        <f t="shared" si="329"/>
        <v>3465.46</v>
      </c>
      <c r="V1122" s="379"/>
      <c r="W1122" s="379"/>
      <c r="X1122" s="57"/>
      <c r="Y1122" s="334"/>
      <c r="Z1122" s="334"/>
      <c r="AA1122" s="57"/>
      <c r="AB1122" s="58"/>
    </row>
    <row r="1123" spans="1:28" s="55" customFormat="1" ht="45">
      <c r="A1123" s="449" t="s">
        <v>3965</v>
      </c>
      <c r="B1123" s="448">
        <v>72895</v>
      </c>
      <c r="C1123" s="449" t="s">
        <v>38</v>
      </c>
      <c r="D1123" s="447" t="s">
        <v>1914</v>
      </c>
      <c r="E1123" s="447" t="s">
        <v>35</v>
      </c>
      <c r="F1123" s="450"/>
      <c r="G1123" s="450">
        <f>G63</f>
        <v>15.8355</v>
      </c>
      <c r="H1123" s="450">
        <f>ROUND(G1123*(1+$X$14),2)</f>
        <v>20.079999999999998</v>
      </c>
      <c r="I1123" s="451">
        <f t="shared" si="340"/>
        <v>0</v>
      </c>
      <c r="J1123" s="452"/>
      <c r="K1123" s="452"/>
      <c r="L1123" s="452"/>
      <c r="M1123" s="452"/>
      <c r="N1123" s="452"/>
      <c r="O1123" s="452"/>
      <c r="P1123" s="493">
        <f>P1122*0.1*1.4</f>
        <v>39.199999999999996</v>
      </c>
      <c r="Q1123" s="452">
        <f>ROUND(P1123*H1123*$S$16,2)</f>
        <v>876.88</v>
      </c>
      <c r="R1123" s="452"/>
      <c r="S1123" s="452">
        <f t="shared" si="341"/>
        <v>0</v>
      </c>
      <c r="T1123" s="452">
        <f t="shared" si="338"/>
        <v>39.199999999999996</v>
      </c>
      <c r="U1123" s="452">
        <f t="shared" si="329"/>
        <v>876.88</v>
      </c>
      <c r="V1123" s="379"/>
      <c r="W1123" s="379"/>
      <c r="X1123" s="57"/>
      <c r="Y1123" s="334"/>
      <c r="Z1123" s="334"/>
      <c r="AA1123" s="57"/>
      <c r="AB1123" s="58"/>
    </row>
    <row r="1124" spans="1:28" s="55" customFormat="1" ht="45">
      <c r="A1124" s="449" t="s">
        <v>3966</v>
      </c>
      <c r="B1124" s="447">
        <f>'COMPOSIÇÃO DE CUSTOS'!G3242</f>
        <v>0</v>
      </c>
      <c r="C1124" s="449" t="s">
        <v>29</v>
      </c>
      <c r="D1124" s="447" t="s">
        <v>1914</v>
      </c>
      <c r="E1124" s="447" t="s">
        <v>26</v>
      </c>
      <c r="F1124" s="450"/>
      <c r="G1124" s="450">
        <f>G51</f>
        <v>10.922499999999999</v>
      </c>
      <c r="H1124" s="450">
        <f>ROUND(G1124*(1+$X$14),2)</f>
        <v>13.85</v>
      </c>
      <c r="I1124" s="451">
        <f t="shared" si="340"/>
        <v>0</v>
      </c>
      <c r="J1124" s="452"/>
      <c r="K1124" s="452"/>
      <c r="L1124" s="452"/>
      <c r="M1124" s="452"/>
      <c r="N1124" s="452"/>
      <c r="O1124" s="452"/>
      <c r="P1124" s="493">
        <f>38*5</f>
        <v>190</v>
      </c>
      <c r="Q1124" s="452">
        <f t="shared" si="342"/>
        <v>2931.51</v>
      </c>
      <c r="R1124" s="452"/>
      <c r="S1124" s="452">
        <f t="shared" si="341"/>
        <v>0</v>
      </c>
      <c r="T1124" s="452">
        <f t="shared" si="338"/>
        <v>190</v>
      </c>
      <c r="U1124" s="452">
        <f t="shared" si="329"/>
        <v>2931.51</v>
      </c>
      <c r="V1124" s="379"/>
      <c r="W1124" s="379"/>
      <c r="X1124" s="57"/>
      <c r="Y1124" s="334"/>
      <c r="Z1124" s="334"/>
      <c r="AA1124" s="57"/>
      <c r="AB1124" s="58"/>
    </row>
    <row r="1125" spans="1:28" s="55" customFormat="1" ht="30">
      <c r="A1125" s="449" t="s">
        <v>3967</v>
      </c>
      <c r="B1125" s="448">
        <v>79480</v>
      </c>
      <c r="C1125" s="449" t="s">
        <v>34</v>
      </c>
      <c r="D1125" s="447" t="s">
        <v>1914</v>
      </c>
      <c r="E1125" s="447" t="s">
        <v>35</v>
      </c>
      <c r="F1125" s="450"/>
      <c r="G1125" s="450">
        <f>G57</f>
        <v>2.0995000000000004</v>
      </c>
      <c r="H1125" s="450">
        <f>ROUND(G1125*(1+$X$14),2)</f>
        <v>2.66</v>
      </c>
      <c r="I1125" s="451">
        <f t="shared" si="340"/>
        <v>0</v>
      </c>
      <c r="J1125" s="452"/>
      <c r="K1125" s="452"/>
      <c r="L1125" s="452"/>
      <c r="M1125" s="452"/>
      <c r="N1125" s="452"/>
      <c r="O1125" s="452"/>
      <c r="P1125" s="493">
        <v>109.72</v>
      </c>
      <c r="Q1125" s="452">
        <f t="shared" si="342"/>
        <v>325.13</v>
      </c>
      <c r="R1125" s="452"/>
      <c r="S1125" s="452">
        <f t="shared" si="341"/>
        <v>0</v>
      </c>
      <c r="T1125" s="452">
        <f t="shared" si="338"/>
        <v>109.72</v>
      </c>
      <c r="U1125" s="452">
        <f t="shared" si="329"/>
        <v>325.13</v>
      </c>
      <c r="V1125" s="379"/>
      <c r="W1125" s="379"/>
      <c r="X1125" s="57"/>
      <c r="Y1125" s="334"/>
      <c r="Z1125" s="334"/>
      <c r="AA1125" s="57"/>
      <c r="AB1125" s="58"/>
    </row>
    <row r="1126" spans="1:28" s="55" customFormat="1" ht="30">
      <c r="A1126" s="449" t="s">
        <v>3968</v>
      </c>
      <c r="B1126" s="447" t="s">
        <v>2045</v>
      </c>
      <c r="C1126" s="449" t="s">
        <v>43</v>
      </c>
      <c r="D1126" s="447" t="s">
        <v>1914</v>
      </c>
      <c r="E1126" s="447" t="s">
        <v>26</v>
      </c>
      <c r="F1126" s="450"/>
      <c r="G1126" s="450">
        <f>G70</f>
        <v>96.72999999999999</v>
      </c>
      <c r="H1126" s="450">
        <f t="shared" ref="H1126:H1151" si="343">ROUND(G1126*(1+$X$14),2)</f>
        <v>122.66</v>
      </c>
      <c r="I1126" s="451">
        <f t="shared" si="340"/>
        <v>0</v>
      </c>
      <c r="J1126" s="452"/>
      <c r="K1126" s="452"/>
      <c r="L1126" s="452"/>
      <c r="M1126" s="452"/>
      <c r="N1126" s="452"/>
      <c r="O1126" s="452"/>
      <c r="P1126" s="493">
        <f>10*4*0.6*0.3</f>
        <v>7.1999999999999993</v>
      </c>
      <c r="Q1126" s="452">
        <f>ROUND(P1126*H1126*$S$16,2)</f>
        <v>983.84</v>
      </c>
      <c r="R1126" s="452"/>
      <c r="S1126" s="452">
        <f>ROUND(R1126*P1126,2)</f>
        <v>0</v>
      </c>
      <c r="T1126" s="452">
        <f>F1126+P1126-R1126</f>
        <v>7.1999999999999993</v>
      </c>
      <c r="U1126" s="452">
        <f t="shared" ref="U1126:U1139" si="344">O1126+Q1126-S1126+L1126</f>
        <v>983.84</v>
      </c>
      <c r="V1126" s="379"/>
      <c r="W1126" s="379"/>
      <c r="X1126" s="57"/>
      <c r="Y1126" s="334"/>
      <c r="Z1126" s="334"/>
      <c r="AA1126" s="57"/>
      <c r="AB1126" s="58"/>
    </row>
    <row r="1127" spans="1:28" s="55" customFormat="1" ht="45">
      <c r="A1127" s="449" t="s">
        <v>3969</v>
      </c>
      <c r="B1127" s="448">
        <v>94966</v>
      </c>
      <c r="C1127" s="449" t="s">
        <v>1530</v>
      </c>
      <c r="D1127" s="447" t="s">
        <v>12</v>
      </c>
      <c r="E1127" s="447" t="s">
        <v>35</v>
      </c>
      <c r="F1127" s="450"/>
      <c r="G1127" s="450">
        <f>G74</f>
        <v>360.38300000000004</v>
      </c>
      <c r="H1127" s="450">
        <f t="shared" si="343"/>
        <v>457</v>
      </c>
      <c r="I1127" s="451">
        <f t="shared" si="340"/>
        <v>0</v>
      </c>
      <c r="J1127" s="452"/>
      <c r="K1127" s="452"/>
      <c r="L1127" s="452"/>
      <c r="M1127" s="452"/>
      <c r="N1127" s="452"/>
      <c r="O1127" s="452"/>
      <c r="P1127" s="493">
        <f>10*(0.6*0.6*0.3)</f>
        <v>1.08</v>
      </c>
      <c r="Q1127" s="452">
        <f t="shared" ref="Q1127" si="345">ROUND(P1127*H1127*$S$16,2)</f>
        <v>549.83000000000004</v>
      </c>
      <c r="R1127" s="452"/>
      <c r="S1127" s="452">
        <f t="shared" ref="S1127:S1139" si="346">ROUND(R1127*P1127,2)</f>
        <v>0</v>
      </c>
      <c r="T1127" s="452">
        <f t="shared" ref="T1127:T1139" si="347">F1127+P1127-R1127</f>
        <v>1.08</v>
      </c>
      <c r="U1127" s="452">
        <f t="shared" si="344"/>
        <v>549.83000000000004</v>
      </c>
      <c r="V1127" s="379"/>
      <c r="W1127" s="379"/>
      <c r="X1127" s="57"/>
      <c r="Y1127" s="334"/>
      <c r="Z1127" s="334"/>
      <c r="AA1127" s="57"/>
      <c r="AB1127" s="58"/>
    </row>
    <row r="1128" spans="1:28" s="55" customFormat="1" ht="30">
      <c r="A1128" s="449" t="s">
        <v>3970</v>
      </c>
      <c r="B1128" s="447" t="s">
        <v>46</v>
      </c>
      <c r="C1128" s="449" t="s">
        <v>47</v>
      </c>
      <c r="D1128" s="447" t="s">
        <v>1914</v>
      </c>
      <c r="E1128" s="447" t="s">
        <v>35</v>
      </c>
      <c r="F1128" s="450"/>
      <c r="G1128" s="450">
        <f>G75</f>
        <v>78.472000000000008</v>
      </c>
      <c r="H1128" s="450">
        <f t="shared" si="343"/>
        <v>99.51</v>
      </c>
      <c r="I1128" s="451">
        <f t="shared" si="340"/>
        <v>0</v>
      </c>
      <c r="J1128" s="452"/>
      <c r="K1128" s="452"/>
      <c r="L1128" s="452"/>
      <c r="M1128" s="452"/>
      <c r="N1128" s="452"/>
      <c r="O1128" s="452"/>
      <c r="P1128" s="493">
        <f>P1127</f>
        <v>1.08</v>
      </c>
      <c r="Q1128" s="452">
        <f>ROUND(P1128*H1128*$S$16,2)</f>
        <v>119.72</v>
      </c>
      <c r="R1128" s="452"/>
      <c r="S1128" s="452">
        <f t="shared" si="346"/>
        <v>0</v>
      </c>
      <c r="T1128" s="452">
        <f t="shared" si="347"/>
        <v>1.08</v>
      </c>
      <c r="U1128" s="452">
        <f t="shared" si="344"/>
        <v>119.72</v>
      </c>
      <c r="V1128" s="379"/>
      <c r="W1128" s="379"/>
      <c r="X1128" s="57"/>
      <c r="Y1128" s="334"/>
      <c r="Z1128" s="334"/>
      <c r="AA1128" s="57"/>
      <c r="AB1128" s="58"/>
    </row>
    <row r="1129" spans="1:28" s="55" customFormat="1" ht="75">
      <c r="A1129" s="449" t="s">
        <v>4006</v>
      </c>
      <c r="B1129" s="448">
        <v>92408</v>
      </c>
      <c r="C1129" s="449" t="s">
        <v>1551</v>
      </c>
      <c r="D1129" s="447" t="s">
        <v>1914</v>
      </c>
      <c r="E1129" s="447" t="s">
        <v>26</v>
      </c>
      <c r="F1129" s="450"/>
      <c r="G1129" s="450">
        <f>G153</f>
        <v>202.05349999999999</v>
      </c>
      <c r="H1129" s="450">
        <f t="shared" si="343"/>
        <v>256.22000000000003</v>
      </c>
      <c r="I1129" s="451">
        <f t="shared" si="340"/>
        <v>0</v>
      </c>
      <c r="J1129" s="452"/>
      <c r="K1129" s="452"/>
      <c r="L1129" s="452"/>
      <c r="M1129" s="452">
        <f>M153</f>
        <v>300.26</v>
      </c>
      <c r="N1129" s="452">
        <f>N153</f>
        <v>380.76</v>
      </c>
      <c r="O1129" s="452"/>
      <c r="P1129" s="493">
        <f>10*4*0.2*(3.3+0.8)</f>
        <v>32.799999999999997</v>
      </c>
      <c r="Q1129" s="452">
        <f t="shared" ref="Q1129:Q1136" si="348">ROUND(P1129*N1129,2)</f>
        <v>12488.93</v>
      </c>
      <c r="R1129" s="452"/>
      <c r="S1129" s="452">
        <f t="shared" si="346"/>
        <v>0</v>
      </c>
      <c r="T1129" s="452">
        <f t="shared" si="347"/>
        <v>32.799999999999997</v>
      </c>
      <c r="U1129" s="452">
        <f t="shared" si="344"/>
        <v>12488.93</v>
      </c>
      <c r="V1129" s="379"/>
      <c r="W1129" s="379"/>
      <c r="X1129" s="57"/>
      <c r="Y1129" s="334"/>
      <c r="Z1129" s="334"/>
      <c r="AA1129" s="57"/>
      <c r="AB1129" s="58"/>
    </row>
    <row r="1130" spans="1:28" s="55" customFormat="1" ht="60">
      <c r="A1130" s="449" t="s">
        <v>3971</v>
      </c>
      <c r="B1130" s="448">
        <v>92720</v>
      </c>
      <c r="C1130" s="449" t="s">
        <v>1554</v>
      </c>
      <c r="D1130" s="447" t="s">
        <v>1914</v>
      </c>
      <c r="E1130" s="447" t="s">
        <v>35</v>
      </c>
      <c r="F1130" s="450"/>
      <c r="G1130" s="450">
        <f>G162</f>
        <v>396.94150000000002</v>
      </c>
      <c r="H1130" s="450">
        <f t="shared" si="343"/>
        <v>503.36</v>
      </c>
      <c r="I1130" s="451">
        <f t="shared" si="340"/>
        <v>0</v>
      </c>
      <c r="J1130" s="452"/>
      <c r="K1130" s="452"/>
      <c r="L1130" s="452"/>
      <c r="M1130" s="452">
        <f>M162</f>
        <v>442.2</v>
      </c>
      <c r="N1130" s="452">
        <f>N162</f>
        <v>560.75</v>
      </c>
      <c r="O1130" s="452"/>
      <c r="P1130" s="493">
        <f>10*(0.2*0.2*(3.3+0.8))+20*0.15*0.15*0.5</f>
        <v>1.8650000000000002</v>
      </c>
      <c r="Q1130" s="452">
        <f t="shared" si="348"/>
        <v>1045.8</v>
      </c>
      <c r="R1130" s="452"/>
      <c r="S1130" s="452">
        <f t="shared" si="346"/>
        <v>0</v>
      </c>
      <c r="T1130" s="452">
        <f t="shared" si="347"/>
        <v>1.8650000000000002</v>
      </c>
      <c r="U1130" s="452">
        <f t="shared" si="344"/>
        <v>1045.8</v>
      </c>
      <c r="V1130" s="379"/>
      <c r="W1130" s="379"/>
      <c r="X1130" s="57"/>
      <c r="Y1130" s="334"/>
      <c r="Z1130" s="334"/>
      <c r="AA1130" s="57"/>
      <c r="AB1130" s="58"/>
    </row>
    <row r="1131" spans="1:28" s="55" customFormat="1" ht="60">
      <c r="A1131" s="449" t="s">
        <v>3972</v>
      </c>
      <c r="B1131" s="527">
        <v>92452</v>
      </c>
      <c r="C1131" s="449" t="s">
        <v>1832</v>
      </c>
      <c r="D1131" s="447" t="s">
        <v>12</v>
      </c>
      <c r="E1131" s="447" t="s">
        <v>26</v>
      </c>
      <c r="F1131" s="450"/>
      <c r="G1131" s="450">
        <f>G164</f>
        <v>86.716999999999999</v>
      </c>
      <c r="H1131" s="450">
        <f t="shared" si="343"/>
        <v>109.97</v>
      </c>
      <c r="I1131" s="451">
        <f t="shared" si="340"/>
        <v>0</v>
      </c>
      <c r="J1131" s="452"/>
      <c r="K1131" s="452"/>
      <c r="L1131" s="452"/>
      <c r="M1131" s="452">
        <f t="shared" ref="M1131:N1133" si="349">M164</f>
        <v>124.60000000000001</v>
      </c>
      <c r="N1131" s="452">
        <f t="shared" si="349"/>
        <v>158.01</v>
      </c>
      <c r="O1131" s="452"/>
      <c r="P1131" s="493">
        <f>2*2*0.4*15.5+2*5*0.4*5</f>
        <v>44.8</v>
      </c>
      <c r="Q1131" s="452">
        <f t="shared" si="348"/>
        <v>7078.85</v>
      </c>
      <c r="R1131" s="452"/>
      <c r="S1131" s="452">
        <f t="shared" si="346"/>
        <v>0</v>
      </c>
      <c r="T1131" s="452">
        <f t="shared" si="347"/>
        <v>44.8</v>
      </c>
      <c r="U1131" s="452">
        <f t="shared" si="344"/>
        <v>7078.85</v>
      </c>
      <c r="V1131" s="379"/>
      <c r="W1131" s="379"/>
      <c r="X1131" s="57"/>
      <c r="Y1131" s="334"/>
      <c r="Z1131" s="334"/>
      <c r="AA1131" s="57"/>
      <c r="AB1131" s="58"/>
    </row>
    <row r="1132" spans="1:28" s="55" customFormat="1" ht="60">
      <c r="A1132" s="449" t="s">
        <v>3973</v>
      </c>
      <c r="B1132" s="448">
        <v>92759</v>
      </c>
      <c r="C1132" s="449" t="s">
        <v>1536</v>
      </c>
      <c r="D1132" s="447" t="s">
        <v>12</v>
      </c>
      <c r="E1132" s="447" t="s">
        <v>45</v>
      </c>
      <c r="F1132" s="450"/>
      <c r="G1132" s="450">
        <f>G165</f>
        <v>13.5915</v>
      </c>
      <c r="H1132" s="450">
        <f t="shared" si="343"/>
        <v>17.239999999999998</v>
      </c>
      <c r="I1132" s="451">
        <f t="shared" si="340"/>
        <v>0</v>
      </c>
      <c r="J1132" s="452"/>
      <c r="K1132" s="452"/>
      <c r="L1132" s="452"/>
      <c r="M1132" s="452">
        <f t="shared" si="349"/>
        <v>15.14</v>
      </c>
      <c r="N1132" s="452">
        <f t="shared" si="349"/>
        <v>19.2</v>
      </c>
      <c r="O1132" s="452"/>
      <c r="P1132" s="493">
        <v>58</v>
      </c>
      <c r="Q1132" s="452">
        <f t="shared" si="348"/>
        <v>1113.5999999999999</v>
      </c>
      <c r="R1132" s="452"/>
      <c r="S1132" s="452">
        <f t="shared" si="346"/>
        <v>0</v>
      </c>
      <c r="T1132" s="452">
        <f t="shared" si="347"/>
        <v>58</v>
      </c>
      <c r="U1132" s="452">
        <f t="shared" si="344"/>
        <v>1113.5999999999999</v>
      </c>
      <c r="V1132" s="379"/>
      <c r="W1132" s="379"/>
      <c r="X1132" s="57"/>
      <c r="Y1132" s="334"/>
      <c r="Z1132" s="334"/>
      <c r="AA1132" s="57"/>
      <c r="AB1132" s="58"/>
    </row>
    <row r="1133" spans="1:28" s="55" customFormat="1" ht="60">
      <c r="A1133" s="449" t="s">
        <v>3976</v>
      </c>
      <c r="B1133" s="448">
        <v>92760</v>
      </c>
      <c r="C1133" s="449" t="s">
        <v>1537</v>
      </c>
      <c r="D1133" s="447" t="s">
        <v>12</v>
      </c>
      <c r="E1133" s="447" t="s">
        <v>45</v>
      </c>
      <c r="F1133" s="450"/>
      <c r="G1133" s="450">
        <f>G166</f>
        <v>13.5915</v>
      </c>
      <c r="H1133" s="450">
        <f t="shared" si="343"/>
        <v>17.239999999999998</v>
      </c>
      <c r="I1133" s="451">
        <f t="shared" si="340"/>
        <v>0</v>
      </c>
      <c r="J1133" s="452"/>
      <c r="K1133" s="452"/>
      <c r="L1133" s="452"/>
      <c r="M1133" s="452">
        <f t="shared" si="349"/>
        <v>13.069999999999999</v>
      </c>
      <c r="N1133" s="452">
        <f t="shared" si="349"/>
        <v>16.57</v>
      </c>
      <c r="O1133" s="452"/>
      <c r="P1133" s="493">
        <v>1477</v>
      </c>
      <c r="Q1133" s="452">
        <f t="shared" si="348"/>
        <v>24473.89</v>
      </c>
      <c r="R1133" s="452"/>
      <c r="S1133" s="452">
        <f t="shared" si="346"/>
        <v>0</v>
      </c>
      <c r="T1133" s="452">
        <f t="shared" si="347"/>
        <v>1477</v>
      </c>
      <c r="U1133" s="452">
        <f t="shared" si="344"/>
        <v>24473.89</v>
      </c>
      <c r="V1133" s="379"/>
      <c r="W1133" s="379"/>
      <c r="X1133" s="57"/>
      <c r="Y1133" s="334"/>
      <c r="Z1133" s="334"/>
      <c r="AA1133" s="57"/>
      <c r="AB1133" s="58"/>
    </row>
    <row r="1134" spans="1:28" s="55" customFormat="1" ht="60">
      <c r="A1134" s="449" t="s">
        <v>3977</v>
      </c>
      <c r="B1134" s="448">
        <v>92762</v>
      </c>
      <c r="C1134" s="449" t="s">
        <v>1539</v>
      </c>
      <c r="D1134" s="447" t="s">
        <v>12</v>
      </c>
      <c r="E1134" s="447" t="s">
        <v>45</v>
      </c>
      <c r="F1134" s="450"/>
      <c r="G1134" s="450">
        <f>G168</f>
        <v>12.1295</v>
      </c>
      <c r="H1134" s="450">
        <f t="shared" si="343"/>
        <v>15.38</v>
      </c>
      <c r="I1134" s="451">
        <f t="shared" si="340"/>
        <v>0</v>
      </c>
      <c r="J1134" s="452"/>
      <c r="K1134" s="452"/>
      <c r="L1134" s="452"/>
      <c r="M1134" s="452">
        <f>M168</f>
        <v>11.49</v>
      </c>
      <c r="N1134" s="452">
        <f>N168</f>
        <v>14.57</v>
      </c>
      <c r="O1134" s="452"/>
      <c r="P1134" s="493">
        <v>171</v>
      </c>
      <c r="Q1134" s="452">
        <f t="shared" si="348"/>
        <v>2491.4699999999998</v>
      </c>
      <c r="R1134" s="452"/>
      <c r="S1134" s="452">
        <f t="shared" si="346"/>
        <v>0</v>
      </c>
      <c r="T1134" s="452">
        <f t="shared" si="347"/>
        <v>171</v>
      </c>
      <c r="U1134" s="452">
        <f t="shared" si="344"/>
        <v>2491.4699999999998</v>
      </c>
      <c r="V1134" s="379"/>
      <c r="W1134" s="379"/>
      <c r="X1134" s="57"/>
      <c r="Y1134" s="334"/>
      <c r="Z1134" s="334"/>
      <c r="AA1134" s="57"/>
      <c r="AB1134" s="58"/>
    </row>
    <row r="1135" spans="1:28" s="55" customFormat="1" ht="60">
      <c r="A1135" s="449" t="s">
        <v>3978</v>
      </c>
      <c r="B1135" s="448">
        <v>92763</v>
      </c>
      <c r="C1135" s="449" t="s">
        <v>1540</v>
      </c>
      <c r="D1135" s="447" t="s">
        <v>12</v>
      </c>
      <c r="E1135" s="447" t="s">
        <v>45</v>
      </c>
      <c r="F1135" s="450"/>
      <c r="G1135" s="450">
        <f>G169</f>
        <v>10.361499999999999</v>
      </c>
      <c r="H1135" s="450">
        <f t="shared" si="343"/>
        <v>13.14</v>
      </c>
      <c r="I1135" s="451">
        <f t="shared" si="340"/>
        <v>0</v>
      </c>
      <c r="J1135" s="452"/>
      <c r="K1135" s="452"/>
      <c r="L1135" s="452"/>
      <c r="M1135" s="452">
        <f>M169</f>
        <v>10.50122</v>
      </c>
      <c r="N1135" s="452">
        <f>N169</f>
        <v>13.32</v>
      </c>
      <c r="O1135" s="452"/>
      <c r="P1135" s="493">
        <v>145</v>
      </c>
      <c r="Q1135" s="452">
        <f t="shared" si="348"/>
        <v>1931.4</v>
      </c>
      <c r="R1135" s="452"/>
      <c r="S1135" s="452">
        <f t="shared" si="346"/>
        <v>0</v>
      </c>
      <c r="T1135" s="452">
        <f t="shared" si="347"/>
        <v>145</v>
      </c>
      <c r="U1135" s="452">
        <f t="shared" si="344"/>
        <v>1931.4</v>
      </c>
      <c r="V1135" s="379"/>
      <c r="W1135" s="379"/>
      <c r="X1135" s="57"/>
      <c r="Y1135" s="334"/>
      <c r="Z1135" s="334"/>
      <c r="AA1135" s="57"/>
      <c r="AB1135" s="58"/>
    </row>
    <row r="1136" spans="1:28" s="55" customFormat="1" ht="75">
      <c r="A1136" s="556" t="s">
        <v>3979</v>
      </c>
      <c r="B1136" s="557">
        <v>92725</v>
      </c>
      <c r="C1136" s="556" t="s">
        <v>1542</v>
      </c>
      <c r="D1136" s="558" t="s">
        <v>1914</v>
      </c>
      <c r="E1136" s="558" t="s">
        <v>35</v>
      </c>
      <c r="F1136" s="563"/>
      <c r="G1136" s="563">
        <f>G173</f>
        <v>394.35749999999996</v>
      </c>
      <c r="H1136" s="563">
        <f t="shared" si="343"/>
        <v>500.08</v>
      </c>
      <c r="I1136" s="564">
        <f t="shared" si="340"/>
        <v>0</v>
      </c>
      <c r="J1136" s="565"/>
      <c r="K1136" s="561"/>
      <c r="L1136" s="561"/>
      <c r="M1136" s="561">
        <f>M173</f>
        <v>600.08000000000004</v>
      </c>
      <c r="N1136" s="561">
        <f>N173</f>
        <v>760.96</v>
      </c>
      <c r="O1136" s="561"/>
      <c r="P1136" s="562">
        <f>2*(0.15*0.4*15.5)+5*(0.15*0.4*5)+2*(15.5+5)*0.15*0.2+(37.8*5.16*0.15)</f>
        <v>33.847200000000001</v>
      </c>
      <c r="Q1136" s="561">
        <f t="shared" si="348"/>
        <v>25756.37</v>
      </c>
      <c r="R1136" s="561"/>
      <c r="S1136" s="561">
        <f t="shared" si="346"/>
        <v>0</v>
      </c>
      <c r="T1136" s="561">
        <f t="shared" si="347"/>
        <v>33.847200000000001</v>
      </c>
      <c r="U1136" s="561">
        <f t="shared" si="344"/>
        <v>25756.37</v>
      </c>
      <c r="V1136" s="379"/>
      <c r="W1136" s="379"/>
      <c r="X1136" s="57"/>
      <c r="Y1136" s="334"/>
      <c r="Z1136" s="334"/>
      <c r="AA1136" s="57"/>
      <c r="AB1136" s="58"/>
    </row>
    <row r="1137" spans="1:28" s="29" customFormat="1" ht="45">
      <c r="A1137" s="449" t="s">
        <v>3980</v>
      </c>
      <c r="B1137" s="498">
        <v>7393</v>
      </c>
      <c r="C1137" s="497" t="s">
        <v>3990</v>
      </c>
      <c r="D1137" s="499" t="s">
        <v>44</v>
      </c>
      <c r="E1137" s="528" t="s">
        <v>26</v>
      </c>
      <c r="F1137" s="452"/>
      <c r="G1137" s="450">
        <f>(V1137-(V1137*$Y$15))*$S$16</f>
        <v>132.66168610245347</v>
      </c>
      <c r="H1137" s="450">
        <f>ROUND(G1137*(1+$X$14),2)</f>
        <v>168.23</v>
      </c>
      <c r="I1137" s="452">
        <f t="shared" si="340"/>
        <v>0</v>
      </c>
      <c r="J1137" s="452"/>
      <c r="K1137" s="452"/>
      <c r="L1137" s="452"/>
      <c r="M1137" s="452"/>
      <c r="N1137" s="452"/>
      <c r="O1137" s="452"/>
      <c r="P1137" s="493">
        <v>77.72</v>
      </c>
      <c r="Q1137" s="452">
        <f>ROUND(P1137*H1137,2)</f>
        <v>13074.84</v>
      </c>
      <c r="R1137" s="452"/>
      <c r="S1137" s="452">
        <f t="shared" si="346"/>
        <v>0</v>
      </c>
      <c r="T1137" s="452">
        <f t="shared" si="347"/>
        <v>77.72</v>
      </c>
      <c r="U1137" s="452">
        <f t="shared" si="344"/>
        <v>13074.84</v>
      </c>
      <c r="V1137" s="517">
        <f>COMP!G185</f>
        <v>140.10000000000002</v>
      </c>
      <c r="W1137" s="517"/>
      <c r="X1137" s="518"/>
      <c r="Y1137" s="348"/>
      <c r="Z1137" s="348"/>
      <c r="AA1137" s="518"/>
      <c r="AB1137" s="40"/>
    </row>
    <row r="1138" spans="1:28" s="38" customFormat="1" ht="60">
      <c r="A1138" s="449" t="s">
        <v>3981</v>
      </c>
      <c r="B1138" s="498" t="s">
        <v>3989</v>
      </c>
      <c r="C1138" s="497" t="s">
        <v>61</v>
      </c>
      <c r="D1138" s="498" t="s">
        <v>3989</v>
      </c>
      <c r="E1138" s="528" t="s">
        <v>26</v>
      </c>
      <c r="F1138" s="452"/>
      <c r="G1138" s="450">
        <f>G183</f>
        <v>15.512499999999999</v>
      </c>
      <c r="H1138" s="450">
        <f t="shared" si="343"/>
        <v>19.670000000000002</v>
      </c>
      <c r="I1138" s="452">
        <f>ROUND(N1138*F1138,2)</f>
        <v>0</v>
      </c>
      <c r="J1138" s="452"/>
      <c r="K1138" s="452"/>
      <c r="L1138" s="452"/>
      <c r="M1138" s="450">
        <f>M183</f>
        <v>15.94</v>
      </c>
      <c r="N1138" s="450">
        <f>N183</f>
        <v>20.21</v>
      </c>
      <c r="O1138" s="452"/>
      <c r="P1138" s="493">
        <v>77.72</v>
      </c>
      <c r="Q1138" s="452">
        <f>ROUND(P1138*N1138,2)</f>
        <v>1570.72</v>
      </c>
      <c r="R1138" s="452"/>
      <c r="S1138" s="452">
        <f t="shared" si="346"/>
        <v>0</v>
      </c>
      <c r="T1138" s="452">
        <f t="shared" si="347"/>
        <v>77.72</v>
      </c>
      <c r="U1138" s="452">
        <f t="shared" si="344"/>
        <v>1570.72</v>
      </c>
      <c r="V1138" s="453"/>
      <c r="W1138" s="453"/>
      <c r="X1138" s="42"/>
      <c r="Y1138" s="336"/>
      <c r="Z1138" s="336"/>
      <c r="AA1138" s="42"/>
      <c r="AB1138" s="39"/>
    </row>
    <row r="1139" spans="1:28" s="55" customFormat="1" ht="75">
      <c r="A1139" s="449" t="s">
        <v>3982</v>
      </c>
      <c r="B1139" s="447" t="s">
        <v>2075</v>
      </c>
      <c r="C1139" s="449" t="s">
        <v>347</v>
      </c>
      <c r="D1139" s="447" t="s">
        <v>1914</v>
      </c>
      <c r="E1139" s="528" t="s">
        <v>26</v>
      </c>
      <c r="F1139" s="452"/>
      <c r="G1139" s="452">
        <f>G1244</f>
        <v>76.143000000000001</v>
      </c>
      <c r="H1139" s="452">
        <f t="shared" si="343"/>
        <v>96.56</v>
      </c>
      <c r="I1139" s="452">
        <f t="shared" si="340"/>
        <v>0</v>
      </c>
      <c r="J1139" s="452"/>
      <c r="K1139" s="452"/>
      <c r="L1139" s="452"/>
      <c r="M1139" s="452">
        <f>M1244</f>
        <v>84.82</v>
      </c>
      <c r="N1139" s="452">
        <f>N1244</f>
        <v>107.56</v>
      </c>
      <c r="O1139" s="452"/>
      <c r="P1139" s="493">
        <f>77.72+((15.5+5)*0.4)</f>
        <v>85.92</v>
      </c>
      <c r="Q1139" s="452">
        <f t="shared" ref="Q1139:Q1145" si="350">ROUND(P1139*N1139,2)</f>
        <v>9241.56</v>
      </c>
      <c r="R1139" s="452"/>
      <c r="S1139" s="452">
        <f t="shared" si="346"/>
        <v>0</v>
      </c>
      <c r="T1139" s="452">
        <f t="shared" si="347"/>
        <v>85.92</v>
      </c>
      <c r="U1139" s="452">
        <f t="shared" si="344"/>
        <v>9241.56</v>
      </c>
      <c r="V1139" s="379"/>
      <c r="W1139" s="379"/>
      <c r="X1139" s="57"/>
      <c r="Y1139" s="334"/>
      <c r="Z1139" s="334"/>
      <c r="AA1139" s="57"/>
      <c r="AB1139" s="58"/>
    </row>
    <row r="1140" spans="1:28" s="55" customFormat="1" ht="75">
      <c r="A1140" s="449" t="s">
        <v>3983</v>
      </c>
      <c r="B1140" s="498">
        <v>87508</v>
      </c>
      <c r="C1140" s="497" t="s">
        <v>1543</v>
      </c>
      <c r="D1140" s="499" t="s">
        <v>12</v>
      </c>
      <c r="E1140" s="499" t="s">
        <v>26</v>
      </c>
      <c r="F1140" s="500"/>
      <c r="G1140" s="500">
        <f>G136</f>
        <v>60.987499999999997</v>
      </c>
      <c r="H1140" s="500">
        <f t="shared" si="343"/>
        <v>77.34</v>
      </c>
      <c r="I1140" s="501">
        <f t="shared" si="340"/>
        <v>0</v>
      </c>
      <c r="J1140" s="502"/>
      <c r="K1140" s="452"/>
      <c r="L1140" s="452"/>
      <c r="M1140" s="452">
        <f>M136</f>
        <v>76.849999999999994</v>
      </c>
      <c r="N1140" s="452">
        <f>N136</f>
        <v>97.45</v>
      </c>
      <c r="O1140" s="452"/>
      <c r="P1140" s="493">
        <f>(2*(15.5+5)*4.02-3-4.4)+(2*2*35*0.5)+2*((2.4+21.3+12.4+2.5+22.4)*0.5)</f>
        <v>288.41999999999996</v>
      </c>
      <c r="Q1140" s="452">
        <f t="shared" si="350"/>
        <v>28106.53</v>
      </c>
      <c r="R1140" s="452"/>
      <c r="S1140" s="452">
        <f t="shared" ref="S1140:S1151" si="351">ROUND(R1140*P1140,2)</f>
        <v>0</v>
      </c>
      <c r="T1140" s="452">
        <f t="shared" si="338"/>
        <v>288.41999999999996</v>
      </c>
      <c r="U1140" s="452">
        <f t="shared" si="329"/>
        <v>28106.53</v>
      </c>
      <c r="V1140" s="379"/>
      <c r="W1140" s="379"/>
      <c r="X1140" s="57"/>
      <c r="Y1140" s="334"/>
      <c r="Z1140" s="334"/>
      <c r="AA1140" s="57"/>
      <c r="AB1140" s="58"/>
    </row>
    <row r="1141" spans="1:28" s="55" customFormat="1" ht="30">
      <c r="A1141" s="449" t="s">
        <v>3984</v>
      </c>
      <c r="B1141" s="448">
        <v>93187</v>
      </c>
      <c r="C1141" s="449" t="s">
        <v>1549</v>
      </c>
      <c r="D1141" s="447" t="s">
        <v>12</v>
      </c>
      <c r="E1141" s="447" t="s">
        <v>52</v>
      </c>
      <c r="F1141" s="450"/>
      <c r="G1141" s="450">
        <f>G144</f>
        <v>69.478999999999999</v>
      </c>
      <c r="H1141" s="450">
        <f t="shared" si="343"/>
        <v>88.11</v>
      </c>
      <c r="I1141" s="451">
        <f t="shared" si="340"/>
        <v>0</v>
      </c>
      <c r="J1141" s="452"/>
      <c r="K1141" s="452"/>
      <c r="L1141" s="452"/>
      <c r="M1141" s="452">
        <f>M144</f>
        <v>77.400000000000006</v>
      </c>
      <c r="N1141" s="452">
        <f>N144</f>
        <v>98.15</v>
      </c>
      <c r="O1141" s="452"/>
      <c r="P1141" s="493">
        <f>2.5+(1.5*6)</f>
        <v>11.5</v>
      </c>
      <c r="Q1141" s="452">
        <f t="shared" si="350"/>
        <v>1128.73</v>
      </c>
      <c r="R1141" s="452"/>
      <c r="S1141" s="452">
        <f t="shared" si="351"/>
        <v>0</v>
      </c>
      <c r="T1141" s="452">
        <f t="shared" si="338"/>
        <v>11.5</v>
      </c>
      <c r="U1141" s="452">
        <f t="shared" si="329"/>
        <v>1128.73</v>
      </c>
      <c r="V1141" s="379"/>
      <c r="W1141" s="379"/>
      <c r="X1141" s="57"/>
      <c r="Y1141" s="334"/>
      <c r="Z1141" s="334"/>
      <c r="AA1141" s="57"/>
      <c r="AB1141" s="58"/>
    </row>
    <row r="1142" spans="1:28" s="55" customFormat="1" ht="45">
      <c r="A1142" s="449" t="s">
        <v>3985</v>
      </c>
      <c r="B1142" s="447" t="s">
        <v>2039</v>
      </c>
      <c r="C1142" s="449" t="s">
        <v>54</v>
      </c>
      <c r="D1142" s="447" t="s">
        <v>1914</v>
      </c>
      <c r="E1142" s="447" t="s">
        <v>26</v>
      </c>
      <c r="F1142" s="450"/>
      <c r="G1142" s="450">
        <f>G147</f>
        <v>96.789500000000004</v>
      </c>
      <c r="H1142" s="450">
        <f t="shared" si="343"/>
        <v>122.74</v>
      </c>
      <c r="I1142" s="451">
        <f t="shared" si="340"/>
        <v>0</v>
      </c>
      <c r="J1142" s="452"/>
      <c r="K1142" s="452"/>
      <c r="L1142" s="452"/>
      <c r="M1142" s="452">
        <f>M147</f>
        <v>107.82</v>
      </c>
      <c r="N1142" s="452">
        <f>N147</f>
        <v>136.72999999999999</v>
      </c>
      <c r="O1142" s="452"/>
      <c r="P1142" s="493">
        <v>3</v>
      </c>
      <c r="Q1142" s="452">
        <f t="shared" si="350"/>
        <v>410.19</v>
      </c>
      <c r="R1142" s="452"/>
      <c r="S1142" s="452">
        <f t="shared" si="351"/>
        <v>0</v>
      </c>
      <c r="T1142" s="452">
        <f t="shared" si="338"/>
        <v>3</v>
      </c>
      <c r="U1142" s="452">
        <f t="shared" si="329"/>
        <v>410.19</v>
      </c>
      <c r="V1142" s="379"/>
      <c r="W1142" s="379"/>
      <c r="X1142" s="57"/>
      <c r="Y1142" s="334"/>
      <c r="Z1142" s="334"/>
      <c r="AA1142" s="57"/>
      <c r="AB1142" s="58"/>
    </row>
    <row r="1143" spans="1:28" s="55" customFormat="1" ht="60">
      <c r="A1143" s="449" t="s">
        <v>3986</v>
      </c>
      <c r="B1143" s="526">
        <v>87878</v>
      </c>
      <c r="C1143" s="519" t="s">
        <v>1567</v>
      </c>
      <c r="D1143" s="524" t="s">
        <v>12</v>
      </c>
      <c r="E1143" s="524" t="s">
        <v>26</v>
      </c>
      <c r="F1143" s="450"/>
      <c r="G1143" s="450">
        <f>G254</f>
        <v>2.9155000000000002</v>
      </c>
      <c r="H1143" s="450">
        <f t="shared" si="343"/>
        <v>3.7</v>
      </c>
      <c r="I1143" s="451">
        <f t="shared" si="340"/>
        <v>0</v>
      </c>
      <c r="J1143" s="452"/>
      <c r="K1143" s="452"/>
      <c r="L1143" s="452"/>
      <c r="M1143" s="452">
        <f>M254</f>
        <v>3.25</v>
      </c>
      <c r="N1143" s="452">
        <f>N254</f>
        <v>4.12</v>
      </c>
      <c r="O1143" s="452"/>
      <c r="P1143" s="493">
        <f>2*P1140</f>
        <v>576.83999999999992</v>
      </c>
      <c r="Q1143" s="452">
        <f t="shared" si="350"/>
        <v>2376.58</v>
      </c>
      <c r="R1143" s="452"/>
      <c r="S1143" s="452">
        <f t="shared" si="351"/>
        <v>0</v>
      </c>
      <c r="T1143" s="452">
        <f t="shared" si="338"/>
        <v>576.83999999999992</v>
      </c>
      <c r="U1143" s="452">
        <f t="shared" si="329"/>
        <v>2376.58</v>
      </c>
      <c r="V1143" s="379"/>
      <c r="W1143" s="379"/>
      <c r="X1143" s="57"/>
      <c r="Y1143" s="334"/>
      <c r="Z1143" s="334"/>
      <c r="AA1143" s="57"/>
      <c r="AB1143" s="58"/>
    </row>
    <row r="1144" spans="1:28" s="55" customFormat="1" ht="75">
      <c r="A1144" s="449" t="s">
        <v>3987</v>
      </c>
      <c r="B1144" s="526">
        <v>87530</v>
      </c>
      <c r="C1144" s="519" t="s">
        <v>1569</v>
      </c>
      <c r="D1144" s="524" t="s">
        <v>12</v>
      </c>
      <c r="E1144" s="524" t="s">
        <v>26</v>
      </c>
      <c r="F1144" s="450"/>
      <c r="G1144" s="450">
        <f>G262</f>
        <v>25.151499999999999</v>
      </c>
      <c r="H1144" s="450">
        <f t="shared" si="343"/>
        <v>31.89</v>
      </c>
      <c r="I1144" s="451">
        <f t="shared" si="340"/>
        <v>0</v>
      </c>
      <c r="J1144" s="452"/>
      <c r="K1144" s="452"/>
      <c r="L1144" s="452"/>
      <c r="M1144" s="452">
        <f>M262</f>
        <v>32</v>
      </c>
      <c r="N1144" s="452">
        <f>N262</f>
        <v>40.58</v>
      </c>
      <c r="O1144" s="452"/>
      <c r="P1144" s="493">
        <f>P1143+(2*35*0.5)+((2.4+21.3+12.4+2.5+22.4)*0.5)</f>
        <v>642.33999999999992</v>
      </c>
      <c r="Q1144" s="452">
        <f t="shared" si="350"/>
        <v>26066.16</v>
      </c>
      <c r="R1144" s="452"/>
      <c r="S1144" s="452">
        <f t="shared" si="351"/>
        <v>0</v>
      </c>
      <c r="T1144" s="452">
        <f t="shared" si="338"/>
        <v>642.33999999999992</v>
      </c>
      <c r="U1144" s="452">
        <f t="shared" si="329"/>
        <v>26066.16</v>
      </c>
      <c r="V1144" s="379"/>
      <c r="W1144" s="379"/>
      <c r="X1144" s="57"/>
      <c r="Y1144" s="334"/>
      <c r="Z1144" s="334"/>
      <c r="AA1144" s="57"/>
      <c r="AB1144" s="58"/>
    </row>
    <row r="1145" spans="1:28" s="55" customFormat="1" ht="60">
      <c r="A1145" s="449" t="s">
        <v>4007</v>
      </c>
      <c r="B1145" s="526">
        <v>87622</v>
      </c>
      <c r="C1145" s="519" t="s">
        <v>109</v>
      </c>
      <c r="D1145" s="524" t="s">
        <v>12</v>
      </c>
      <c r="E1145" s="524" t="s">
        <v>26</v>
      </c>
      <c r="F1145" s="450"/>
      <c r="G1145" s="450">
        <f>G271</f>
        <v>25.848500000000001</v>
      </c>
      <c r="H1145" s="450">
        <f t="shared" si="343"/>
        <v>32.78</v>
      </c>
      <c r="I1145" s="451">
        <f t="shared" si="340"/>
        <v>0</v>
      </c>
      <c r="J1145" s="452"/>
      <c r="K1145" s="452"/>
      <c r="L1145" s="452"/>
      <c r="M1145" s="452">
        <f>M271</f>
        <v>35.36</v>
      </c>
      <c r="N1145" s="452">
        <f>N271</f>
        <v>44.84</v>
      </c>
      <c r="O1145" s="452"/>
      <c r="P1145" s="493">
        <f>38*5</f>
        <v>190</v>
      </c>
      <c r="Q1145" s="452">
        <f t="shared" si="350"/>
        <v>8519.6</v>
      </c>
      <c r="R1145" s="452"/>
      <c r="S1145" s="452">
        <f t="shared" si="351"/>
        <v>0</v>
      </c>
      <c r="T1145" s="452">
        <f t="shared" si="338"/>
        <v>190</v>
      </c>
      <c r="U1145" s="452">
        <f t="shared" si="329"/>
        <v>8519.6</v>
      </c>
      <c r="V1145" s="379"/>
      <c r="W1145" s="379"/>
      <c r="X1145" s="57"/>
      <c r="Y1145" s="334"/>
      <c r="Z1145" s="334"/>
      <c r="AA1145" s="57"/>
      <c r="AB1145" s="58"/>
    </row>
    <row r="1146" spans="1:28" s="55" customFormat="1" ht="45">
      <c r="A1146" s="449" t="s">
        <v>4008</v>
      </c>
      <c r="B1146" s="526">
        <v>83534</v>
      </c>
      <c r="C1146" s="519" t="s">
        <v>49</v>
      </c>
      <c r="D1146" s="524"/>
      <c r="E1146" s="524" t="s">
        <v>35</v>
      </c>
      <c r="F1146" s="450"/>
      <c r="G1146" s="450">
        <f>G278</f>
        <v>477.23250000000007</v>
      </c>
      <c r="H1146" s="450">
        <f t="shared" si="343"/>
        <v>605.17999999999995</v>
      </c>
      <c r="I1146" s="451">
        <f t="shared" si="340"/>
        <v>0</v>
      </c>
      <c r="J1146" s="452"/>
      <c r="K1146" s="452"/>
      <c r="L1146" s="452"/>
      <c r="M1146" s="452"/>
      <c r="N1146" s="452"/>
      <c r="O1146" s="452"/>
      <c r="P1146" s="493">
        <f>(38*5*0.15)</f>
        <v>28.5</v>
      </c>
      <c r="Q1146" s="452">
        <f>ROUND(P1146*H1146*$S$16,2)</f>
        <v>19214</v>
      </c>
      <c r="R1146" s="452"/>
      <c r="S1146" s="452">
        <f t="shared" si="351"/>
        <v>0</v>
      </c>
      <c r="T1146" s="452">
        <f t="shared" si="338"/>
        <v>28.5</v>
      </c>
      <c r="U1146" s="452">
        <f t="shared" si="329"/>
        <v>19214</v>
      </c>
      <c r="V1146" s="379"/>
      <c r="W1146" s="379" t="s">
        <v>3988</v>
      </c>
      <c r="X1146" s="57"/>
      <c r="Y1146" s="334"/>
      <c r="Z1146" s="334"/>
      <c r="AA1146" s="57"/>
      <c r="AB1146" s="58"/>
    </row>
    <row r="1147" spans="1:28" s="55" customFormat="1" ht="60">
      <c r="A1147" s="449" t="s">
        <v>4009</v>
      </c>
      <c r="B1147" s="448">
        <v>71623</v>
      </c>
      <c r="C1147" s="449" t="s">
        <v>93</v>
      </c>
      <c r="D1147" s="447" t="s">
        <v>1914</v>
      </c>
      <c r="E1147" s="447" t="s">
        <v>52</v>
      </c>
      <c r="F1147" s="450"/>
      <c r="G1147" s="450">
        <f>G246</f>
        <v>26.8855</v>
      </c>
      <c r="H1147" s="450">
        <f t="shared" si="343"/>
        <v>34.090000000000003</v>
      </c>
      <c r="I1147" s="451">
        <f t="shared" si="340"/>
        <v>0</v>
      </c>
      <c r="J1147" s="452"/>
      <c r="K1147" s="452"/>
      <c r="L1147" s="452"/>
      <c r="M1147" s="452">
        <f>M246</f>
        <v>29.95</v>
      </c>
      <c r="N1147" s="452">
        <f>N246</f>
        <v>37.979999999999997</v>
      </c>
      <c r="O1147" s="452"/>
      <c r="P1147" s="493">
        <f>38*2+5*2</f>
        <v>86</v>
      </c>
      <c r="Q1147" s="452">
        <f t="shared" ref="Q1147:Q1151" si="352">ROUND(P1147*N1147,2)</f>
        <v>3266.28</v>
      </c>
      <c r="R1147" s="452"/>
      <c r="S1147" s="452">
        <f t="shared" si="351"/>
        <v>0</v>
      </c>
      <c r="T1147" s="452">
        <f t="shared" si="338"/>
        <v>86</v>
      </c>
      <c r="U1147" s="452">
        <f t="shared" si="329"/>
        <v>3266.28</v>
      </c>
      <c r="V1147" s="379"/>
      <c r="W1147" s="379"/>
      <c r="X1147" s="57"/>
      <c r="Y1147" s="334"/>
      <c r="Z1147" s="334"/>
      <c r="AA1147" s="57"/>
      <c r="AB1147" s="58"/>
    </row>
    <row r="1148" spans="1:28" s="55" customFormat="1" ht="30">
      <c r="A1148" s="449" t="s">
        <v>4010</v>
      </c>
      <c r="B1148" s="448">
        <v>88485</v>
      </c>
      <c r="C1148" s="449" t="s">
        <v>1742</v>
      </c>
      <c r="D1148" s="447" t="s">
        <v>12</v>
      </c>
      <c r="E1148" s="447" t="s">
        <v>26</v>
      </c>
      <c r="F1148" s="450"/>
      <c r="G1148" s="450">
        <f>G1229</f>
        <v>1.5215000000000001</v>
      </c>
      <c r="H1148" s="450">
        <f t="shared" si="343"/>
        <v>1.93</v>
      </c>
      <c r="I1148" s="451">
        <f t="shared" si="340"/>
        <v>0</v>
      </c>
      <c r="J1148" s="452"/>
      <c r="K1148" s="452"/>
      <c r="L1148" s="452"/>
      <c r="M1148" s="452">
        <f>M1229</f>
        <v>1.69</v>
      </c>
      <c r="N1148" s="452">
        <f>N1229</f>
        <v>2.14</v>
      </c>
      <c r="O1148" s="452"/>
      <c r="P1148" s="493">
        <f>P1143</f>
        <v>576.83999999999992</v>
      </c>
      <c r="Q1148" s="452">
        <f t="shared" si="352"/>
        <v>1234.44</v>
      </c>
      <c r="R1148" s="452"/>
      <c r="S1148" s="452">
        <f t="shared" si="351"/>
        <v>0</v>
      </c>
      <c r="T1148" s="452">
        <f t="shared" si="338"/>
        <v>576.83999999999992</v>
      </c>
      <c r="U1148" s="452">
        <f t="shared" si="329"/>
        <v>1234.44</v>
      </c>
      <c r="V1148" s="379"/>
      <c r="W1148" s="379"/>
      <c r="X1148" s="57"/>
      <c r="Y1148" s="334"/>
      <c r="Z1148" s="334"/>
      <c r="AA1148" s="57"/>
      <c r="AB1148" s="58"/>
    </row>
    <row r="1149" spans="1:28" s="55" customFormat="1" ht="30">
      <c r="A1149" s="449" t="s">
        <v>4011</v>
      </c>
      <c r="B1149" s="448">
        <v>88497</v>
      </c>
      <c r="C1149" s="449" t="s">
        <v>1741</v>
      </c>
      <c r="D1149" s="447" t="s">
        <v>12</v>
      </c>
      <c r="E1149" s="447" t="s">
        <v>26</v>
      </c>
      <c r="F1149" s="450"/>
      <c r="G1149" s="450">
        <f>G1228</f>
        <v>9.7070000000000007</v>
      </c>
      <c r="H1149" s="450">
        <f t="shared" si="343"/>
        <v>12.31</v>
      </c>
      <c r="I1149" s="451">
        <f t="shared" si="340"/>
        <v>0</v>
      </c>
      <c r="J1149" s="452"/>
      <c r="K1149" s="452"/>
      <c r="L1149" s="452"/>
      <c r="M1149" s="452">
        <f>M1228</f>
        <v>10.210000000000001</v>
      </c>
      <c r="N1149" s="452">
        <f>N1228</f>
        <v>12.95</v>
      </c>
      <c r="O1149" s="452"/>
      <c r="P1149" s="493">
        <f>P1148</f>
        <v>576.83999999999992</v>
      </c>
      <c r="Q1149" s="452">
        <f t="shared" si="352"/>
        <v>7470.08</v>
      </c>
      <c r="R1149" s="452"/>
      <c r="S1149" s="452">
        <f t="shared" si="351"/>
        <v>0</v>
      </c>
      <c r="T1149" s="452">
        <f t="shared" si="338"/>
        <v>576.83999999999992</v>
      </c>
      <c r="U1149" s="452">
        <f t="shared" si="329"/>
        <v>7470.08</v>
      </c>
      <c r="V1149" s="379"/>
      <c r="W1149" s="379"/>
      <c r="X1149" s="57"/>
      <c r="Y1149" s="334"/>
      <c r="Z1149" s="334"/>
      <c r="AA1149" s="57"/>
      <c r="AB1149" s="58"/>
    </row>
    <row r="1150" spans="1:28" s="55" customFormat="1" ht="30">
      <c r="A1150" s="449" t="s">
        <v>4012</v>
      </c>
      <c r="B1150" s="448">
        <v>88489</v>
      </c>
      <c r="C1150" s="449" t="s">
        <v>339</v>
      </c>
      <c r="D1150" s="447" t="s">
        <v>12</v>
      </c>
      <c r="E1150" s="447" t="s">
        <v>26</v>
      </c>
      <c r="F1150" s="450"/>
      <c r="G1150" s="450">
        <f>G1230</f>
        <v>9.0015000000000001</v>
      </c>
      <c r="H1150" s="450">
        <f t="shared" si="343"/>
        <v>11.41</v>
      </c>
      <c r="I1150" s="451">
        <f t="shared" si="340"/>
        <v>0</v>
      </c>
      <c r="J1150" s="452"/>
      <c r="K1150" s="452"/>
      <c r="L1150" s="452"/>
      <c r="M1150" s="452">
        <f>M1230</f>
        <v>10.029999999999999</v>
      </c>
      <c r="N1150" s="452">
        <f>N1230</f>
        <v>12.72</v>
      </c>
      <c r="O1150" s="452"/>
      <c r="P1150" s="493">
        <f>P1149</f>
        <v>576.83999999999992</v>
      </c>
      <c r="Q1150" s="452">
        <f t="shared" si="352"/>
        <v>7337.4</v>
      </c>
      <c r="R1150" s="452"/>
      <c r="S1150" s="452">
        <f t="shared" si="351"/>
        <v>0</v>
      </c>
      <c r="T1150" s="452">
        <f t="shared" si="338"/>
        <v>576.83999999999992</v>
      </c>
      <c r="U1150" s="452">
        <f t="shared" si="329"/>
        <v>7337.4</v>
      </c>
      <c r="V1150" s="379"/>
      <c r="W1150" s="379"/>
      <c r="X1150" s="57"/>
      <c r="Y1150" s="334"/>
      <c r="Z1150" s="334"/>
      <c r="AA1150" s="57"/>
      <c r="AB1150" s="58"/>
    </row>
    <row r="1151" spans="1:28" s="55" customFormat="1" ht="45">
      <c r="A1151" s="449" t="s">
        <v>4013</v>
      </c>
      <c r="B1151" s="448">
        <v>10812</v>
      </c>
      <c r="C1151" s="449" t="s">
        <v>2060</v>
      </c>
      <c r="D1151" s="447" t="s">
        <v>44</v>
      </c>
      <c r="E1151" s="447" t="s">
        <v>52</v>
      </c>
      <c r="F1151" s="450"/>
      <c r="G1151" s="450">
        <f>G222</f>
        <v>268.37049999999999</v>
      </c>
      <c r="H1151" s="450">
        <f t="shared" si="343"/>
        <v>340.32</v>
      </c>
      <c r="I1151" s="451">
        <f t="shared" si="340"/>
        <v>0</v>
      </c>
      <c r="J1151" s="452"/>
      <c r="K1151" s="452"/>
      <c r="L1151" s="452"/>
      <c r="M1151" s="452">
        <f>M222</f>
        <v>298.97000000000003</v>
      </c>
      <c r="N1151" s="452">
        <f>N222</f>
        <v>379.12</v>
      </c>
      <c r="O1151" s="452"/>
      <c r="P1151" s="493">
        <f>22.5+5</f>
        <v>27.5</v>
      </c>
      <c r="Q1151" s="452">
        <f t="shared" si="352"/>
        <v>10425.799999999999</v>
      </c>
      <c r="R1151" s="452"/>
      <c r="S1151" s="452">
        <f t="shared" si="351"/>
        <v>0</v>
      </c>
      <c r="T1151" s="452">
        <f t="shared" si="338"/>
        <v>27.5</v>
      </c>
      <c r="U1151" s="452">
        <f t="shared" si="329"/>
        <v>10425.799999999999</v>
      </c>
      <c r="V1151" s="379"/>
      <c r="W1151" s="379"/>
      <c r="X1151" s="57"/>
      <c r="Y1151" s="334"/>
      <c r="Z1151" s="334"/>
      <c r="AA1151" s="57"/>
      <c r="AB1151" s="58"/>
    </row>
    <row r="1152" spans="1:28" s="267" customFormat="1" ht="60">
      <c r="A1152" s="556" t="s">
        <v>4192</v>
      </c>
      <c r="B1152" s="557">
        <v>92771</v>
      </c>
      <c r="C1152" s="556" t="s">
        <v>1558</v>
      </c>
      <c r="D1152" s="558" t="s">
        <v>12</v>
      </c>
      <c r="E1152" s="558" t="s">
        <v>45</v>
      </c>
      <c r="F1152" s="559"/>
      <c r="G1152" s="559">
        <f t="shared" ref="G1152" si="353">Y1152-(Y1152*$Y$15)</f>
        <v>11.721499999999999</v>
      </c>
      <c r="H1152" s="559">
        <f>ROUND(G1152*(1+$X$14),2)</f>
        <v>14.86</v>
      </c>
      <c r="I1152" s="560">
        <f t="shared" si="340"/>
        <v>0</v>
      </c>
      <c r="J1152" s="561"/>
      <c r="K1152" s="561"/>
      <c r="L1152" s="561"/>
      <c r="M1152" s="561">
        <v>13.06</v>
      </c>
      <c r="N1152" s="561">
        <v>16.559999999999999</v>
      </c>
      <c r="O1152" s="561"/>
      <c r="P1152" s="562">
        <f>+(37.8*5.16*0.15)*80</f>
        <v>2340.576</v>
      </c>
      <c r="Q1152" s="561">
        <f>ROUND(P1152*N1152,2)</f>
        <v>38759.94</v>
      </c>
      <c r="R1152" s="561"/>
      <c r="S1152" s="561">
        <f t="shared" ref="S1152" si="354">ROUND(R1152*N1152,2)</f>
        <v>0</v>
      </c>
      <c r="T1152" s="561">
        <f>F1152+P1152-R1152</f>
        <v>2340.576</v>
      </c>
      <c r="U1152" s="561">
        <f t="shared" si="329"/>
        <v>38759.94</v>
      </c>
      <c r="V1152" s="379"/>
      <c r="W1152" s="379"/>
      <c r="X1152" s="267" t="e">
        <f>IF(B1152&lt;&gt;0,VLOOKUP(B1152,#REF!,4,FALSE),"")</f>
        <v>#REF!</v>
      </c>
      <c r="Y1152" s="350" t="s">
        <v>3035</v>
      </c>
      <c r="Z1152" s="334">
        <f t="shared" ref="Z1152" si="355">F1152*G1152</f>
        <v>0</v>
      </c>
      <c r="AB1152" s="267" t="e">
        <f>IF(B1152&lt;&gt;0,VLOOKUP(B1152,#REF!,2,FALSE),"")</f>
        <v>#REF!</v>
      </c>
    </row>
    <row r="1153" spans="1:28" ht="34.5" customHeight="1">
      <c r="A1153" s="19"/>
      <c r="B1153" s="21"/>
      <c r="C1153" s="19"/>
      <c r="D1153" s="21"/>
      <c r="E1153" s="21"/>
      <c r="F1153" s="22"/>
      <c r="G1153" s="22"/>
      <c r="H1153" s="22"/>
      <c r="I1153" s="147"/>
      <c r="J1153" s="148"/>
      <c r="K1153" s="148"/>
      <c r="L1153" s="148"/>
      <c r="M1153" s="148"/>
      <c r="N1153" s="148"/>
      <c r="O1153" s="148"/>
      <c r="P1153" s="494"/>
      <c r="Q1153" s="148"/>
      <c r="R1153" s="148"/>
      <c r="S1153" s="148"/>
      <c r="T1153" s="148"/>
      <c r="U1153" s="148">
        <f>O1153+Q1153-S1153+L1153</f>
        <v>0</v>
      </c>
      <c r="V1153" s="379"/>
      <c r="W1153" s="379"/>
      <c r="X1153" s="30"/>
      <c r="Y1153" s="337"/>
      <c r="Z1153" s="334">
        <f t="shared" si="337"/>
        <v>0</v>
      </c>
      <c r="AA1153" s="30"/>
      <c r="AB1153" s="30"/>
    </row>
    <row r="1154" spans="1:28" ht="39.75" customHeight="1">
      <c r="A1154" s="229" t="s">
        <v>1437</v>
      </c>
      <c r="B1154" s="229"/>
      <c r="C1154" s="229" t="s">
        <v>321</v>
      </c>
      <c r="D1154" s="230"/>
      <c r="E1154" s="230"/>
      <c r="F1154" s="230"/>
      <c r="G1154" s="22"/>
      <c r="H1154" s="230"/>
      <c r="I1154" s="445">
        <f>SUM(I1157:I1225)</f>
        <v>1364028.25</v>
      </c>
      <c r="J1154" s="440"/>
      <c r="K1154" s="440"/>
      <c r="L1154" s="440"/>
      <c r="M1154" s="440"/>
      <c r="N1154" s="440"/>
      <c r="O1154" s="440">
        <f>SUM(O1157:O1225)</f>
        <v>1585458.7500000002</v>
      </c>
      <c r="P1154" s="492"/>
      <c r="Q1154" s="440">
        <f>SUM(Q1157:Q1225)</f>
        <v>447134.00000000006</v>
      </c>
      <c r="R1154" s="440"/>
      <c r="S1154" s="440">
        <f>SUM(S1157:S1225)</f>
        <v>482765.27</v>
      </c>
      <c r="T1154" s="148"/>
      <c r="U1154" s="440">
        <f t="shared" si="329"/>
        <v>1549827.4800000002</v>
      </c>
      <c r="V1154" s="330"/>
      <c r="W1154" s="330"/>
      <c r="X1154" s="52"/>
      <c r="Y1154" s="344"/>
      <c r="Z1154" s="334">
        <f t="shared" si="337"/>
        <v>0</v>
      </c>
      <c r="AA1154" s="344"/>
      <c r="AB1154" s="43"/>
    </row>
    <row r="1155" spans="1:28" s="55" customFormat="1" ht="15" customHeight="1">
      <c r="A1155" s="229" t="s">
        <v>1438</v>
      </c>
      <c r="B1155" s="229"/>
      <c r="C1155" s="229" t="s">
        <v>322</v>
      </c>
      <c r="D1155" s="230"/>
      <c r="E1155" s="230"/>
      <c r="F1155" s="230"/>
      <c r="G1155" s="22"/>
      <c r="H1155" s="230"/>
      <c r="I1155" s="445"/>
      <c r="J1155" s="440"/>
      <c r="K1155" s="440"/>
      <c r="L1155" s="440"/>
      <c r="M1155" s="440"/>
      <c r="N1155" s="440"/>
      <c r="O1155" s="440"/>
      <c r="P1155" s="492"/>
      <c r="Q1155" s="440"/>
      <c r="R1155" s="440"/>
      <c r="S1155" s="440"/>
      <c r="T1155" s="148"/>
      <c r="U1155" s="148"/>
      <c r="V1155" s="330"/>
      <c r="W1155" s="330"/>
      <c r="X1155" s="61"/>
      <c r="Y1155" s="355"/>
      <c r="Z1155" s="334">
        <f t="shared" si="337"/>
        <v>0</v>
      </c>
      <c r="AA1155" s="60"/>
      <c r="AB1155" s="58"/>
    </row>
    <row r="1156" spans="1:28" s="55" customFormat="1" ht="15" customHeight="1">
      <c r="A1156" s="229" t="s">
        <v>1439</v>
      </c>
      <c r="B1156" s="229"/>
      <c r="C1156" s="229" t="s">
        <v>323</v>
      </c>
      <c r="D1156" s="230"/>
      <c r="E1156" s="230"/>
      <c r="F1156" s="230"/>
      <c r="G1156" s="22"/>
      <c r="H1156" s="230"/>
      <c r="I1156" s="445"/>
      <c r="J1156" s="440"/>
      <c r="K1156" s="440"/>
      <c r="L1156" s="440"/>
      <c r="M1156" s="440"/>
      <c r="N1156" s="440"/>
      <c r="O1156" s="440"/>
      <c r="P1156" s="492"/>
      <c r="Q1156" s="440"/>
      <c r="R1156" s="440"/>
      <c r="S1156" s="440"/>
      <c r="T1156" s="148"/>
      <c r="U1156" s="148"/>
      <c r="V1156" s="330"/>
      <c r="W1156" s="330"/>
      <c r="X1156" s="58"/>
      <c r="Y1156" s="334"/>
      <c r="Z1156" s="334">
        <f t="shared" si="337"/>
        <v>0</v>
      </c>
      <c r="AA1156" s="58"/>
      <c r="AB1156" s="58"/>
    </row>
    <row r="1157" spans="1:28" s="55" customFormat="1" ht="30">
      <c r="A1157" s="19" t="s">
        <v>1440</v>
      </c>
      <c r="B1157" s="20">
        <v>10754</v>
      </c>
      <c r="C1157" s="19" t="s">
        <v>324</v>
      </c>
      <c r="D1157" s="21" t="s">
        <v>44</v>
      </c>
      <c r="E1157" s="21" t="s">
        <v>52</v>
      </c>
      <c r="F1157" s="22">
        <v>336</v>
      </c>
      <c r="G1157" s="22">
        <f>Y1157-(Y1157*$Y$15)</f>
        <v>15.589</v>
      </c>
      <c r="H1157" s="22">
        <f t="shared" ref="H1157:H1163" si="356">ROUND(G1157*(1+$X$14),2)</f>
        <v>19.77</v>
      </c>
      <c r="I1157" s="147">
        <f>ROUND(H1157*F1157,2)</f>
        <v>6642.72</v>
      </c>
      <c r="J1157" s="148"/>
      <c r="K1157" s="148"/>
      <c r="L1157" s="148"/>
      <c r="M1157" s="148">
        <v>17.37</v>
      </c>
      <c r="N1157" s="148">
        <v>22.03</v>
      </c>
      <c r="O1157" s="148">
        <v>7402.08</v>
      </c>
      <c r="P1157" s="494"/>
      <c r="Q1157" s="148">
        <f>ROUND(P1157*N1157,2)</f>
        <v>0</v>
      </c>
      <c r="R1157" s="148"/>
      <c r="S1157" s="148">
        <f>ROUND(R1157*P1157,2)</f>
        <v>0</v>
      </c>
      <c r="T1157" s="148">
        <f t="shared" ref="T1157:T1225" si="357">F1157+P1157-R1157</f>
        <v>336</v>
      </c>
      <c r="U1157" s="148">
        <f t="shared" si="329"/>
        <v>7402.08</v>
      </c>
      <c r="V1157" s="379"/>
      <c r="W1157" s="379"/>
      <c r="X1157" s="57">
        <f>'COMPOSIÇÃO DE CUSTOS'!G1596</f>
        <v>15.59</v>
      </c>
      <c r="Y1157" s="334">
        <v>18.34</v>
      </c>
      <c r="Z1157" s="334">
        <f t="shared" si="337"/>
        <v>5237.9040000000005</v>
      </c>
      <c r="AA1157" s="57"/>
      <c r="AB1157" s="58"/>
    </row>
    <row r="1158" spans="1:28" s="55" customFormat="1" ht="30">
      <c r="A1158" s="19" t="s">
        <v>3418</v>
      </c>
      <c r="B1158" s="20">
        <v>4235</v>
      </c>
      <c r="C1158" s="19" t="s">
        <v>3419</v>
      </c>
      <c r="D1158" s="21" t="s">
        <v>44</v>
      </c>
      <c r="E1158" s="21" t="s">
        <v>52</v>
      </c>
      <c r="F1158" s="22">
        <v>336</v>
      </c>
      <c r="G1158" s="22">
        <f>Y1158-(Y1158*$Y$15)</f>
        <v>23.766000000000002</v>
      </c>
      <c r="H1158" s="22">
        <f t="shared" si="356"/>
        <v>30.14</v>
      </c>
      <c r="I1158" s="147">
        <f>ROUND(H1158*F1158,2)</f>
        <v>10127.040000000001</v>
      </c>
      <c r="J1158" s="148"/>
      <c r="K1158" s="148"/>
      <c r="L1158" s="148"/>
      <c r="M1158" s="148">
        <v>26.48</v>
      </c>
      <c r="N1158" s="148">
        <v>33.58</v>
      </c>
      <c r="O1158" s="148">
        <v>11282.88</v>
      </c>
      <c r="P1158" s="494"/>
      <c r="Q1158" s="148">
        <f>ROUND(P1158*N1158,2)</f>
        <v>0</v>
      </c>
      <c r="R1158" s="148"/>
      <c r="S1158" s="148">
        <f>ROUND(R1158*P1158,2)</f>
        <v>0</v>
      </c>
      <c r="T1158" s="148">
        <f t="shared" si="357"/>
        <v>336</v>
      </c>
      <c r="U1158" s="148">
        <f t="shared" si="329"/>
        <v>11282.88</v>
      </c>
      <c r="V1158" s="379"/>
      <c r="W1158" s="379"/>
      <c r="X1158" s="57">
        <f>'COMPOSIÇÃO DE CUSTOS'!G2568</f>
        <v>23.78</v>
      </c>
      <c r="Y1158" s="334">
        <v>27.96</v>
      </c>
      <c r="Z1158" s="334">
        <f t="shared" si="337"/>
        <v>7985.3760000000002</v>
      </c>
      <c r="AA1158" s="57"/>
      <c r="AB1158" s="58"/>
    </row>
    <row r="1159" spans="1:28" s="38" customFormat="1" ht="30">
      <c r="A1159" s="449" t="s">
        <v>3424</v>
      </c>
      <c r="B1159" s="448">
        <v>93655</v>
      </c>
      <c r="C1159" s="449" t="s">
        <v>2851</v>
      </c>
      <c r="D1159" s="447" t="s">
        <v>12</v>
      </c>
      <c r="E1159" s="447" t="s">
        <v>17</v>
      </c>
      <c r="F1159" s="450">
        <v>59</v>
      </c>
      <c r="G1159" s="450">
        <f>Y1159-(Y1159*$Y$15)</f>
        <v>10.3445</v>
      </c>
      <c r="H1159" s="450">
        <f t="shared" si="356"/>
        <v>13.12</v>
      </c>
      <c r="I1159" s="451">
        <f>ROUND(H1159*F1159,2)</f>
        <v>774.08</v>
      </c>
      <c r="J1159" s="452"/>
      <c r="K1159" s="452"/>
      <c r="L1159" s="452"/>
      <c r="M1159" s="452">
        <v>11.52</v>
      </c>
      <c r="N1159" s="452">
        <v>14.61</v>
      </c>
      <c r="O1159" s="452">
        <v>861.99</v>
      </c>
      <c r="P1159" s="493">
        <v>3</v>
      </c>
      <c r="Q1159" s="452">
        <f>ROUND(P1159*N1159,2)</f>
        <v>43.83</v>
      </c>
      <c r="R1159" s="452"/>
      <c r="S1159" s="452">
        <f>ROUND(R1159*P1159,2)</f>
        <v>0</v>
      </c>
      <c r="T1159" s="452">
        <f t="shared" si="357"/>
        <v>62</v>
      </c>
      <c r="U1159" s="452">
        <f t="shared" si="329"/>
        <v>905.82</v>
      </c>
      <c r="V1159" s="453"/>
      <c r="W1159" s="453"/>
      <c r="X1159" s="42" t="e">
        <f>IF(B1159&lt;&gt;0,VLOOKUP(B1159,#REF!,4,FALSE),"")</f>
        <v>#REF!</v>
      </c>
      <c r="Y1159" s="336" t="s">
        <v>1878</v>
      </c>
      <c r="Z1159" s="336">
        <f t="shared" si="337"/>
        <v>610.32550000000003</v>
      </c>
      <c r="AA1159" s="42"/>
      <c r="AB1159" s="39" t="e">
        <f>IF(B1159&lt;&gt;0,VLOOKUP(B1159,#REF!,2,FALSE),"")</f>
        <v>#REF!</v>
      </c>
    </row>
    <row r="1160" spans="1:28" s="55" customFormat="1" ht="60">
      <c r="A1160" s="19" t="s">
        <v>3425</v>
      </c>
      <c r="B1160" s="20">
        <v>101881</v>
      </c>
      <c r="C1160" s="19" t="s">
        <v>3426</v>
      </c>
      <c r="D1160" s="21" t="s">
        <v>12</v>
      </c>
      <c r="E1160" s="21" t="s">
        <v>17</v>
      </c>
      <c r="F1160" s="22">
        <v>2</v>
      </c>
      <c r="G1160" s="22">
        <f>Y1160-(Y1160*$Y$15)</f>
        <v>765.94350000000009</v>
      </c>
      <c r="H1160" s="22">
        <f t="shared" si="356"/>
        <v>971.29</v>
      </c>
      <c r="I1160" s="147">
        <f>ROUND(H1160*F1160,2)</f>
        <v>1942.58</v>
      </c>
      <c r="J1160" s="148"/>
      <c r="K1160" s="148"/>
      <c r="L1160" s="148"/>
      <c r="M1160" s="148">
        <v>853.27</v>
      </c>
      <c r="N1160" s="148">
        <v>1082.03</v>
      </c>
      <c r="O1160" s="148">
        <v>2164.06</v>
      </c>
      <c r="P1160" s="494"/>
      <c r="Q1160" s="148">
        <f>ROUND(P1160*N1160,2)</f>
        <v>0</v>
      </c>
      <c r="R1160" s="148"/>
      <c r="S1160" s="148">
        <f>ROUND(R1160*P1160,2)</f>
        <v>0</v>
      </c>
      <c r="T1160" s="148">
        <f t="shared" si="357"/>
        <v>2</v>
      </c>
      <c r="U1160" s="148">
        <f t="shared" si="329"/>
        <v>2164.06</v>
      </c>
      <c r="V1160" s="379"/>
      <c r="W1160" s="379"/>
      <c r="X1160" s="57" t="e">
        <f>IF(B1160&lt;&gt;0,VLOOKUP(B1160,#REF!,4,FALSE),"")</f>
        <v>#REF!</v>
      </c>
      <c r="Y1160" s="334" t="s">
        <v>3248</v>
      </c>
      <c r="Z1160" s="334">
        <f t="shared" si="337"/>
        <v>1531.8870000000002</v>
      </c>
      <c r="AA1160" s="57"/>
      <c r="AB1160" s="58" t="e">
        <f>IF(B1160&lt;&gt;0,VLOOKUP(B1160,#REF!,2,FALSE),"")</f>
        <v>#REF!</v>
      </c>
    </row>
    <row r="1161" spans="1:28" s="38" customFormat="1">
      <c r="A1161" s="449" t="s">
        <v>3873</v>
      </c>
      <c r="B1161" s="448">
        <v>7826</v>
      </c>
      <c r="C1161" s="449" t="s">
        <v>3886</v>
      </c>
      <c r="D1161" s="447" t="s">
        <v>44</v>
      </c>
      <c r="E1161" s="447" t="s">
        <v>17</v>
      </c>
      <c r="F1161" s="450"/>
      <c r="G1161" s="450">
        <f>(V1161-(V1161*$Y$15))*$S$16</f>
        <v>2467.7346192120199</v>
      </c>
      <c r="H1161" s="450">
        <f t="shared" si="356"/>
        <v>3129.33</v>
      </c>
      <c r="I1161" s="451"/>
      <c r="J1161" s="452"/>
      <c r="K1161" s="452"/>
      <c r="L1161" s="452"/>
      <c r="M1161" s="452"/>
      <c r="N1161" s="452"/>
      <c r="O1161" s="452"/>
      <c r="P1161" s="493">
        <v>1</v>
      </c>
      <c r="Q1161" s="452">
        <f>ROUND(P1161*H1161,2)</f>
        <v>3129.33</v>
      </c>
      <c r="R1161" s="452"/>
      <c r="S1161" s="452"/>
      <c r="T1161" s="452">
        <f>F1161+P1161-R1161</f>
        <v>1</v>
      </c>
      <c r="U1161" s="452">
        <f>O1161+Q1161-S1161+L1161</f>
        <v>3129.33</v>
      </c>
      <c r="V1161" s="453">
        <f>COMP!G54</f>
        <v>2606.1000000000004</v>
      </c>
      <c r="W1161" s="453"/>
      <c r="X1161" s="42"/>
      <c r="Y1161" s="336"/>
      <c r="Z1161" s="336"/>
      <c r="AA1161" s="42"/>
      <c r="AB1161" s="39"/>
    </row>
    <row r="1162" spans="1:28" s="38" customFormat="1">
      <c r="A1162" s="449" t="s">
        <v>3874</v>
      </c>
      <c r="B1162" s="448">
        <v>7826</v>
      </c>
      <c r="C1162" s="449" t="s">
        <v>3887</v>
      </c>
      <c r="D1162" s="447" t="s">
        <v>44</v>
      </c>
      <c r="E1162" s="447" t="s">
        <v>17</v>
      </c>
      <c r="F1162" s="450"/>
      <c r="G1162" s="450">
        <f>(V1162-(V1162*$Y$15))*$S$16</f>
        <v>2467.7346192120199</v>
      </c>
      <c r="H1162" s="450">
        <f t="shared" si="356"/>
        <v>3129.33</v>
      </c>
      <c r="I1162" s="451"/>
      <c r="J1162" s="452"/>
      <c r="K1162" s="452"/>
      <c r="L1162" s="452"/>
      <c r="M1162" s="452"/>
      <c r="N1162" s="452"/>
      <c r="O1162" s="452"/>
      <c r="P1162" s="493">
        <v>1</v>
      </c>
      <c r="Q1162" s="452">
        <f>ROUND(P1162*H1162,2)</f>
        <v>3129.33</v>
      </c>
      <c r="R1162" s="452"/>
      <c r="S1162" s="452"/>
      <c r="T1162" s="452">
        <f>F1162+P1162-R1162</f>
        <v>1</v>
      </c>
      <c r="U1162" s="452">
        <f>O1162+Q1162-S1162+L1162</f>
        <v>3129.33</v>
      </c>
      <c r="V1162" s="453">
        <f>V1161</f>
        <v>2606.1000000000004</v>
      </c>
      <c r="W1162" s="453"/>
      <c r="X1162" s="42"/>
      <c r="Y1162" s="336"/>
      <c r="Z1162" s="336"/>
      <c r="AA1162" s="42"/>
      <c r="AB1162" s="39"/>
    </row>
    <row r="1163" spans="1:28" s="38" customFormat="1">
      <c r="A1163" s="449" t="s">
        <v>3891</v>
      </c>
      <c r="B1163" s="448">
        <v>12336</v>
      </c>
      <c r="C1163" s="449" t="s">
        <v>4076</v>
      </c>
      <c r="D1163" s="447" t="s">
        <v>44</v>
      </c>
      <c r="E1163" s="447" t="s">
        <v>52</v>
      </c>
      <c r="F1163" s="450"/>
      <c r="G1163" s="450">
        <f>(V1163-(V1163*$Y$15))*$S$16</f>
        <v>16.845477485814751</v>
      </c>
      <c r="H1163" s="450">
        <f t="shared" si="356"/>
        <v>21.36</v>
      </c>
      <c r="I1163" s="451"/>
      <c r="J1163" s="452"/>
      <c r="K1163" s="452"/>
      <c r="L1163" s="452"/>
      <c r="M1163" s="452"/>
      <c r="N1163" s="452"/>
      <c r="O1163" s="452"/>
      <c r="P1163" s="493">
        <v>765.6</v>
      </c>
      <c r="Q1163" s="452">
        <f>ROUND(P1163*H1163,2)</f>
        <v>16353.22</v>
      </c>
      <c r="R1163" s="452"/>
      <c r="S1163" s="452"/>
      <c r="T1163" s="452">
        <f>F1163+P1163-R1163</f>
        <v>765.6</v>
      </c>
      <c r="U1163" s="452">
        <f>O1163+Q1163-S1163+L1163</f>
        <v>16353.22</v>
      </c>
      <c r="V1163" s="453">
        <f>COMP!G61</f>
        <v>17.79</v>
      </c>
      <c r="W1163" s="453"/>
      <c r="X1163" s="42"/>
      <c r="Y1163" s="336"/>
      <c r="Z1163" s="336"/>
      <c r="AA1163" s="42"/>
      <c r="AB1163" s="39"/>
    </row>
    <row r="1164" spans="1:28" s="55" customFormat="1" ht="15" customHeight="1">
      <c r="A1164" s="229" t="s">
        <v>1441</v>
      </c>
      <c r="B1164" s="229"/>
      <c r="C1164" s="229" t="s">
        <v>325</v>
      </c>
      <c r="D1164" s="230"/>
      <c r="E1164" s="230"/>
      <c r="F1164" s="230"/>
      <c r="G1164" s="22"/>
      <c r="H1164" s="230"/>
      <c r="I1164" s="445"/>
      <c r="J1164" s="440"/>
      <c r="K1164" s="440"/>
      <c r="L1164" s="440"/>
      <c r="M1164" s="440"/>
      <c r="N1164" s="440"/>
      <c r="O1164" s="440"/>
      <c r="P1164" s="492"/>
      <c r="Q1164" s="440"/>
      <c r="R1164" s="440"/>
      <c r="S1164" s="440"/>
      <c r="T1164" s="148"/>
      <c r="U1164" s="148"/>
      <c r="V1164" s="330"/>
      <c r="W1164" s="330"/>
      <c r="X1164" s="57"/>
      <c r="Y1164" s="334"/>
      <c r="Z1164" s="334">
        <f t="shared" si="337"/>
        <v>0</v>
      </c>
      <c r="AA1164" s="57"/>
      <c r="AB1164" s="58"/>
    </row>
    <row r="1165" spans="1:28" s="38" customFormat="1">
      <c r="A1165" s="449" t="s">
        <v>1442</v>
      </c>
      <c r="B1165" s="448">
        <v>70473</v>
      </c>
      <c r="C1165" s="449" t="s">
        <v>2624</v>
      </c>
      <c r="D1165" s="447" t="s">
        <v>1914</v>
      </c>
      <c r="E1165" s="447" t="s">
        <v>52</v>
      </c>
      <c r="F1165" s="450">
        <v>110</v>
      </c>
      <c r="G1165" s="450">
        <f>Y1165-(Y1165*$Y$15)</f>
        <v>89.0715</v>
      </c>
      <c r="H1165" s="450">
        <f>ROUND(G1165*(1+$X$14),2)</f>
        <v>112.95</v>
      </c>
      <c r="I1165" s="451">
        <f>ROUND(H1165*F1165,2)</f>
        <v>12424.5</v>
      </c>
      <c r="J1165" s="452"/>
      <c r="K1165" s="452"/>
      <c r="L1165" s="452"/>
      <c r="M1165" s="452">
        <v>99.23</v>
      </c>
      <c r="N1165" s="452">
        <v>125.83</v>
      </c>
      <c r="O1165" s="452">
        <v>13841.3</v>
      </c>
      <c r="P1165" s="493"/>
      <c r="Q1165" s="452">
        <f>ROUND(P1165*H1165,2)</f>
        <v>0</v>
      </c>
      <c r="R1165" s="452">
        <v>110</v>
      </c>
      <c r="S1165" s="452">
        <f>ROUND(R1165*N1165,2)</f>
        <v>13841.3</v>
      </c>
      <c r="T1165" s="452">
        <f t="shared" si="357"/>
        <v>0</v>
      </c>
      <c r="U1165" s="452">
        <f t="shared" si="329"/>
        <v>0</v>
      </c>
      <c r="V1165" s="453"/>
      <c r="W1165" s="453"/>
      <c r="X1165" s="42">
        <f>'COMPOSIÇÃO DE CUSTOS'!G1602</f>
        <v>89.07</v>
      </c>
      <c r="Y1165" s="336">
        <v>104.79</v>
      </c>
      <c r="Z1165" s="336">
        <f t="shared" si="337"/>
        <v>9797.8649999999998</v>
      </c>
      <c r="AA1165" s="42"/>
      <c r="AB1165" s="39"/>
    </row>
    <row r="1166" spans="1:28" s="55" customFormat="1" ht="15" customHeight="1">
      <c r="A1166" s="229" t="s">
        <v>1443</v>
      </c>
      <c r="B1166" s="229"/>
      <c r="C1166" s="229" t="s">
        <v>135</v>
      </c>
      <c r="D1166" s="230"/>
      <c r="E1166" s="230"/>
      <c r="F1166" s="230"/>
      <c r="G1166" s="22"/>
      <c r="H1166" s="230"/>
      <c r="I1166" s="445"/>
      <c r="J1166" s="440"/>
      <c r="K1166" s="440"/>
      <c r="L1166" s="440"/>
      <c r="M1166" s="440"/>
      <c r="N1166" s="440"/>
      <c r="O1166" s="440"/>
      <c r="P1166" s="492"/>
      <c r="Q1166" s="440"/>
      <c r="R1166" s="440"/>
      <c r="S1166" s="440"/>
      <c r="T1166" s="148"/>
      <c r="U1166" s="148"/>
      <c r="V1166" s="330"/>
      <c r="W1166" s="330"/>
      <c r="X1166" s="58"/>
      <c r="Y1166" s="334"/>
      <c r="Z1166" s="334">
        <f t="shared" si="337"/>
        <v>0</v>
      </c>
      <c r="AA1166" s="58"/>
      <c r="AB1166" s="58"/>
    </row>
    <row r="1167" spans="1:28" s="38" customFormat="1" ht="30">
      <c r="A1167" s="449" t="s">
        <v>1444</v>
      </c>
      <c r="B1167" s="448" t="s">
        <v>3354</v>
      </c>
      <c r="C1167" s="449" t="s">
        <v>3058</v>
      </c>
      <c r="D1167" s="447" t="s">
        <v>3046</v>
      </c>
      <c r="E1167" s="447" t="s">
        <v>17</v>
      </c>
      <c r="F1167" s="450">
        <v>1</v>
      </c>
      <c r="G1167" s="450">
        <f t="shared" ref="G1167:G1181" si="358">Y1167-(Y1167*$Y$15)</f>
        <v>86986.866500000004</v>
      </c>
      <c r="H1167" s="450">
        <f t="shared" ref="H1167:H1176" si="359">ROUND(G1167*(1+$X$15),2)</f>
        <v>103236.01</v>
      </c>
      <c r="I1167" s="451">
        <f t="shared" ref="I1167:I1181" si="360">ROUND(H1167*F1167,2)</f>
        <v>103236.01</v>
      </c>
      <c r="J1167" s="452"/>
      <c r="K1167" s="452"/>
      <c r="L1167" s="452"/>
      <c r="M1167" s="452">
        <v>78193.210000000006</v>
      </c>
      <c r="N1167" s="452">
        <v>92799.7</v>
      </c>
      <c r="O1167" s="452">
        <v>92799.7</v>
      </c>
      <c r="P1167" s="493"/>
      <c r="Q1167" s="452">
        <f>ROUND(P1167*N1167,2)</f>
        <v>0</v>
      </c>
      <c r="R1167" s="452">
        <v>1</v>
      </c>
      <c r="S1167" s="452">
        <f>ROUND(R1167*N1167,2)</f>
        <v>92799.7</v>
      </c>
      <c r="T1167" s="452">
        <f t="shared" si="357"/>
        <v>0</v>
      </c>
      <c r="U1167" s="452">
        <f t="shared" si="329"/>
        <v>0</v>
      </c>
      <c r="V1167" s="453"/>
      <c r="W1167" s="453"/>
      <c r="X1167" s="42">
        <f>'COMPOSIÇÃO DE CUSTOS'!G1608</f>
        <v>86986.87</v>
      </c>
      <c r="Y1167" s="336">
        <v>102337.49</v>
      </c>
      <c r="Z1167" s="336">
        <f t="shared" si="337"/>
        <v>86986.866500000004</v>
      </c>
      <c r="AA1167" s="42"/>
      <c r="AB1167" s="39"/>
    </row>
    <row r="1168" spans="1:28" s="38" customFormat="1" ht="30">
      <c r="A1168" s="449" t="s">
        <v>1445</v>
      </c>
      <c r="B1168" s="448" t="s">
        <v>3359</v>
      </c>
      <c r="C1168" s="449" t="s">
        <v>3059</v>
      </c>
      <c r="D1168" s="447" t="s">
        <v>3046</v>
      </c>
      <c r="E1168" s="447" t="s">
        <v>17</v>
      </c>
      <c r="F1168" s="450">
        <v>2</v>
      </c>
      <c r="G1168" s="450">
        <f t="shared" si="358"/>
        <v>122495.29349999999</v>
      </c>
      <c r="H1168" s="450">
        <f t="shared" si="359"/>
        <v>145377.41</v>
      </c>
      <c r="I1168" s="451">
        <f t="shared" si="360"/>
        <v>290754.82</v>
      </c>
      <c r="J1168" s="452"/>
      <c r="K1168" s="452"/>
      <c r="L1168" s="452"/>
      <c r="M1168" s="452">
        <v>101263.74</v>
      </c>
      <c r="N1168" s="452">
        <v>120179.81</v>
      </c>
      <c r="O1168" s="452">
        <v>240359.62</v>
      </c>
      <c r="P1168" s="493"/>
      <c r="Q1168" s="452">
        <f t="shared" ref="Q1168:Q1181" si="361">ROUND(P1168*N1168,2)</f>
        <v>0</v>
      </c>
      <c r="R1168" s="452">
        <v>1</v>
      </c>
      <c r="S1168" s="452">
        <f t="shared" ref="S1168:S1181" si="362">ROUND(R1168*N1168,2)</f>
        <v>120179.81</v>
      </c>
      <c r="T1168" s="452">
        <f t="shared" si="357"/>
        <v>1</v>
      </c>
      <c r="U1168" s="452">
        <f t="shared" si="329"/>
        <v>120179.81</v>
      </c>
      <c r="V1168" s="453"/>
      <c r="W1168" s="453"/>
      <c r="X1168" s="42">
        <f>'COMPOSIÇÃO DE CUSTOS'!G1614</f>
        <v>122495.3</v>
      </c>
      <c r="Y1168" s="336">
        <v>144112.10999999999</v>
      </c>
      <c r="Z1168" s="336">
        <f t="shared" si="337"/>
        <v>244990.58699999997</v>
      </c>
      <c r="AA1168" s="42"/>
      <c r="AB1168" s="39"/>
    </row>
    <row r="1169" spans="1:28" s="55" customFormat="1" ht="30">
      <c r="A1169" s="19" t="s">
        <v>2527</v>
      </c>
      <c r="B1169" s="20" t="s">
        <v>3360</v>
      </c>
      <c r="C1169" s="19" t="s">
        <v>3060</v>
      </c>
      <c r="D1169" s="21" t="s">
        <v>3046</v>
      </c>
      <c r="E1169" s="21" t="s">
        <v>17</v>
      </c>
      <c r="F1169" s="22">
        <v>1</v>
      </c>
      <c r="G1169" s="22">
        <f t="shared" si="358"/>
        <v>127299.10249999999</v>
      </c>
      <c r="H1169" s="22">
        <f t="shared" si="359"/>
        <v>151078.57</v>
      </c>
      <c r="I1169" s="147">
        <f t="shared" si="360"/>
        <v>151078.57</v>
      </c>
      <c r="J1169" s="148"/>
      <c r="K1169" s="148"/>
      <c r="L1169" s="148"/>
      <c r="M1169" s="148">
        <v>111832.54</v>
      </c>
      <c r="N1169" s="148">
        <v>132722.85999999999</v>
      </c>
      <c r="O1169" s="148">
        <v>132722.85999999999</v>
      </c>
      <c r="P1169" s="494"/>
      <c r="Q1169" s="148">
        <f t="shared" si="361"/>
        <v>0</v>
      </c>
      <c r="R1169" s="148"/>
      <c r="S1169" s="148">
        <f t="shared" si="362"/>
        <v>0</v>
      </c>
      <c r="T1169" s="148">
        <f t="shared" si="357"/>
        <v>1</v>
      </c>
      <c r="U1169" s="148">
        <f t="shared" si="329"/>
        <v>132722.85999999999</v>
      </c>
      <c r="V1169" s="379"/>
      <c r="W1169" s="379"/>
      <c r="X1169" s="57">
        <f>'COMPOSIÇÃO DE CUSTOS'!G1620</f>
        <v>127299.1</v>
      </c>
      <c r="Y1169" s="334">
        <v>149763.65</v>
      </c>
      <c r="Z1169" s="334">
        <f t="shared" si="337"/>
        <v>127299.10249999999</v>
      </c>
      <c r="AA1169" s="57"/>
      <c r="AB1169" s="58"/>
    </row>
    <row r="1170" spans="1:28" s="38" customFormat="1" ht="30">
      <c r="A1170" s="449" t="s">
        <v>2528</v>
      </c>
      <c r="B1170" s="448" t="s">
        <v>3361</v>
      </c>
      <c r="C1170" s="449" t="s">
        <v>3061</v>
      </c>
      <c r="D1170" s="447" t="s">
        <v>3046</v>
      </c>
      <c r="E1170" s="447" t="s">
        <v>17</v>
      </c>
      <c r="F1170" s="450">
        <v>1</v>
      </c>
      <c r="G1170" s="450">
        <f t="shared" si="358"/>
        <v>132833.26549999998</v>
      </c>
      <c r="H1170" s="450">
        <f t="shared" si="359"/>
        <v>157646.51999999999</v>
      </c>
      <c r="I1170" s="451">
        <f t="shared" si="360"/>
        <v>157646.51999999999</v>
      </c>
      <c r="J1170" s="452"/>
      <c r="K1170" s="452"/>
      <c r="L1170" s="452"/>
      <c r="M1170" s="452">
        <v>116726.17</v>
      </c>
      <c r="N1170" s="452">
        <v>138530.62</v>
      </c>
      <c r="O1170" s="452">
        <v>138530.62</v>
      </c>
      <c r="P1170" s="493"/>
      <c r="Q1170" s="452">
        <f t="shared" si="361"/>
        <v>0</v>
      </c>
      <c r="R1170" s="452">
        <v>1</v>
      </c>
      <c r="S1170" s="452">
        <f t="shared" si="362"/>
        <v>138530.62</v>
      </c>
      <c r="T1170" s="452">
        <f t="shared" si="357"/>
        <v>0</v>
      </c>
      <c r="U1170" s="452">
        <f t="shared" si="329"/>
        <v>0</v>
      </c>
      <c r="V1170" s="453"/>
      <c r="W1170" s="453"/>
      <c r="X1170" s="42">
        <f>'COMPOSIÇÃO DE CUSTOS'!G1626</f>
        <v>132833.26999999999</v>
      </c>
      <c r="Y1170" s="336">
        <v>156274.43</v>
      </c>
      <c r="Z1170" s="336">
        <f t="shared" si="337"/>
        <v>132833.26549999998</v>
      </c>
      <c r="AA1170" s="42"/>
      <c r="AB1170" s="39"/>
    </row>
    <row r="1171" spans="1:28" s="38" customFormat="1" ht="33" customHeight="1">
      <c r="A1171" s="449" t="s">
        <v>2529</v>
      </c>
      <c r="B1171" s="448" t="s">
        <v>3333</v>
      </c>
      <c r="C1171" s="449" t="s">
        <v>3053</v>
      </c>
      <c r="D1171" s="447" t="s">
        <v>3046</v>
      </c>
      <c r="E1171" s="447" t="s">
        <v>17</v>
      </c>
      <c r="F1171" s="450">
        <v>6</v>
      </c>
      <c r="G1171" s="450">
        <f t="shared" si="358"/>
        <v>3875.3539999999998</v>
      </c>
      <c r="H1171" s="450">
        <f t="shared" si="359"/>
        <v>4599.2700000000004</v>
      </c>
      <c r="I1171" s="451">
        <f t="shared" si="360"/>
        <v>27595.62</v>
      </c>
      <c r="J1171" s="452"/>
      <c r="K1171" s="452"/>
      <c r="L1171" s="452"/>
      <c r="M1171" s="452">
        <v>4546.82</v>
      </c>
      <c r="N1171" s="452">
        <v>5396.17</v>
      </c>
      <c r="O1171" s="452">
        <v>32377.02</v>
      </c>
      <c r="P1171" s="493"/>
      <c r="Q1171" s="452">
        <f t="shared" si="361"/>
        <v>0</v>
      </c>
      <c r="R1171" s="452">
        <f>F1171-2-1</f>
        <v>3</v>
      </c>
      <c r="S1171" s="452">
        <f t="shared" si="362"/>
        <v>16188.51</v>
      </c>
      <c r="T1171" s="452">
        <f t="shared" si="357"/>
        <v>3</v>
      </c>
      <c r="U1171" s="452">
        <f t="shared" si="329"/>
        <v>16188.51</v>
      </c>
      <c r="V1171" s="453"/>
      <c r="W1171" s="453"/>
      <c r="X1171" s="42">
        <f>'COMPOSIÇÃO DE CUSTOS'!G1631</f>
        <v>3875.35</v>
      </c>
      <c r="Y1171" s="336">
        <v>4559.24</v>
      </c>
      <c r="Z1171" s="336">
        <f t="shared" si="337"/>
        <v>23252.124</v>
      </c>
      <c r="AA1171" s="42"/>
      <c r="AB1171" s="39">
        <f>5/0.8</f>
        <v>6.25</v>
      </c>
    </row>
    <row r="1172" spans="1:28" s="38" customFormat="1" ht="28.5" customHeight="1">
      <c r="A1172" s="449" t="s">
        <v>2530</v>
      </c>
      <c r="B1172" s="448" t="s">
        <v>3332</v>
      </c>
      <c r="C1172" s="449" t="s">
        <v>3052</v>
      </c>
      <c r="D1172" s="447" t="s">
        <v>3046</v>
      </c>
      <c r="E1172" s="447" t="s">
        <v>17</v>
      </c>
      <c r="F1172" s="450">
        <v>22</v>
      </c>
      <c r="G1172" s="450">
        <f t="shared" si="358"/>
        <v>3752.2655000000004</v>
      </c>
      <c r="H1172" s="450">
        <f t="shared" si="359"/>
        <v>4453.1899999999996</v>
      </c>
      <c r="I1172" s="451">
        <f t="shared" si="360"/>
        <v>97970.18</v>
      </c>
      <c r="J1172" s="452"/>
      <c r="K1172" s="452"/>
      <c r="L1172" s="452"/>
      <c r="M1172" s="452">
        <v>4149.95</v>
      </c>
      <c r="N1172" s="452">
        <v>4925.16</v>
      </c>
      <c r="O1172" s="452">
        <v>108353.52</v>
      </c>
      <c r="P1172" s="493"/>
      <c r="Q1172" s="452">
        <f t="shared" si="361"/>
        <v>0</v>
      </c>
      <c r="R1172" s="452">
        <f>F1172-6-8</f>
        <v>8</v>
      </c>
      <c r="S1172" s="452">
        <f t="shared" si="362"/>
        <v>39401.279999999999</v>
      </c>
      <c r="T1172" s="452">
        <f t="shared" si="357"/>
        <v>14</v>
      </c>
      <c r="U1172" s="452">
        <f t="shared" si="329"/>
        <v>68952.240000000005</v>
      </c>
      <c r="V1172" s="453"/>
      <c r="W1172" s="453"/>
      <c r="X1172" s="42">
        <f>'COMPOSIÇÃO DE CUSTOS'!G1636</f>
        <v>3752.27</v>
      </c>
      <c r="Y1172" s="336">
        <v>4414.43</v>
      </c>
      <c r="Z1172" s="336">
        <f t="shared" si="337"/>
        <v>82549.841000000015</v>
      </c>
      <c r="AA1172" s="42"/>
      <c r="AB1172" s="39"/>
    </row>
    <row r="1173" spans="1:28" s="38" customFormat="1" ht="30">
      <c r="A1173" s="449" t="s">
        <v>2531</v>
      </c>
      <c r="B1173" s="448" t="s">
        <v>3331</v>
      </c>
      <c r="C1173" s="449" t="s">
        <v>3051</v>
      </c>
      <c r="D1173" s="447" t="s">
        <v>3046</v>
      </c>
      <c r="E1173" s="447" t="s">
        <v>17</v>
      </c>
      <c r="F1173" s="450">
        <v>20</v>
      </c>
      <c r="G1173" s="450">
        <f t="shared" si="358"/>
        <v>3457.069</v>
      </c>
      <c r="H1173" s="450">
        <f t="shared" si="359"/>
        <v>4102.8500000000004</v>
      </c>
      <c r="I1173" s="451">
        <f t="shared" si="360"/>
        <v>82057</v>
      </c>
      <c r="J1173" s="452"/>
      <c r="K1173" s="452"/>
      <c r="L1173" s="452"/>
      <c r="M1173" s="452">
        <v>4051.47</v>
      </c>
      <c r="N1173" s="452">
        <v>4808.28</v>
      </c>
      <c r="O1173" s="452">
        <v>96165.6</v>
      </c>
      <c r="P1173" s="493"/>
      <c r="Q1173" s="452">
        <f t="shared" si="361"/>
        <v>0</v>
      </c>
      <c r="R1173" s="452">
        <f>F1173-14-5</f>
        <v>1</v>
      </c>
      <c r="S1173" s="452">
        <f t="shared" si="362"/>
        <v>4808.28</v>
      </c>
      <c r="T1173" s="452">
        <f t="shared" si="357"/>
        <v>19</v>
      </c>
      <c r="U1173" s="452">
        <f t="shared" ref="U1173:U1190" si="363">O1173+Q1173-S1173+L1173</f>
        <v>91357.32</v>
      </c>
      <c r="V1173" s="453"/>
      <c r="W1173" s="453"/>
      <c r="X1173" s="42">
        <f>'COMPOSIÇÃO DE CUSTOS'!G1641</f>
        <v>3457.07</v>
      </c>
      <c r="Y1173" s="336">
        <v>4067.14</v>
      </c>
      <c r="Z1173" s="336">
        <f t="shared" si="337"/>
        <v>69141.38</v>
      </c>
      <c r="AA1173" s="42"/>
      <c r="AB1173" s="39"/>
    </row>
    <row r="1174" spans="1:28" s="38" customFormat="1" ht="39.75" customHeight="1">
      <c r="A1174" s="19" t="s">
        <v>2532</v>
      </c>
      <c r="B1174" s="20" t="s">
        <v>3337</v>
      </c>
      <c r="C1174" s="19" t="s">
        <v>3050</v>
      </c>
      <c r="D1174" s="21" t="s">
        <v>3046</v>
      </c>
      <c r="E1174" s="21" t="s">
        <v>17</v>
      </c>
      <c r="F1174" s="22">
        <v>3</v>
      </c>
      <c r="G1174" s="22">
        <f t="shared" si="358"/>
        <v>3796.3975000000005</v>
      </c>
      <c r="H1174" s="22">
        <f t="shared" si="359"/>
        <v>4505.5600000000004</v>
      </c>
      <c r="I1174" s="147">
        <f t="shared" si="360"/>
        <v>13516.68</v>
      </c>
      <c r="J1174" s="148"/>
      <c r="K1174" s="148"/>
      <c r="L1174" s="148"/>
      <c r="M1174" s="148">
        <v>4229.22</v>
      </c>
      <c r="N1174" s="148">
        <v>5363.07</v>
      </c>
      <c r="O1174" s="148">
        <v>16089.21</v>
      </c>
      <c r="P1174" s="494"/>
      <c r="Q1174" s="148">
        <f t="shared" si="361"/>
        <v>0</v>
      </c>
      <c r="R1174" s="148"/>
      <c r="S1174" s="148">
        <f t="shared" si="362"/>
        <v>0</v>
      </c>
      <c r="T1174" s="148">
        <f t="shared" si="357"/>
        <v>3</v>
      </c>
      <c r="U1174" s="148">
        <f t="shared" si="363"/>
        <v>16089.21</v>
      </c>
      <c r="V1174" s="379"/>
      <c r="W1174" s="379"/>
      <c r="X1174" s="42">
        <f>'COMPOSIÇÃO DE CUSTOS'!G1646</f>
        <v>3796.4</v>
      </c>
      <c r="Y1174" s="336">
        <v>4466.3500000000004</v>
      </c>
      <c r="Z1174" s="334">
        <f t="shared" si="337"/>
        <v>11389.192500000001</v>
      </c>
      <c r="AA1174" s="42"/>
      <c r="AB1174" s="42"/>
    </row>
    <row r="1175" spans="1:28" ht="30">
      <c r="A1175" s="19" t="s">
        <v>2533</v>
      </c>
      <c r="B1175" s="20" t="s">
        <v>3327</v>
      </c>
      <c r="C1175" s="19" t="s">
        <v>3049</v>
      </c>
      <c r="D1175" s="21" t="s">
        <v>3046</v>
      </c>
      <c r="E1175" s="21" t="s">
        <v>17</v>
      </c>
      <c r="F1175" s="22">
        <v>5</v>
      </c>
      <c r="G1175" s="22">
        <f t="shared" si="358"/>
        <v>3828.9184999999998</v>
      </c>
      <c r="H1175" s="22">
        <f t="shared" si="359"/>
        <v>4544.16</v>
      </c>
      <c r="I1175" s="147">
        <f t="shared" si="360"/>
        <v>22720.799999999999</v>
      </c>
      <c r="J1175" s="148"/>
      <c r="K1175" s="148"/>
      <c r="L1175" s="148"/>
      <c r="M1175" s="148">
        <v>4265.45</v>
      </c>
      <c r="N1175" s="148">
        <v>5409.02</v>
      </c>
      <c r="O1175" s="148">
        <v>27045.1</v>
      </c>
      <c r="P1175" s="494"/>
      <c r="Q1175" s="148">
        <f t="shared" si="361"/>
        <v>0</v>
      </c>
      <c r="R1175" s="148"/>
      <c r="S1175" s="148">
        <f t="shared" si="362"/>
        <v>0</v>
      </c>
      <c r="T1175" s="148">
        <f t="shared" si="357"/>
        <v>5</v>
      </c>
      <c r="U1175" s="148">
        <f t="shared" si="363"/>
        <v>27045.1</v>
      </c>
      <c r="V1175" s="379"/>
      <c r="W1175" s="379"/>
      <c r="X1175" s="33">
        <f>'COMPOSIÇÃO DE CUSTOS'!G1651</f>
        <v>3828.92</v>
      </c>
      <c r="Y1175" s="337">
        <v>4504.6099999999997</v>
      </c>
      <c r="Z1175" s="337">
        <f t="shared" si="337"/>
        <v>19144.592499999999</v>
      </c>
      <c r="AA1175" s="33"/>
      <c r="AB1175" s="33"/>
    </row>
    <row r="1176" spans="1:28" s="38" customFormat="1" ht="30">
      <c r="A1176" s="449" t="s">
        <v>2534</v>
      </c>
      <c r="B1176" s="448" t="s">
        <v>3328</v>
      </c>
      <c r="C1176" s="449" t="s">
        <v>3048</v>
      </c>
      <c r="D1176" s="447" t="s">
        <v>3046</v>
      </c>
      <c r="E1176" s="447" t="s">
        <v>17</v>
      </c>
      <c r="F1176" s="450">
        <v>3</v>
      </c>
      <c r="G1176" s="450">
        <f t="shared" si="358"/>
        <v>2961.672</v>
      </c>
      <c r="H1176" s="450">
        <f t="shared" si="359"/>
        <v>3514.91</v>
      </c>
      <c r="I1176" s="451">
        <f t="shared" si="360"/>
        <v>10544.73</v>
      </c>
      <c r="J1176" s="452"/>
      <c r="K1176" s="452"/>
      <c r="L1176" s="452"/>
      <c r="M1176" s="452">
        <v>3299.33</v>
      </c>
      <c r="N1176" s="452">
        <v>4183.88</v>
      </c>
      <c r="O1176" s="452">
        <v>12551.64</v>
      </c>
      <c r="P1176" s="493"/>
      <c r="Q1176" s="452">
        <f>ROUND(P1176*N1176,2)</f>
        <v>0</v>
      </c>
      <c r="R1176" s="452">
        <v>1</v>
      </c>
      <c r="S1176" s="452">
        <f t="shared" si="362"/>
        <v>4183.88</v>
      </c>
      <c r="T1176" s="452">
        <f t="shared" si="357"/>
        <v>2</v>
      </c>
      <c r="U1176" s="452">
        <f t="shared" si="363"/>
        <v>8367.7599999999984</v>
      </c>
      <c r="V1176" s="453"/>
      <c r="W1176" s="453"/>
      <c r="X1176" s="42">
        <f>'COMPOSIÇÃO DE CUSTOS'!G1656</f>
        <v>2961.67</v>
      </c>
      <c r="Y1176" s="336">
        <v>3484.32</v>
      </c>
      <c r="Z1176" s="336">
        <f t="shared" si="337"/>
        <v>8885.0159999999996</v>
      </c>
      <c r="AA1176" s="525">
        <f>SUM(G1167:G1176)</f>
        <v>491286.20449999999</v>
      </c>
      <c r="AB1176" s="42"/>
    </row>
    <row r="1177" spans="1:28" s="38" customFormat="1" ht="30">
      <c r="A1177" s="449" t="s">
        <v>2535</v>
      </c>
      <c r="B1177" s="448" t="s">
        <v>3047</v>
      </c>
      <c r="C1177" s="449" t="s">
        <v>3045</v>
      </c>
      <c r="D1177" s="447" t="s">
        <v>3046</v>
      </c>
      <c r="E1177" s="447" t="s">
        <v>17</v>
      </c>
      <c r="F1177" s="450">
        <v>59</v>
      </c>
      <c r="G1177" s="450">
        <f t="shared" si="358"/>
        <v>295.596</v>
      </c>
      <c r="H1177" s="450">
        <f t="shared" ref="H1177:H1181" si="364">ROUND(G1177*(1+$X$14),2)</f>
        <v>374.85</v>
      </c>
      <c r="I1177" s="451">
        <f t="shared" si="360"/>
        <v>22116.15</v>
      </c>
      <c r="J1177" s="452"/>
      <c r="K1177" s="452"/>
      <c r="L1177" s="452"/>
      <c r="M1177" s="452">
        <v>329.29</v>
      </c>
      <c r="N1177" s="452">
        <v>417.57</v>
      </c>
      <c r="O1177" s="452">
        <v>24636.63</v>
      </c>
      <c r="P1177" s="493">
        <f>62-F1177</f>
        <v>3</v>
      </c>
      <c r="Q1177" s="452">
        <f t="shared" si="361"/>
        <v>1252.71</v>
      </c>
      <c r="R1177" s="452"/>
      <c r="S1177" s="452">
        <f t="shared" si="362"/>
        <v>0</v>
      </c>
      <c r="T1177" s="452">
        <f t="shared" si="357"/>
        <v>62</v>
      </c>
      <c r="U1177" s="452">
        <f t="shared" si="363"/>
        <v>25889.34</v>
      </c>
      <c r="V1177" s="453"/>
      <c r="W1177" s="453"/>
      <c r="X1177" s="42">
        <f>'COMPOSIÇÃO DE CUSTOS'!G2546</f>
        <v>295.58999999999997</v>
      </c>
      <c r="Y1177" s="336">
        <v>347.76</v>
      </c>
      <c r="Z1177" s="336">
        <f t="shared" si="337"/>
        <v>17440.164000000001</v>
      </c>
      <c r="AA1177" s="42"/>
      <c r="AB1177" s="42"/>
    </row>
    <row r="1178" spans="1:28" s="38" customFormat="1" ht="30">
      <c r="A1178" s="449" t="s">
        <v>2536</v>
      </c>
      <c r="B1178" s="448" t="s">
        <v>3062</v>
      </c>
      <c r="C1178" s="449" t="s">
        <v>3063</v>
      </c>
      <c r="D1178" s="447" t="s">
        <v>3046</v>
      </c>
      <c r="E1178" s="447" t="s">
        <v>17</v>
      </c>
      <c r="F1178" s="450">
        <v>5</v>
      </c>
      <c r="G1178" s="450">
        <f t="shared" si="358"/>
        <v>543.25199999999995</v>
      </c>
      <c r="H1178" s="450">
        <f t="shared" si="364"/>
        <v>688.9</v>
      </c>
      <c r="I1178" s="451">
        <f t="shared" si="360"/>
        <v>3444.5</v>
      </c>
      <c r="J1178" s="452"/>
      <c r="K1178" s="452"/>
      <c r="L1178" s="452"/>
      <c r="M1178" s="452">
        <v>605.19000000000005</v>
      </c>
      <c r="N1178" s="452">
        <v>767.44</v>
      </c>
      <c r="O1178" s="452">
        <v>3837.2</v>
      </c>
      <c r="P1178" s="493"/>
      <c r="Q1178" s="452">
        <f t="shared" si="361"/>
        <v>0</v>
      </c>
      <c r="R1178" s="452">
        <v>2</v>
      </c>
      <c r="S1178" s="452">
        <f t="shared" si="362"/>
        <v>1534.88</v>
      </c>
      <c r="T1178" s="452">
        <f t="shared" si="357"/>
        <v>3</v>
      </c>
      <c r="U1178" s="452">
        <f t="shared" si="363"/>
        <v>2302.3199999999997</v>
      </c>
      <c r="V1178" s="453"/>
      <c r="W1178" s="453"/>
      <c r="X1178" s="42">
        <f>'COMPOSIÇÃO DE CUSTOS'!G2554</f>
        <v>543.25</v>
      </c>
      <c r="Y1178" s="336">
        <v>639.12</v>
      </c>
      <c r="Z1178" s="336">
        <f t="shared" si="337"/>
        <v>2716.2599999999998</v>
      </c>
      <c r="AA1178" s="42"/>
      <c r="AB1178" s="42"/>
    </row>
    <row r="1179" spans="1:28" s="38" customFormat="1" ht="30">
      <c r="A1179" s="449" t="s">
        <v>2537</v>
      </c>
      <c r="B1179" s="448">
        <v>779329</v>
      </c>
      <c r="C1179" s="449" t="s">
        <v>2513</v>
      </c>
      <c r="D1179" s="447" t="s">
        <v>1914</v>
      </c>
      <c r="E1179" s="447" t="s">
        <v>17</v>
      </c>
      <c r="F1179" s="450">
        <v>57</v>
      </c>
      <c r="G1179" s="450">
        <f t="shared" si="358"/>
        <v>241.42549999999997</v>
      </c>
      <c r="H1179" s="450">
        <f t="shared" si="364"/>
        <v>306.14999999999998</v>
      </c>
      <c r="I1179" s="451">
        <f t="shared" si="360"/>
        <v>17450.55</v>
      </c>
      <c r="J1179" s="452"/>
      <c r="K1179" s="452"/>
      <c r="L1179" s="452"/>
      <c r="M1179" s="452">
        <v>268.95</v>
      </c>
      <c r="N1179" s="452">
        <v>341.06</v>
      </c>
      <c r="O1179" s="452">
        <v>19440.419999999998</v>
      </c>
      <c r="P1179" s="493">
        <f>7+29+27-F1179</f>
        <v>6</v>
      </c>
      <c r="Q1179" s="452">
        <f t="shared" si="361"/>
        <v>2046.36</v>
      </c>
      <c r="R1179" s="452"/>
      <c r="S1179" s="452">
        <f t="shared" si="362"/>
        <v>0</v>
      </c>
      <c r="T1179" s="452">
        <f t="shared" si="357"/>
        <v>63</v>
      </c>
      <c r="U1179" s="452">
        <f t="shared" si="363"/>
        <v>21486.78</v>
      </c>
      <c r="V1179" s="453"/>
      <c r="W1179" s="453"/>
      <c r="X1179" s="42">
        <f>'COMPOSIÇÃO DE CUSTOS'!G1661</f>
        <v>284.02999999999997</v>
      </c>
      <c r="Y1179" s="336">
        <v>284.02999999999997</v>
      </c>
      <c r="Z1179" s="336">
        <f t="shared" si="337"/>
        <v>13761.253499999999</v>
      </c>
      <c r="AA1179" s="42"/>
      <c r="AB1179" s="39"/>
    </row>
    <row r="1180" spans="1:28" s="38" customFormat="1" ht="63" customHeight="1">
      <c r="A1180" s="449" t="s">
        <v>3064</v>
      </c>
      <c r="B1180" s="448" t="s">
        <v>3341</v>
      </c>
      <c r="C1180" s="449" t="s">
        <v>2424</v>
      </c>
      <c r="D1180" s="447" t="s">
        <v>3046</v>
      </c>
      <c r="E1180" s="447" t="s">
        <v>17</v>
      </c>
      <c r="F1180" s="450">
        <v>38</v>
      </c>
      <c r="G1180" s="450">
        <f t="shared" si="358"/>
        <v>303.94299999999998</v>
      </c>
      <c r="H1180" s="450">
        <f t="shared" si="364"/>
        <v>385.43</v>
      </c>
      <c r="I1180" s="451">
        <f t="shared" si="360"/>
        <v>14646.34</v>
      </c>
      <c r="J1180" s="452"/>
      <c r="K1180" s="452"/>
      <c r="L1180" s="452"/>
      <c r="M1180" s="452">
        <v>338.6</v>
      </c>
      <c r="N1180" s="452">
        <v>429.38</v>
      </c>
      <c r="O1180" s="452">
        <v>16316.44</v>
      </c>
      <c r="P1180" s="493"/>
      <c r="Q1180" s="452">
        <f t="shared" si="361"/>
        <v>0</v>
      </c>
      <c r="R1180" s="452">
        <f>F1180</f>
        <v>38</v>
      </c>
      <c r="S1180" s="452">
        <f t="shared" si="362"/>
        <v>16316.44</v>
      </c>
      <c r="T1180" s="452">
        <f t="shared" si="357"/>
        <v>0</v>
      </c>
      <c r="U1180" s="452">
        <f t="shared" si="363"/>
        <v>0</v>
      </c>
      <c r="V1180" s="453"/>
      <c r="W1180" s="453"/>
      <c r="X1180" s="42">
        <f>'COMPOSIÇÃO DE CUSTOS'!G1668</f>
        <v>352.53</v>
      </c>
      <c r="Y1180" s="336">
        <v>357.58</v>
      </c>
      <c r="Z1180" s="336">
        <f t="shared" si="337"/>
        <v>11549.833999999999</v>
      </c>
      <c r="AA1180" s="42"/>
      <c r="AB1180" s="39"/>
    </row>
    <row r="1181" spans="1:28" s="38" customFormat="1">
      <c r="A1181" s="449" t="s">
        <v>3065</v>
      </c>
      <c r="B1181" s="448">
        <v>11509</v>
      </c>
      <c r="C1181" s="449" t="s">
        <v>2522</v>
      </c>
      <c r="D1181" s="447" t="s">
        <v>44</v>
      </c>
      <c r="E1181" s="447" t="s">
        <v>45</v>
      </c>
      <c r="F1181" s="450">
        <f>21+28+28+30+31.5</f>
        <v>138.5</v>
      </c>
      <c r="G1181" s="450">
        <f t="shared" si="358"/>
        <v>41.411999999999999</v>
      </c>
      <c r="H1181" s="450">
        <f t="shared" si="364"/>
        <v>52.51</v>
      </c>
      <c r="I1181" s="451">
        <f t="shared" si="360"/>
        <v>7272.64</v>
      </c>
      <c r="J1181" s="452"/>
      <c r="K1181" s="452"/>
      <c r="L1181" s="452"/>
      <c r="M1181" s="452">
        <v>46.13</v>
      </c>
      <c r="N1181" s="452">
        <v>58.5</v>
      </c>
      <c r="O1181" s="452">
        <v>8102.25</v>
      </c>
      <c r="P1181" s="493"/>
      <c r="Q1181" s="452">
        <f t="shared" si="361"/>
        <v>0</v>
      </c>
      <c r="R1181" s="452">
        <v>30</v>
      </c>
      <c r="S1181" s="452">
        <f t="shared" si="362"/>
        <v>1755</v>
      </c>
      <c r="T1181" s="452">
        <f t="shared" si="357"/>
        <v>108.5</v>
      </c>
      <c r="U1181" s="452">
        <f t="shared" si="363"/>
        <v>6347.25</v>
      </c>
      <c r="V1181" s="453"/>
      <c r="W1181" s="453"/>
      <c r="X1181" s="42">
        <f>'COMPOSIÇÃO DE CUSTOS'!G2257</f>
        <v>41.42</v>
      </c>
      <c r="Y1181" s="336">
        <v>48.72</v>
      </c>
      <c r="Z1181" s="336">
        <f t="shared" si="337"/>
        <v>5735.5619999999999</v>
      </c>
      <c r="AA1181" s="42"/>
      <c r="AB1181" s="39"/>
    </row>
    <row r="1182" spans="1:28" s="38" customFormat="1" ht="30">
      <c r="A1182" s="449" t="s">
        <v>3875</v>
      </c>
      <c r="B1182" s="448" t="s">
        <v>3895</v>
      </c>
      <c r="C1182" s="449" t="s">
        <v>4170</v>
      </c>
      <c r="D1182" s="447" t="s">
        <v>1914</v>
      </c>
      <c r="E1182" s="447" t="s">
        <v>17</v>
      </c>
      <c r="F1182" s="450"/>
      <c r="G1182" s="450">
        <f t="shared" ref="G1182:G1186" si="365">(V1182-(V1182*$Y$15))*$S$16</f>
        <v>501.51988170809022</v>
      </c>
      <c r="H1182" s="450">
        <f>ROUND(G1182*(1+$X$15),2)</f>
        <v>595.20000000000005</v>
      </c>
      <c r="I1182" s="451"/>
      <c r="J1182" s="452"/>
      <c r="K1182" s="452"/>
      <c r="L1182" s="452"/>
      <c r="M1182" s="452"/>
      <c r="N1182" s="452"/>
      <c r="O1182" s="452"/>
      <c r="P1182" s="493">
        <v>2</v>
      </c>
      <c r="Q1182" s="452">
        <f>ROUND(P1182*H1182,2)</f>
        <v>1190.4000000000001</v>
      </c>
      <c r="R1182" s="452"/>
      <c r="S1182" s="452"/>
      <c r="T1182" s="452">
        <f>F1182+P1182-R1182</f>
        <v>2</v>
      </c>
      <c r="U1182" s="452">
        <f t="shared" si="363"/>
        <v>1190.4000000000001</v>
      </c>
      <c r="V1182" s="453">
        <f>COMP!G73</f>
        <v>529.64</v>
      </c>
      <c r="W1182" s="453"/>
      <c r="X1182" s="42"/>
      <c r="Y1182" s="336"/>
      <c r="Z1182" s="336"/>
      <c r="AA1182" s="42"/>
      <c r="AB1182" s="39"/>
    </row>
    <row r="1183" spans="1:28" s="38" customFormat="1" ht="30">
      <c r="A1183" s="449" t="s">
        <v>4062</v>
      </c>
      <c r="B1183" s="448" t="s">
        <v>4110</v>
      </c>
      <c r="C1183" s="449" t="s">
        <v>4066</v>
      </c>
      <c r="D1183" s="447" t="s">
        <v>1914</v>
      </c>
      <c r="E1183" s="447" t="s">
        <v>17</v>
      </c>
      <c r="F1183" s="450"/>
      <c r="G1183" s="450">
        <f t="shared" si="365"/>
        <v>3111.7734900370283</v>
      </c>
      <c r="H1183" s="450">
        <f t="shared" ref="H1183:H1186" si="366">ROUND(G1183*(1+$X$15),2)</f>
        <v>3693.05</v>
      </c>
      <c r="I1183" s="451"/>
      <c r="J1183" s="452"/>
      <c r="K1183" s="452"/>
      <c r="L1183" s="452"/>
      <c r="M1183" s="452"/>
      <c r="N1183" s="452"/>
      <c r="O1183" s="452"/>
      <c r="P1183" s="534">
        <v>11</v>
      </c>
      <c r="Q1183" s="452">
        <f>ROUND(P1183*H1183,2)</f>
        <v>40623.550000000003</v>
      </c>
      <c r="R1183" s="452"/>
      <c r="S1183" s="452"/>
      <c r="T1183" s="452">
        <f>F1183+P1183-R1183</f>
        <v>11</v>
      </c>
      <c r="U1183" s="452">
        <f t="shared" si="363"/>
        <v>40623.550000000003</v>
      </c>
      <c r="V1183" s="453">
        <f>COMP!G342</f>
        <v>3286.25</v>
      </c>
      <c r="W1183" s="453"/>
      <c r="X1183" s="42"/>
      <c r="Y1183" s="336"/>
      <c r="Z1183" s="336"/>
      <c r="AA1183" s="42"/>
      <c r="AB1183" s="39"/>
    </row>
    <row r="1184" spans="1:28" s="38" customFormat="1" ht="30">
      <c r="A1184" s="449" t="s">
        <v>4063</v>
      </c>
      <c r="B1184" s="448" t="s">
        <v>4111</v>
      </c>
      <c r="C1184" s="449" t="s">
        <v>4067</v>
      </c>
      <c r="D1184" s="447" t="s">
        <v>1914</v>
      </c>
      <c r="E1184" s="447" t="s">
        <v>17</v>
      </c>
      <c r="F1184" s="450"/>
      <c r="G1184" s="450">
        <f t="shared" si="365"/>
        <v>3196.3891093811771</v>
      </c>
      <c r="H1184" s="450">
        <f t="shared" si="366"/>
        <v>3793.47</v>
      </c>
      <c r="I1184" s="451"/>
      <c r="J1184" s="452"/>
      <c r="K1184" s="452"/>
      <c r="L1184" s="452"/>
      <c r="M1184" s="452"/>
      <c r="N1184" s="452"/>
      <c r="O1184" s="452"/>
      <c r="P1184" s="534">
        <v>1</v>
      </c>
      <c r="Q1184" s="452">
        <f t="shared" ref="Q1184:Q1190" si="367">ROUND(P1184*H1184,2)</f>
        <v>3793.47</v>
      </c>
      <c r="R1184" s="452"/>
      <c r="S1184" s="452"/>
      <c r="T1184" s="452">
        <f t="shared" ref="T1184:T1190" si="368">F1184+P1184-R1184</f>
        <v>1</v>
      </c>
      <c r="U1184" s="452">
        <f t="shared" si="363"/>
        <v>3793.47</v>
      </c>
      <c r="V1184" s="453">
        <f>COMP!G347</f>
        <v>3375.61</v>
      </c>
      <c r="W1184" s="453"/>
      <c r="X1184" s="42"/>
      <c r="Y1184" s="336"/>
      <c r="Z1184" s="336"/>
      <c r="AA1184" s="42"/>
      <c r="AB1184" s="39"/>
    </row>
    <row r="1185" spans="1:28" s="38" customFormat="1" ht="30">
      <c r="A1185" s="449" t="s">
        <v>4064</v>
      </c>
      <c r="B1185" s="448" t="s">
        <v>4113</v>
      </c>
      <c r="C1185" s="449" t="s">
        <v>4068</v>
      </c>
      <c r="D1185" s="447" t="s">
        <v>1914</v>
      </c>
      <c r="E1185" s="447" t="s">
        <v>17</v>
      </c>
      <c r="F1185" s="450"/>
      <c r="G1185" s="450">
        <f t="shared" si="365"/>
        <v>3258.4683395087782</v>
      </c>
      <c r="H1185" s="450">
        <f t="shared" si="366"/>
        <v>3867.15</v>
      </c>
      <c r="I1185" s="451"/>
      <c r="J1185" s="452"/>
      <c r="K1185" s="452"/>
      <c r="L1185" s="452"/>
      <c r="M1185" s="452"/>
      <c r="N1185" s="452"/>
      <c r="O1185" s="452"/>
      <c r="P1185" s="534">
        <v>1</v>
      </c>
      <c r="Q1185" s="452">
        <f t="shared" si="367"/>
        <v>3867.15</v>
      </c>
      <c r="R1185" s="452"/>
      <c r="S1185" s="452"/>
      <c r="T1185" s="452">
        <f t="shared" si="368"/>
        <v>1</v>
      </c>
      <c r="U1185" s="452">
        <f t="shared" si="363"/>
        <v>3867.15</v>
      </c>
      <c r="V1185" s="453">
        <f>COMP!G352</f>
        <v>3441.17</v>
      </c>
      <c r="W1185" s="453"/>
      <c r="X1185" s="42"/>
      <c r="Y1185" s="336"/>
      <c r="Z1185" s="336"/>
      <c r="AA1185" s="42"/>
      <c r="AB1185" s="39"/>
    </row>
    <row r="1186" spans="1:28" s="38" customFormat="1" ht="30">
      <c r="A1186" s="449" t="s">
        <v>4065</v>
      </c>
      <c r="B1186" s="448" t="s">
        <v>4105</v>
      </c>
      <c r="C1186" s="449" t="s">
        <v>4069</v>
      </c>
      <c r="D1186" s="447" t="s">
        <v>1914</v>
      </c>
      <c r="E1186" s="447" t="s">
        <v>17</v>
      </c>
      <c r="F1186" s="450"/>
      <c r="G1186" s="450">
        <f t="shared" si="365"/>
        <v>4415.8444927739147</v>
      </c>
      <c r="H1186" s="450">
        <f t="shared" si="366"/>
        <v>5240.72</v>
      </c>
      <c r="I1186" s="451"/>
      <c r="J1186" s="452"/>
      <c r="K1186" s="452"/>
      <c r="L1186" s="452"/>
      <c r="M1186" s="452"/>
      <c r="N1186" s="452"/>
      <c r="O1186" s="452"/>
      <c r="P1186" s="534">
        <v>3</v>
      </c>
      <c r="Q1186" s="452">
        <f t="shared" si="367"/>
        <v>15722.16</v>
      </c>
      <c r="R1186" s="452"/>
      <c r="S1186" s="452"/>
      <c r="T1186" s="452">
        <f t="shared" si="368"/>
        <v>3</v>
      </c>
      <c r="U1186" s="452">
        <f t="shared" si="363"/>
        <v>15722.16</v>
      </c>
      <c r="V1186" s="453">
        <f>COMP!G332</f>
        <v>4663.4399999999996</v>
      </c>
      <c r="W1186" s="453"/>
      <c r="X1186" s="42"/>
      <c r="Y1186" s="336"/>
      <c r="Z1186" s="336"/>
      <c r="AA1186" s="42"/>
      <c r="AB1186" s="39"/>
    </row>
    <row r="1187" spans="1:28" s="29" customFormat="1" ht="30">
      <c r="A1187" s="449" t="s">
        <v>4073</v>
      </c>
      <c r="B1187" s="448" t="s">
        <v>4080</v>
      </c>
      <c r="C1187" s="449" t="s">
        <v>4079</v>
      </c>
      <c r="D1187" s="447" t="s">
        <v>1914</v>
      </c>
      <c r="E1187" s="447" t="s">
        <v>17</v>
      </c>
      <c r="F1187" s="450"/>
      <c r="G1187" s="450">
        <f t="shared" ref="G1187:G1188" si="369">(V1187-(V1187*$Y$15))*$S$16</f>
        <v>43412.282125107224</v>
      </c>
      <c r="H1187" s="450">
        <f t="shared" ref="H1187:H1188" si="370">ROUND(G1187*(1+$X$15),2)</f>
        <v>51521.7</v>
      </c>
      <c r="I1187" s="451"/>
      <c r="J1187" s="452"/>
      <c r="K1187" s="452"/>
      <c r="L1187" s="452"/>
      <c r="M1187" s="452"/>
      <c r="N1187" s="452"/>
      <c r="O1187" s="452"/>
      <c r="P1187" s="493">
        <v>1</v>
      </c>
      <c r="Q1187" s="452">
        <f t="shared" ref="Q1187" si="371">ROUND(P1187*H1187,2)</f>
        <v>51521.7</v>
      </c>
      <c r="R1187" s="452"/>
      <c r="S1187" s="452"/>
      <c r="T1187" s="452">
        <f t="shared" ref="T1187" si="372">F1187+P1187-R1187</f>
        <v>1</v>
      </c>
      <c r="U1187" s="452">
        <f t="shared" ref="U1187" si="373">O1187+Q1187-S1187+L1187</f>
        <v>51521.7</v>
      </c>
      <c r="V1187" s="517">
        <f>COMP!G269</f>
        <v>45846.400000000001</v>
      </c>
      <c r="W1187" s="517"/>
      <c r="X1187" s="518"/>
      <c r="Y1187" s="348"/>
      <c r="Z1187" s="348"/>
      <c r="AA1187" s="518"/>
      <c r="AB1187" s="40"/>
    </row>
    <row r="1188" spans="1:28" s="38" customFormat="1" ht="30">
      <c r="A1188" s="449" t="s">
        <v>4074</v>
      </c>
      <c r="B1188" s="448" t="s">
        <v>4078</v>
      </c>
      <c r="C1188" s="449" t="s">
        <v>4070</v>
      </c>
      <c r="D1188" s="447" t="s">
        <v>1914</v>
      </c>
      <c r="E1188" s="447" t="s">
        <v>17</v>
      </c>
      <c r="F1188" s="450"/>
      <c r="G1188" s="450">
        <f t="shared" si="369"/>
        <v>130236.84637532168</v>
      </c>
      <c r="H1188" s="450">
        <f t="shared" si="370"/>
        <v>154565.09</v>
      </c>
      <c r="I1188" s="451"/>
      <c r="J1188" s="452"/>
      <c r="K1188" s="452"/>
      <c r="L1188" s="452"/>
      <c r="M1188" s="452"/>
      <c r="N1188" s="452"/>
      <c r="O1188" s="452"/>
      <c r="P1188" s="493">
        <v>1</v>
      </c>
      <c r="Q1188" s="452">
        <f t="shared" si="367"/>
        <v>154565.09</v>
      </c>
      <c r="R1188" s="452"/>
      <c r="S1188" s="452"/>
      <c r="T1188" s="452">
        <f t="shared" si="368"/>
        <v>1</v>
      </c>
      <c r="U1188" s="452">
        <f t="shared" si="363"/>
        <v>154565.09</v>
      </c>
      <c r="V1188" s="453">
        <f>COMP!G264</f>
        <v>137539.20000000001</v>
      </c>
      <c r="W1188" s="453"/>
      <c r="X1188" s="42"/>
      <c r="Y1188" s="336"/>
      <c r="Z1188" s="336"/>
      <c r="AA1188" s="42"/>
      <c r="AB1188" s="39"/>
    </row>
    <row r="1189" spans="1:28" s="38" customFormat="1" ht="45">
      <c r="A1189" s="449" t="s">
        <v>4075</v>
      </c>
      <c r="B1189" s="448" t="s">
        <v>4094</v>
      </c>
      <c r="C1189" s="532" t="s">
        <v>4071</v>
      </c>
      <c r="D1189" s="447" t="s">
        <v>1914</v>
      </c>
      <c r="E1189" s="447" t="s">
        <v>17</v>
      </c>
      <c r="F1189" s="450"/>
      <c r="G1189" s="450">
        <f t="shared" ref="G1189:G1190" si="374">(V1189-(V1189*$Y$15))*$S$16</f>
        <v>11054.061034432456</v>
      </c>
      <c r="H1189" s="450">
        <f t="shared" ref="H1189:H1190" si="375">ROUND(G1189*(1+$X$15),2)</f>
        <v>13118.96</v>
      </c>
      <c r="I1189" s="451"/>
      <c r="J1189" s="452"/>
      <c r="K1189" s="452"/>
      <c r="L1189" s="452"/>
      <c r="M1189" s="452"/>
      <c r="N1189" s="452"/>
      <c r="O1189" s="452"/>
      <c r="P1189" s="493">
        <v>1</v>
      </c>
      <c r="Q1189" s="452">
        <f t="shared" si="367"/>
        <v>13118.96</v>
      </c>
      <c r="R1189" s="452"/>
      <c r="S1189" s="452"/>
      <c r="T1189" s="452">
        <f t="shared" si="368"/>
        <v>1</v>
      </c>
      <c r="U1189" s="452">
        <f t="shared" si="363"/>
        <v>13118.96</v>
      </c>
      <c r="V1189" s="453">
        <f>COMP!G305</f>
        <v>11673.859999999999</v>
      </c>
      <c r="W1189" s="453"/>
      <c r="X1189" s="42"/>
      <c r="Y1189" s="336"/>
      <c r="Z1189" s="336"/>
      <c r="AA1189" s="42"/>
      <c r="AB1189" s="39"/>
    </row>
    <row r="1190" spans="1:28" s="38" customFormat="1" ht="47.25">
      <c r="A1190" s="449" t="s">
        <v>4116</v>
      </c>
      <c r="B1190" s="448" t="s">
        <v>4097</v>
      </c>
      <c r="C1190" s="533" t="s">
        <v>4072</v>
      </c>
      <c r="D1190" s="447" t="s">
        <v>1914</v>
      </c>
      <c r="E1190" s="447" t="s">
        <v>17</v>
      </c>
      <c r="F1190" s="450"/>
      <c r="G1190" s="450">
        <f t="shared" si="374"/>
        <v>19480.113952224623</v>
      </c>
      <c r="H1190" s="450">
        <f t="shared" si="375"/>
        <v>23119</v>
      </c>
      <c r="I1190" s="451"/>
      <c r="J1190" s="452"/>
      <c r="K1190" s="452"/>
      <c r="L1190" s="452"/>
      <c r="M1190" s="452"/>
      <c r="N1190" s="452"/>
      <c r="O1190" s="452"/>
      <c r="P1190" s="493">
        <v>1</v>
      </c>
      <c r="Q1190" s="452">
        <f t="shared" si="367"/>
        <v>23119</v>
      </c>
      <c r="R1190" s="452"/>
      <c r="S1190" s="452"/>
      <c r="T1190" s="452">
        <f t="shared" si="368"/>
        <v>1</v>
      </c>
      <c r="U1190" s="452">
        <f t="shared" si="363"/>
        <v>23119</v>
      </c>
      <c r="V1190" s="453">
        <f>COMP!G313</f>
        <v>20572.36</v>
      </c>
      <c r="W1190" s="453"/>
      <c r="X1190" s="42"/>
      <c r="Y1190" s="336"/>
      <c r="Z1190" s="336"/>
      <c r="AA1190" s="42"/>
      <c r="AB1190" s="39"/>
    </row>
    <row r="1191" spans="1:28" s="55" customFormat="1">
      <c r="A1191" s="229" t="s">
        <v>1452</v>
      </c>
      <c r="B1191" s="229"/>
      <c r="C1191" s="229" t="s">
        <v>327</v>
      </c>
      <c r="D1191" s="230"/>
      <c r="E1191" s="230"/>
      <c r="F1191" s="230"/>
      <c r="G1191" s="22"/>
      <c r="H1191" s="230"/>
      <c r="I1191" s="445"/>
      <c r="J1191" s="440"/>
      <c r="K1191" s="440"/>
      <c r="L1191" s="440"/>
      <c r="M1191" s="440"/>
      <c r="N1191" s="440"/>
      <c r="O1191" s="440"/>
      <c r="P1191" s="492"/>
      <c r="Q1191" s="440"/>
      <c r="R1191" s="440"/>
      <c r="S1191" s="440"/>
      <c r="T1191" s="148"/>
      <c r="U1191" s="148"/>
      <c r="V1191" s="330"/>
      <c r="W1191" s="330"/>
      <c r="X1191" s="58"/>
      <c r="Y1191" s="334"/>
      <c r="Z1191" s="334">
        <f t="shared" si="337"/>
        <v>0</v>
      </c>
      <c r="AA1191" s="58"/>
      <c r="AB1191" s="58"/>
    </row>
    <row r="1192" spans="1:28" s="55" customFormat="1" ht="76.5" customHeight="1">
      <c r="A1192" s="19" t="s">
        <v>1453</v>
      </c>
      <c r="B1192" s="20">
        <v>91787</v>
      </c>
      <c r="C1192" s="19" t="s">
        <v>1739</v>
      </c>
      <c r="D1192" s="21" t="s">
        <v>12</v>
      </c>
      <c r="E1192" s="21" t="s">
        <v>52</v>
      </c>
      <c r="F1192" s="22">
        <v>106</v>
      </c>
      <c r="G1192" s="22">
        <f t="shared" ref="G1192:G1203" si="376">Y1192-(Y1192*$Y$15)</f>
        <v>25.771999999999998</v>
      </c>
      <c r="H1192" s="22">
        <f>ROUND(G1192*(1+$X$14),2)</f>
        <v>32.68</v>
      </c>
      <c r="I1192" s="147">
        <f>ROUND(H1192*F1192,2)</f>
        <v>3464.08</v>
      </c>
      <c r="J1192" s="148"/>
      <c r="K1192" s="148"/>
      <c r="L1192" s="148"/>
      <c r="M1192" s="148">
        <v>28.71</v>
      </c>
      <c r="N1192" s="148">
        <v>36.409999999999997</v>
      </c>
      <c r="O1192" s="148">
        <v>3859.46</v>
      </c>
      <c r="P1192" s="494"/>
      <c r="Q1192" s="148">
        <f>ROUND(P1192*N1192,2)</f>
        <v>0</v>
      </c>
      <c r="R1192" s="148"/>
      <c r="S1192" s="148">
        <f>ROUND(R1192*N1192,2)</f>
        <v>0</v>
      </c>
      <c r="T1192" s="148">
        <f t="shared" si="357"/>
        <v>106</v>
      </c>
      <c r="U1192" s="148">
        <f>O1192+Q1192-S1192+L1192</f>
        <v>3859.46</v>
      </c>
      <c r="V1192" s="379"/>
      <c r="W1192" s="379"/>
      <c r="X1192" s="57" t="e">
        <f>IF(B1192&lt;&gt;0,VLOOKUP(B1192,#REF!,4,FALSE),"")</f>
        <v>#REF!</v>
      </c>
      <c r="Y1192" s="334" t="s">
        <v>3272</v>
      </c>
      <c r="Z1192" s="334">
        <f t="shared" si="337"/>
        <v>2731.8319999999999</v>
      </c>
      <c r="AA1192" s="57"/>
      <c r="AB1192" s="58" t="e">
        <f>IF(B1192&lt;&gt;0,VLOOKUP(B1192,#REF!,2,FALSE),"")</f>
        <v>#REF!</v>
      </c>
    </row>
    <row r="1193" spans="1:28" s="55" customFormat="1" ht="90">
      <c r="A1193" s="19" t="s">
        <v>1454</v>
      </c>
      <c r="B1193" s="20">
        <v>91786</v>
      </c>
      <c r="C1193" s="19" t="s">
        <v>1740</v>
      </c>
      <c r="D1193" s="21" t="s">
        <v>12</v>
      </c>
      <c r="E1193" s="21" t="s">
        <v>52</v>
      </c>
      <c r="F1193" s="22">
        <v>283</v>
      </c>
      <c r="G1193" s="22">
        <f t="shared" si="376"/>
        <v>21.173500000000001</v>
      </c>
      <c r="H1193" s="22">
        <f>ROUND(G1193*(1+$X$14),2)</f>
        <v>26.85</v>
      </c>
      <c r="I1193" s="147">
        <f>ROUND(H1193*F1193,2)</f>
        <v>7598.55</v>
      </c>
      <c r="J1193" s="148"/>
      <c r="K1193" s="148"/>
      <c r="L1193" s="148"/>
      <c r="M1193" s="148">
        <v>23.59</v>
      </c>
      <c r="N1193" s="148">
        <v>29.91</v>
      </c>
      <c r="O1193" s="148">
        <v>8464.5300000000007</v>
      </c>
      <c r="P1193" s="494"/>
      <c r="Q1193" s="148">
        <f>ROUND(P1193*N1193,2)</f>
        <v>0</v>
      </c>
      <c r="R1193" s="148"/>
      <c r="S1193" s="148">
        <f>ROUND(R1193*N1193,2)</f>
        <v>0</v>
      </c>
      <c r="T1193" s="148">
        <f t="shared" si="357"/>
        <v>283</v>
      </c>
      <c r="U1193" s="148">
        <f>O1193+Q1193-S1193+L1193</f>
        <v>8464.5300000000007</v>
      </c>
      <c r="V1193" s="379"/>
      <c r="W1193" s="379"/>
      <c r="X1193" s="57" t="e">
        <f>IF(B1193&lt;&gt;0,VLOOKUP(B1193,#REF!,4,FALSE),"")</f>
        <v>#REF!</v>
      </c>
      <c r="Y1193" s="334" t="s">
        <v>1888</v>
      </c>
      <c r="Z1193" s="334">
        <f t="shared" si="337"/>
        <v>5992.1005000000005</v>
      </c>
      <c r="AA1193" s="57"/>
      <c r="AB1193" s="58" t="e">
        <f>IF(B1193&lt;&gt;0,VLOOKUP(B1193,#REF!,2,FALSE),"")</f>
        <v>#REF!</v>
      </c>
    </row>
    <row r="1194" spans="1:28" s="55" customFormat="1" ht="45">
      <c r="A1194" s="36" t="s">
        <v>3735</v>
      </c>
      <c r="B1194" s="20">
        <v>97883</v>
      </c>
      <c r="C1194" s="439" t="s">
        <v>3628</v>
      </c>
      <c r="D1194" s="21" t="s">
        <v>12</v>
      </c>
      <c r="E1194" s="21" t="s">
        <v>17</v>
      </c>
      <c r="F1194" s="22">
        <v>12</v>
      </c>
      <c r="G1194" s="22">
        <f t="shared" si="376"/>
        <v>254.422</v>
      </c>
      <c r="H1194" s="22">
        <f>ROUND(G1194*(1+$X$14),2)</f>
        <v>322.63</v>
      </c>
      <c r="I1194" s="147">
        <f>ROUND(H1194*F1194,2)</f>
        <v>3871.56</v>
      </c>
      <c r="J1194" s="148"/>
      <c r="K1194" s="148"/>
      <c r="L1194" s="148"/>
      <c r="M1194" s="148">
        <v>283.43</v>
      </c>
      <c r="N1194" s="148">
        <v>359.42</v>
      </c>
      <c r="O1194" s="148">
        <v>4313.04</v>
      </c>
      <c r="P1194" s="494"/>
      <c r="Q1194" s="148">
        <f>ROUND(P1194*N1194,2)</f>
        <v>0</v>
      </c>
      <c r="R1194" s="148"/>
      <c r="S1194" s="148">
        <f>ROUND(R1194*N1194,2)</f>
        <v>0</v>
      </c>
      <c r="T1194" s="148">
        <f t="shared" si="357"/>
        <v>12</v>
      </c>
      <c r="U1194" s="148">
        <f>O1194+Q1194-S1194+L1194</f>
        <v>4313.04</v>
      </c>
      <c r="V1194" s="379"/>
      <c r="W1194" s="379"/>
      <c r="X1194" s="57" t="e">
        <f>X1107</f>
        <v>#REF!</v>
      </c>
      <c r="Y1194" s="334" t="s">
        <v>3238</v>
      </c>
      <c r="Z1194" s="334">
        <f t="shared" si="337"/>
        <v>3053.0639999999999</v>
      </c>
      <c r="AA1194" s="57"/>
      <c r="AB1194" s="58" t="e">
        <f>IF(B1194&lt;&gt;0,VLOOKUP(B1194,#REF!,2,FALSE),"")</f>
        <v>#REF!</v>
      </c>
    </row>
    <row r="1195" spans="1:28" s="55" customFormat="1" ht="15" customHeight="1">
      <c r="A1195" s="229" t="s">
        <v>1456</v>
      </c>
      <c r="B1195" s="229"/>
      <c r="C1195" s="229" t="s">
        <v>328</v>
      </c>
      <c r="D1195" s="230"/>
      <c r="E1195" s="230"/>
      <c r="F1195" s="230"/>
      <c r="G1195" s="22">
        <f t="shared" si="376"/>
        <v>0</v>
      </c>
      <c r="H1195" s="230"/>
      <c r="I1195" s="445"/>
      <c r="J1195" s="440"/>
      <c r="K1195" s="440"/>
      <c r="L1195" s="440"/>
      <c r="M1195" s="440"/>
      <c r="N1195" s="440"/>
      <c r="O1195" s="440"/>
      <c r="P1195" s="492"/>
      <c r="Q1195" s="440"/>
      <c r="R1195" s="440"/>
      <c r="S1195" s="440"/>
      <c r="T1195" s="148"/>
      <c r="U1195" s="148"/>
      <c r="V1195" s="330"/>
      <c r="W1195" s="330"/>
      <c r="X1195" s="58"/>
      <c r="Y1195" s="334"/>
      <c r="Z1195" s="334">
        <f t="shared" si="337"/>
        <v>0</v>
      </c>
      <c r="AA1195" s="58"/>
      <c r="AB1195" s="58"/>
    </row>
    <row r="1196" spans="1:28" s="38" customFormat="1" ht="63.75" customHeight="1">
      <c r="A1196" s="449" t="s">
        <v>1457</v>
      </c>
      <c r="B1196" s="447" t="s">
        <v>2517</v>
      </c>
      <c r="C1196" s="449" t="s">
        <v>329</v>
      </c>
      <c r="D1196" s="447" t="s">
        <v>70</v>
      </c>
      <c r="E1196" s="447" t="s">
        <v>52</v>
      </c>
      <c r="F1196" s="450">
        <v>120</v>
      </c>
      <c r="G1196" s="450">
        <f t="shared" si="376"/>
        <v>73.907499999999999</v>
      </c>
      <c r="H1196" s="450">
        <f t="shared" ref="H1196:H1206" si="377">ROUND(G1196*(1+$X$14),2)</f>
        <v>93.72</v>
      </c>
      <c r="I1196" s="451">
        <f t="shared" ref="I1196:I1203" si="378">ROUND(H1196*F1196,2)</f>
        <v>11246.4</v>
      </c>
      <c r="J1196" s="452"/>
      <c r="K1196" s="452"/>
      <c r="L1196" s="452"/>
      <c r="M1196" s="452">
        <v>82.33</v>
      </c>
      <c r="N1196" s="452">
        <v>104.4</v>
      </c>
      <c r="O1196" s="452">
        <v>12528</v>
      </c>
      <c r="P1196" s="493"/>
      <c r="Q1196" s="452">
        <f t="shared" ref="Q1196:Q1203" si="379">ROUND(P1196*N1196,2)</f>
        <v>0</v>
      </c>
      <c r="R1196" s="452">
        <f>F1196-56.7</f>
        <v>63.3</v>
      </c>
      <c r="S1196" s="452">
        <f t="shared" ref="S1196:S1203" si="380">ROUND(R1196*N1196,2)</f>
        <v>6608.52</v>
      </c>
      <c r="T1196" s="452">
        <f t="shared" si="357"/>
        <v>56.7</v>
      </c>
      <c r="U1196" s="452">
        <f t="shared" ref="U1196:U1203" si="381">O1196+Q1196-S1196+L1196</f>
        <v>5919.48</v>
      </c>
      <c r="V1196" s="453"/>
      <c r="W1196" s="453"/>
      <c r="X1196" s="42">
        <f>'COMPOSIÇÃO DE CUSTOS'!G1680</f>
        <v>73.91</v>
      </c>
      <c r="Y1196" s="336">
        <v>86.95</v>
      </c>
      <c r="Z1196" s="336">
        <f t="shared" si="337"/>
        <v>8868.9</v>
      </c>
      <c r="AA1196" s="42"/>
      <c r="AB1196" s="39"/>
    </row>
    <row r="1197" spans="1:28" s="38" customFormat="1" ht="62.25" customHeight="1">
      <c r="A1197" s="449" t="s">
        <v>1458</v>
      </c>
      <c r="B1197" s="448">
        <v>97329</v>
      </c>
      <c r="C1197" s="449" t="s">
        <v>330</v>
      </c>
      <c r="D1197" s="447" t="s">
        <v>12</v>
      </c>
      <c r="E1197" s="447" t="s">
        <v>52</v>
      </c>
      <c r="F1197" s="450">
        <v>217</v>
      </c>
      <c r="G1197" s="450">
        <f t="shared" si="376"/>
        <v>53.260999999999996</v>
      </c>
      <c r="H1197" s="450">
        <f t="shared" si="377"/>
        <v>67.540000000000006</v>
      </c>
      <c r="I1197" s="451">
        <f t="shared" si="378"/>
        <v>14656.18</v>
      </c>
      <c r="J1197" s="452"/>
      <c r="K1197" s="452"/>
      <c r="L1197" s="452"/>
      <c r="M1197" s="452">
        <v>59.33</v>
      </c>
      <c r="N1197" s="452">
        <v>75.239999999999995</v>
      </c>
      <c r="O1197" s="452">
        <v>16327.08</v>
      </c>
      <c r="P1197" s="493"/>
      <c r="Q1197" s="452">
        <f t="shared" si="379"/>
        <v>0</v>
      </c>
      <c r="R1197" s="452">
        <f>F1197-89.5</f>
        <v>127.5</v>
      </c>
      <c r="S1197" s="452">
        <f t="shared" si="380"/>
        <v>9593.1</v>
      </c>
      <c r="T1197" s="452">
        <f t="shared" si="357"/>
        <v>89.5</v>
      </c>
      <c r="U1197" s="452">
        <f t="shared" si="381"/>
        <v>6733.98</v>
      </c>
      <c r="V1197" s="453"/>
      <c r="W1197" s="453"/>
      <c r="X1197" s="42" t="e">
        <f>IF(B1197&lt;&gt;0,VLOOKUP(B1197,#REF!,4,FALSE),"")</f>
        <v>#REF!</v>
      </c>
      <c r="Y1197" s="336" t="s">
        <v>3277</v>
      </c>
      <c r="Z1197" s="336">
        <f t="shared" si="337"/>
        <v>11557.636999999999</v>
      </c>
      <c r="AA1197" s="42"/>
      <c r="AB1197" s="39" t="e">
        <f>IF(B1197&lt;&gt;0,VLOOKUP(B1197,#REF!,2,FALSE),"")</f>
        <v>#REF!</v>
      </c>
    </row>
    <row r="1198" spans="1:28" s="38" customFormat="1" ht="67.5" customHeight="1">
      <c r="A1198" s="449" t="s">
        <v>1459</v>
      </c>
      <c r="B1198" s="448">
        <v>97327</v>
      </c>
      <c r="C1198" s="449" t="s">
        <v>331</v>
      </c>
      <c r="D1198" s="447" t="s">
        <v>12</v>
      </c>
      <c r="E1198" s="447" t="s">
        <v>52</v>
      </c>
      <c r="F1198" s="450">
        <v>42</v>
      </c>
      <c r="G1198" s="450">
        <f t="shared" si="376"/>
        <v>24.055</v>
      </c>
      <c r="H1198" s="450">
        <f t="shared" si="377"/>
        <v>30.5</v>
      </c>
      <c r="I1198" s="451">
        <f t="shared" si="378"/>
        <v>1281</v>
      </c>
      <c r="J1198" s="452"/>
      <c r="K1198" s="452"/>
      <c r="L1198" s="452"/>
      <c r="M1198" s="452">
        <v>26.8</v>
      </c>
      <c r="N1198" s="452">
        <v>33.99</v>
      </c>
      <c r="O1198" s="452">
        <v>1427.58</v>
      </c>
      <c r="P1198" s="493">
        <f>74.7-F1198</f>
        <v>32.700000000000003</v>
      </c>
      <c r="Q1198" s="452">
        <f t="shared" si="379"/>
        <v>1111.47</v>
      </c>
      <c r="R1198" s="452"/>
      <c r="S1198" s="452">
        <f t="shared" si="380"/>
        <v>0</v>
      </c>
      <c r="T1198" s="452">
        <f t="shared" si="357"/>
        <v>74.7</v>
      </c>
      <c r="U1198" s="452">
        <f t="shared" si="381"/>
        <v>2539.0500000000002</v>
      </c>
      <c r="V1198" s="453"/>
      <c r="W1198" s="453"/>
      <c r="X1198" s="42" t="e">
        <f>IF(B1198&lt;&gt;0,VLOOKUP(B1198,#REF!,4,FALSE),"")</f>
        <v>#REF!</v>
      </c>
      <c r="Y1198" s="336" t="s">
        <v>3029</v>
      </c>
      <c r="Z1198" s="336">
        <f t="shared" si="337"/>
        <v>1010.31</v>
      </c>
      <c r="AA1198" s="42"/>
      <c r="AB1198" s="39" t="e">
        <f>IF(B1198&lt;&gt;0,VLOOKUP(B1198,#REF!,2,FALSE),"")</f>
        <v>#REF!</v>
      </c>
    </row>
    <row r="1199" spans="1:28" s="38" customFormat="1" ht="69" customHeight="1">
      <c r="A1199" s="449" t="s">
        <v>1460</v>
      </c>
      <c r="B1199" s="447" t="s">
        <v>2426</v>
      </c>
      <c r="C1199" s="449" t="s">
        <v>332</v>
      </c>
      <c r="D1199" s="447" t="s">
        <v>70</v>
      </c>
      <c r="E1199" s="447" t="s">
        <v>52</v>
      </c>
      <c r="F1199" s="450">
        <v>51</v>
      </c>
      <c r="G1199" s="450">
        <f t="shared" si="376"/>
        <v>76.015500000000003</v>
      </c>
      <c r="H1199" s="450">
        <f t="shared" si="377"/>
        <v>96.4</v>
      </c>
      <c r="I1199" s="451">
        <f t="shared" si="378"/>
        <v>4916.3999999999996</v>
      </c>
      <c r="J1199" s="452"/>
      <c r="K1199" s="452"/>
      <c r="L1199" s="452"/>
      <c r="M1199" s="452">
        <v>84.68</v>
      </c>
      <c r="N1199" s="452">
        <v>107.38</v>
      </c>
      <c r="O1199" s="452">
        <v>5476.38</v>
      </c>
      <c r="P1199" s="493"/>
      <c r="Q1199" s="452">
        <f t="shared" si="379"/>
        <v>0</v>
      </c>
      <c r="R1199" s="452">
        <f>F1199-25.3</f>
        <v>25.7</v>
      </c>
      <c r="S1199" s="452">
        <f t="shared" si="380"/>
        <v>2759.67</v>
      </c>
      <c r="T1199" s="452">
        <f t="shared" si="357"/>
        <v>25.3</v>
      </c>
      <c r="U1199" s="452">
        <f t="shared" si="381"/>
        <v>2716.71</v>
      </c>
      <c r="V1199" s="453"/>
      <c r="W1199" s="453"/>
      <c r="X1199" s="42">
        <f>'COMPOSIÇÃO DE CUSTOS'!G1692</f>
        <v>76.02</v>
      </c>
      <c r="Y1199" s="336">
        <v>89.43</v>
      </c>
      <c r="Z1199" s="336">
        <f t="shared" si="337"/>
        <v>3876.7905000000001</v>
      </c>
      <c r="AA1199" s="42"/>
      <c r="AB1199" s="39"/>
    </row>
    <row r="1200" spans="1:28" s="38" customFormat="1" ht="64.5" customHeight="1">
      <c r="A1200" s="449" t="s">
        <v>1461</v>
      </c>
      <c r="B1200" s="448">
        <v>97330</v>
      </c>
      <c r="C1200" s="449" t="s">
        <v>333</v>
      </c>
      <c r="D1200" s="447" t="s">
        <v>12</v>
      </c>
      <c r="E1200" s="447" t="s">
        <v>52</v>
      </c>
      <c r="F1200" s="450">
        <v>351</v>
      </c>
      <c r="G1200" s="450">
        <f t="shared" si="376"/>
        <v>65.084499999999991</v>
      </c>
      <c r="H1200" s="450">
        <f t="shared" si="377"/>
        <v>82.53</v>
      </c>
      <c r="I1200" s="451">
        <f t="shared" si="378"/>
        <v>28968.03</v>
      </c>
      <c r="J1200" s="452"/>
      <c r="K1200" s="452"/>
      <c r="L1200" s="452"/>
      <c r="M1200" s="452">
        <v>72.5</v>
      </c>
      <c r="N1200" s="452">
        <v>91.94</v>
      </c>
      <c r="O1200" s="452">
        <v>32270.94</v>
      </c>
      <c r="P1200" s="493"/>
      <c r="Q1200" s="452">
        <f t="shared" si="379"/>
        <v>0</v>
      </c>
      <c r="R1200" s="452">
        <f>F1200-289.7</f>
        <v>61.300000000000011</v>
      </c>
      <c r="S1200" s="452">
        <f t="shared" si="380"/>
        <v>5635.92</v>
      </c>
      <c r="T1200" s="452">
        <f t="shared" si="357"/>
        <v>289.7</v>
      </c>
      <c r="U1200" s="452">
        <f t="shared" si="381"/>
        <v>26635.019999999997</v>
      </c>
      <c r="V1200" s="453"/>
      <c r="W1200" s="453"/>
      <c r="X1200" s="42" t="e">
        <f>IF(B1200&lt;&gt;0,VLOOKUP(B1200,#REF!,4,FALSE),"")</f>
        <v>#REF!</v>
      </c>
      <c r="Y1200" s="336" t="s">
        <v>3278</v>
      </c>
      <c r="Z1200" s="336">
        <f t="shared" si="337"/>
        <v>22844.659499999998</v>
      </c>
      <c r="AA1200" s="42"/>
      <c r="AB1200" s="39" t="e">
        <f>IF(B1200&lt;&gt;0,VLOOKUP(B1200,#REF!,2,FALSE),"")</f>
        <v>#REF!</v>
      </c>
    </row>
    <row r="1201" spans="1:28" s="38" customFormat="1" ht="45">
      <c r="A1201" s="449" t="s">
        <v>1462</v>
      </c>
      <c r="B1201" s="448">
        <v>97328</v>
      </c>
      <c r="C1201" s="449" t="s">
        <v>334</v>
      </c>
      <c r="D1201" s="447" t="s">
        <v>12</v>
      </c>
      <c r="E1201" s="447" t="s">
        <v>52</v>
      </c>
      <c r="F1201" s="450">
        <v>363</v>
      </c>
      <c r="G1201" s="450">
        <f t="shared" si="376"/>
        <v>42.601999999999997</v>
      </c>
      <c r="H1201" s="450">
        <f t="shared" si="377"/>
        <v>54.02</v>
      </c>
      <c r="I1201" s="451">
        <f t="shared" si="378"/>
        <v>19609.259999999998</v>
      </c>
      <c r="J1201" s="452"/>
      <c r="K1201" s="452"/>
      <c r="L1201" s="452"/>
      <c r="M1201" s="452">
        <v>47.46</v>
      </c>
      <c r="N1201" s="452">
        <v>60.18</v>
      </c>
      <c r="O1201" s="452">
        <v>21845.34</v>
      </c>
      <c r="P1201" s="493"/>
      <c r="Q1201" s="452">
        <f t="shared" si="379"/>
        <v>0</v>
      </c>
      <c r="R1201" s="452">
        <f>F1201-275</f>
        <v>88</v>
      </c>
      <c r="S1201" s="452">
        <f t="shared" si="380"/>
        <v>5295.84</v>
      </c>
      <c r="T1201" s="452">
        <f t="shared" si="357"/>
        <v>275</v>
      </c>
      <c r="U1201" s="452">
        <f t="shared" si="381"/>
        <v>16549.5</v>
      </c>
      <c r="V1201" s="453"/>
      <c r="W1201" s="453"/>
      <c r="X1201" s="42" t="e">
        <f>IF(B1201&lt;&gt;0,VLOOKUP(B1201,#REF!,4,FALSE),"")</f>
        <v>#REF!</v>
      </c>
      <c r="Y1201" s="336" t="s">
        <v>3037</v>
      </c>
      <c r="Z1201" s="336">
        <f t="shared" si="337"/>
        <v>15464.525999999998</v>
      </c>
      <c r="AA1201" s="42"/>
      <c r="AB1201" s="39" t="e">
        <f>IF(B1201&lt;&gt;0,VLOOKUP(B1201,#REF!,2,FALSE),"")</f>
        <v>#REF!</v>
      </c>
    </row>
    <row r="1202" spans="1:28" s="55" customFormat="1" ht="45">
      <c r="A1202" s="19" t="s">
        <v>1463</v>
      </c>
      <c r="B1202" s="21" t="s">
        <v>1940</v>
      </c>
      <c r="C1202" s="19" t="s">
        <v>335</v>
      </c>
      <c r="D1202" s="21" t="s">
        <v>70</v>
      </c>
      <c r="E1202" s="21" t="s">
        <v>52</v>
      </c>
      <c r="F1202" s="22">
        <v>46</v>
      </c>
      <c r="G1202" s="22">
        <f t="shared" si="376"/>
        <v>71.536000000000001</v>
      </c>
      <c r="H1202" s="22">
        <f t="shared" si="377"/>
        <v>90.71</v>
      </c>
      <c r="I1202" s="147">
        <f t="shared" si="378"/>
        <v>4172.66</v>
      </c>
      <c r="J1202" s="148"/>
      <c r="K1202" s="148"/>
      <c r="L1202" s="148"/>
      <c r="M1202" s="148">
        <v>79.69</v>
      </c>
      <c r="N1202" s="148">
        <v>101.05</v>
      </c>
      <c r="O1202" s="148">
        <v>4648.3</v>
      </c>
      <c r="P1202" s="494"/>
      <c r="Q1202" s="148">
        <f t="shared" si="379"/>
        <v>0</v>
      </c>
      <c r="R1202" s="148"/>
      <c r="S1202" s="148">
        <f t="shared" si="380"/>
        <v>0</v>
      </c>
      <c r="T1202" s="148">
        <f t="shared" si="357"/>
        <v>46</v>
      </c>
      <c r="U1202" s="148">
        <f t="shared" si="381"/>
        <v>4648.3</v>
      </c>
      <c r="V1202" s="379"/>
      <c r="W1202" s="379"/>
      <c r="X1202" s="57">
        <f>'COMPOSIÇÃO DE CUSTOS'!G1915</f>
        <v>71.540000000000006</v>
      </c>
      <c r="Y1202" s="334">
        <v>84.16</v>
      </c>
      <c r="Z1202" s="334">
        <f t="shared" si="337"/>
        <v>3290.6559999999999</v>
      </c>
      <c r="AA1202" s="57"/>
      <c r="AB1202" s="58"/>
    </row>
    <row r="1203" spans="1:28" s="38" customFormat="1" ht="45">
      <c r="A1203" s="449" t="s">
        <v>1464</v>
      </c>
      <c r="B1203" s="447" t="s">
        <v>2425</v>
      </c>
      <c r="C1203" s="449" t="s">
        <v>336</v>
      </c>
      <c r="D1203" s="447" t="s">
        <v>70</v>
      </c>
      <c r="E1203" s="447" t="s">
        <v>52</v>
      </c>
      <c r="F1203" s="450">
        <v>66</v>
      </c>
      <c r="G1203" s="450">
        <f t="shared" si="376"/>
        <v>65.526499999999999</v>
      </c>
      <c r="H1203" s="450">
        <f t="shared" si="377"/>
        <v>83.09</v>
      </c>
      <c r="I1203" s="451">
        <f t="shared" si="378"/>
        <v>5483.94</v>
      </c>
      <c r="J1203" s="452"/>
      <c r="K1203" s="452"/>
      <c r="L1203" s="452"/>
      <c r="M1203" s="452">
        <v>73</v>
      </c>
      <c r="N1203" s="452">
        <v>92.57</v>
      </c>
      <c r="O1203" s="452">
        <v>6109.62</v>
      </c>
      <c r="P1203" s="493"/>
      <c r="Q1203" s="452">
        <f t="shared" si="379"/>
        <v>0</v>
      </c>
      <c r="R1203" s="452">
        <v>36</v>
      </c>
      <c r="S1203" s="452">
        <f t="shared" si="380"/>
        <v>3332.52</v>
      </c>
      <c r="T1203" s="452">
        <f t="shared" si="357"/>
        <v>30</v>
      </c>
      <c r="U1203" s="452">
        <f t="shared" si="381"/>
        <v>2777.1</v>
      </c>
      <c r="V1203" s="453"/>
      <c r="W1203" s="453"/>
      <c r="X1203" s="42">
        <f>'COMPOSIÇÃO DE CUSTOS'!G1704</f>
        <v>65.53</v>
      </c>
      <c r="Y1203" s="336">
        <v>77.09</v>
      </c>
      <c r="Z1203" s="336">
        <f t="shared" si="337"/>
        <v>4324.7489999999998</v>
      </c>
      <c r="AA1203" s="42"/>
      <c r="AB1203" s="39"/>
    </row>
    <row r="1204" spans="1:28" s="38" customFormat="1" ht="45">
      <c r="A1204" s="449" t="s">
        <v>4156</v>
      </c>
      <c r="B1204" s="448" t="s">
        <v>4159</v>
      </c>
      <c r="C1204" s="449" t="s">
        <v>4160</v>
      </c>
      <c r="D1204" s="447" t="s">
        <v>70</v>
      </c>
      <c r="E1204" s="447" t="s">
        <v>52</v>
      </c>
      <c r="F1204" s="450"/>
      <c r="G1204" s="450">
        <f t="shared" ref="G1204:G1205" si="382">(V1204-(V1204*$Y$15))*$S$16</f>
        <v>158.83419862116733</v>
      </c>
      <c r="H1204" s="450">
        <f t="shared" ref="H1204:H1205" si="383">ROUND(G1204*(1+$X$14),2)</f>
        <v>201.42</v>
      </c>
      <c r="I1204" s="451"/>
      <c r="J1204" s="452"/>
      <c r="K1204" s="452"/>
      <c r="L1204" s="452"/>
      <c r="M1204" s="452"/>
      <c r="N1204" s="452"/>
      <c r="O1204" s="452"/>
      <c r="P1204" s="493">
        <v>28.2</v>
      </c>
      <c r="Q1204" s="452">
        <f t="shared" ref="Q1204:Q1206" si="384">ROUND(P1204*H1204,2)</f>
        <v>5680.04</v>
      </c>
      <c r="R1204" s="452"/>
      <c r="S1204" s="452"/>
      <c r="T1204" s="452">
        <f t="shared" ref="T1204:T1205" si="385">F1204+P1204-R1204</f>
        <v>28.2</v>
      </c>
      <c r="U1204" s="452">
        <f t="shared" ref="U1204:U1205" si="386">O1204+Q1204-S1204+L1204</f>
        <v>5680.04</v>
      </c>
      <c r="V1204" s="453">
        <f>COMP!G408</f>
        <v>167.74</v>
      </c>
      <c r="W1204" s="453"/>
      <c r="X1204" s="42"/>
      <c r="Y1204" s="336"/>
      <c r="Z1204" s="336"/>
      <c r="AA1204" s="42"/>
      <c r="AB1204" s="39"/>
    </row>
    <row r="1205" spans="1:28" s="38" customFormat="1" ht="45">
      <c r="A1205" s="449" t="s">
        <v>4157</v>
      </c>
      <c r="B1205" s="448" t="s">
        <v>4153</v>
      </c>
      <c r="C1205" s="449" t="s">
        <v>4155</v>
      </c>
      <c r="D1205" s="447" t="s">
        <v>70</v>
      </c>
      <c r="E1205" s="447" t="s">
        <v>52</v>
      </c>
      <c r="F1205" s="450"/>
      <c r="G1205" s="450">
        <f t="shared" si="382"/>
        <v>134.24302097605158</v>
      </c>
      <c r="H1205" s="450">
        <f t="shared" si="383"/>
        <v>170.23</v>
      </c>
      <c r="I1205" s="451"/>
      <c r="J1205" s="452"/>
      <c r="K1205" s="452"/>
      <c r="L1205" s="452"/>
      <c r="M1205" s="452"/>
      <c r="N1205" s="452"/>
      <c r="O1205" s="452"/>
      <c r="P1205" s="493">
        <v>9.1999999999999993</v>
      </c>
      <c r="Q1205" s="452">
        <f t="shared" si="384"/>
        <v>1566.12</v>
      </c>
      <c r="R1205" s="452"/>
      <c r="S1205" s="452"/>
      <c r="T1205" s="452">
        <f t="shared" si="385"/>
        <v>9.1999999999999993</v>
      </c>
      <c r="U1205" s="452">
        <f t="shared" si="386"/>
        <v>1566.12</v>
      </c>
      <c r="V1205" s="453">
        <f>COMP!G396</f>
        <v>141.77000000000001</v>
      </c>
      <c r="W1205" s="453"/>
      <c r="X1205" s="42"/>
      <c r="Y1205" s="336"/>
      <c r="Z1205" s="336"/>
      <c r="AA1205" s="42"/>
      <c r="AB1205" s="39"/>
    </row>
    <row r="1206" spans="1:28" s="38" customFormat="1" ht="48.75" customHeight="1">
      <c r="A1206" s="449" t="s">
        <v>4161</v>
      </c>
      <c r="B1206" s="447" t="s">
        <v>4020</v>
      </c>
      <c r="C1206" s="449" t="s">
        <v>4169</v>
      </c>
      <c r="D1206" s="447" t="s">
        <v>1914</v>
      </c>
      <c r="E1206" s="447" t="s">
        <v>17</v>
      </c>
      <c r="F1206" s="450"/>
      <c r="G1206" s="450">
        <f t="shared" ref="G1206" si="387">(V1206-(V1206*$Y$15))*$S$16</f>
        <v>32836.589093544848</v>
      </c>
      <c r="H1206" s="450">
        <f t="shared" si="377"/>
        <v>41640.080000000002</v>
      </c>
      <c r="I1206" s="451"/>
      <c r="J1206" s="452"/>
      <c r="K1206" s="452"/>
      <c r="L1206" s="452"/>
      <c r="M1206" s="452"/>
      <c r="N1206" s="452"/>
      <c r="O1206" s="452"/>
      <c r="P1206" s="493">
        <v>1</v>
      </c>
      <c r="Q1206" s="452">
        <f t="shared" si="384"/>
        <v>41640.080000000002</v>
      </c>
      <c r="R1206" s="452"/>
      <c r="S1206" s="452"/>
      <c r="T1206" s="452">
        <f t="shared" ref="T1206" si="388">F1206+P1206-R1206</f>
        <v>1</v>
      </c>
      <c r="U1206" s="452">
        <f t="shared" ref="U1206" si="389">O1206+Q1206-S1206+L1206</f>
        <v>41640.080000000002</v>
      </c>
      <c r="V1206" s="453">
        <f>COMP!G196</f>
        <v>34677.730000000003</v>
      </c>
      <c r="W1206" s="453"/>
      <c r="X1206" s="42"/>
      <c r="Y1206" s="336"/>
      <c r="Z1206" s="336"/>
      <c r="AA1206" s="42"/>
      <c r="AB1206" s="39"/>
    </row>
    <row r="1207" spans="1:28">
      <c r="A1207" s="270" t="s">
        <v>3876</v>
      </c>
      <c r="B1207" s="229"/>
      <c r="C1207" s="229" t="s">
        <v>3877</v>
      </c>
      <c r="D1207" s="21"/>
      <c r="E1207" s="21"/>
      <c r="F1207" s="22"/>
      <c r="G1207" s="22"/>
      <c r="H1207" s="22"/>
      <c r="I1207" s="147"/>
      <c r="J1207" s="148"/>
      <c r="K1207" s="148"/>
      <c r="L1207" s="148"/>
      <c r="M1207" s="148"/>
      <c r="N1207" s="148"/>
      <c r="O1207" s="148"/>
      <c r="P1207" s="494"/>
      <c r="Q1207" s="148"/>
      <c r="R1207" s="148"/>
      <c r="S1207" s="148"/>
      <c r="T1207" s="148"/>
      <c r="U1207" s="148"/>
      <c r="V1207" s="379"/>
      <c r="W1207" s="379"/>
      <c r="X1207" s="33"/>
      <c r="Y1207" s="337"/>
      <c r="Z1207" s="337"/>
      <c r="AA1207" s="33"/>
      <c r="AB1207" s="30"/>
    </row>
    <row r="1208" spans="1:28" s="38" customFormat="1" ht="30">
      <c r="A1208" s="456" t="s">
        <v>4122</v>
      </c>
      <c r="B1208" s="448">
        <v>9842</v>
      </c>
      <c r="C1208" s="449" t="s">
        <v>4119</v>
      </c>
      <c r="D1208" s="447" t="s">
        <v>44</v>
      </c>
      <c r="E1208" s="447" t="s">
        <v>52</v>
      </c>
      <c r="F1208" s="450"/>
      <c r="G1208" s="450">
        <f t="shared" ref="G1208:G1210" si="390">(V1208-(V1208*$Y$15))*$S$16</f>
        <v>87.257490180878563</v>
      </c>
      <c r="H1208" s="450">
        <f t="shared" ref="H1208:H1210" si="391">ROUND(G1208*(1+$X$14),2)</f>
        <v>110.65</v>
      </c>
      <c r="I1208" s="451"/>
      <c r="J1208" s="452"/>
      <c r="K1208" s="452"/>
      <c r="L1208" s="452"/>
      <c r="M1208" s="452"/>
      <c r="N1208" s="452"/>
      <c r="O1208" s="452"/>
      <c r="P1208" s="493">
        <v>308</v>
      </c>
      <c r="Q1208" s="452">
        <f t="shared" ref="Q1208:Q1220" si="392">ROUND(P1208*H1208,2)</f>
        <v>34080.199999999997</v>
      </c>
      <c r="R1208" s="452"/>
      <c r="S1208" s="452"/>
      <c r="T1208" s="452">
        <f t="shared" ref="T1208:T1223" si="393">F1208+P1208-R1208</f>
        <v>308</v>
      </c>
      <c r="U1208" s="452">
        <f t="shared" ref="U1208:U1223" si="394">O1208+Q1208-S1208+L1208</f>
        <v>34080.199999999997</v>
      </c>
      <c r="V1208" s="453">
        <f>COMP!G365</f>
        <v>92.15</v>
      </c>
      <c r="W1208" s="453"/>
      <c r="X1208" s="42"/>
      <c r="Y1208" s="336"/>
      <c r="Z1208" s="336"/>
      <c r="AA1208" s="42"/>
      <c r="AB1208" s="39"/>
    </row>
    <row r="1209" spans="1:28" s="38" customFormat="1" ht="30">
      <c r="A1209" s="456" t="s">
        <v>4137</v>
      </c>
      <c r="B1209" s="448" t="s">
        <v>4168</v>
      </c>
      <c r="C1209" s="449" t="s">
        <v>4134</v>
      </c>
      <c r="D1209" s="447" t="s">
        <v>44</v>
      </c>
      <c r="E1209" s="447" t="s">
        <v>52</v>
      </c>
      <c r="F1209" s="450"/>
      <c r="G1209" s="450">
        <f t="shared" si="390"/>
        <v>22.763646922933482</v>
      </c>
      <c r="H1209" s="450">
        <f t="shared" si="391"/>
        <v>28.87</v>
      </c>
      <c r="I1209" s="451"/>
      <c r="J1209" s="452"/>
      <c r="K1209" s="452"/>
      <c r="L1209" s="452"/>
      <c r="M1209" s="452"/>
      <c r="N1209" s="452"/>
      <c r="O1209" s="452"/>
      <c r="P1209" s="493">
        <v>10</v>
      </c>
      <c r="Q1209" s="452">
        <f t="shared" si="392"/>
        <v>288.7</v>
      </c>
      <c r="R1209" s="452"/>
      <c r="S1209" s="452"/>
      <c r="T1209" s="452">
        <f t="shared" si="393"/>
        <v>10</v>
      </c>
      <c r="U1209" s="452">
        <f t="shared" si="394"/>
        <v>288.7</v>
      </c>
      <c r="V1209" s="453">
        <f>COMP!G377</f>
        <v>24.04</v>
      </c>
      <c r="W1209" s="453"/>
      <c r="X1209" s="42"/>
      <c r="Y1209" s="336"/>
      <c r="Z1209" s="336"/>
      <c r="AA1209" s="42"/>
      <c r="AB1209" s="39"/>
    </row>
    <row r="1210" spans="1:28" s="38" customFormat="1" ht="30">
      <c r="A1210" s="456" t="s">
        <v>4138</v>
      </c>
      <c r="B1210" s="448" t="s">
        <v>4167</v>
      </c>
      <c r="C1210" s="449" t="s">
        <v>4135</v>
      </c>
      <c r="D1210" s="447" t="s">
        <v>44</v>
      </c>
      <c r="E1210" s="447" t="s">
        <v>52</v>
      </c>
      <c r="F1210" s="450"/>
      <c r="G1210" s="450">
        <f t="shared" si="390"/>
        <v>19.458941109246386</v>
      </c>
      <c r="H1210" s="450">
        <f t="shared" si="391"/>
        <v>24.68</v>
      </c>
      <c r="I1210" s="451"/>
      <c r="J1210" s="452"/>
      <c r="K1210" s="452"/>
      <c r="L1210" s="452"/>
      <c r="M1210" s="452"/>
      <c r="N1210" s="452"/>
      <c r="O1210" s="452"/>
      <c r="P1210" s="493">
        <v>120</v>
      </c>
      <c r="Q1210" s="452">
        <f t="shared" si="392"/>
        <v>2961.6</v>
      </c>
      <c r="R1210" s="452"/>
      <c r="S1210" s="452"/>
      <c r="T1210" s="452">
        <f t="shared" si="393"/>
        <v>120</v>
      </c>
      <c r="U1210" s="452">
        <f t="shared" si="394"/>
        <v>2961.6</v>
      </c>
      <c r="V1210" s="453">
        <f>COMP!G384</f>
        <v>20.55</v>
      </c>
      <c r="W1210" s="453"/>
      <c r="X1210" s="42"/>
      <c r="Y1210" s="336"/>
      <c r="Z1210" s="336"/>
      <c r="AA1210" s="42"/>
      <c r="AB1210" s="39"/>
    </row>
    <row r="1211" spans="1:28" s="38" customFormat="1" ht="30">
      <c r="A1211" s="456" t="s">
        <v>4139</v>
      </c>
      <c r="B1211" s="448" t="s">
        <v>4033</v>
      </c>
      <c r="C1211" s="532" t="s">
        <v>4053</v>
      </c>
      <c r="D1211" s="447" t="s">
        <v>1914</v>
      </c>
      <c r="E1211" s="447" t="s">
        <v>3882</v>
      </c>
      <c r="F1211" s="450"/>
      <c r="G1211" s="450">
        <f t="shared" ref="G1211" si="395">(V1211-(V1211*$Y$15))*$S$16</f>
        <v>296.30617284211087</v>
      </c>
      <c r="H1211" s="450">
        <f t="shared" ref="H1211" si="396">ROUND(G1211*(1+$X$14),2)</f>
        <v>375.75</v>
      </c>
      <c r="I1211" s="451"/>
      <c r="J1211" s="452"/>
      <c r="K1211" s="452"/>
      <c r="L1211" s="452"/>
      <c r="M1211" s="452"/>
      <c r="N1211" s="452"/>
      <c r="O1211" s="452"/>
      <c r="P1211" s="493">
        <v>2</v>
      </c>
      <c r="Q1211" s="452">
        <f t="shared" si="392"/>
        <v>751.5</v>
      </c>
      <c r="R1211" s="452"/>
      <c r="S1211" s="452"/>
      <c r="T1211" s="452">
        <f t="shared" si="393"/>
        <v>2</v>
      </c>
      <c r="U1211" s="452">
        <f t="shared" si="394"/>
        <v>751.5</v>
      </c>
      <c r="V1211" s="453">
        <f>COMP!G203</f>
        <v>312.91999999999996</v>
      </c>
      <c r="W1211" s="453"/>
      <c r="X1211" s="42"/>
      <c r="Y1211" s="336"/>
      <c r="Z1211" s="336"/>
      <c r="AA1211" s="42"/>
      <c r="AB1211" s="39"/>
    </row>
    <row r="1212" spans="1:28" s="38" customFormat="1" ht="30">
      <c r="A1212" s="456" t="s">
        <v>4140</v>
      </c>
      <c r="B1212" s="448" t="s">
        <v>4034</v>
      </c>
      <c r="C1212" s="532" t="s">
        <v>4054</v>
      </c>
      <c r="D1212" s="447" t="s">
        <v>1914</v>
      </c>
      <c r="E1212" s="447" t="s">
        <v>3882</v>
      </c>
      <c r="F1212" s="450"/>
      <c r="G1212" s="450">
        <f t="shared" ref="G1212:G1214" si="397">(V1212-(V1212*$Y$15))*$S$16</f>
        <v>163.59714138416049</v>
      </c>
      <c r="H1212" s="450">
        <f t="shared" ref="H1212:H1214" si="398">ROUND(G1212*(1+$X$14),2)</f>
        <v>207.46</v>
      </c>
      <c r="I1212" s="451"/>
      <c r="J1212" s="452"/>
      <c r="K1212" s="452"/>
      <c r="L1212" s="452"/>
      <c r="M1212" s="452"/>
      <c r="N1212" s="452"/>
      <c r="O1212" s="452"/>
      <c r="P1212" s="493">
        <v>15</v>
      </c>
      <c r="Q1212" s="452">
        <f t="shared" si="392"/>
        <v>3111.9</v>
      </c>
      <c r="R1212" s="452"/>
      <c r="S1212" s="452"/>
      <c r="T1212" s="452">
        <f t="shared" si="393"/>
        <v>15</v>
      </c>
      <c r="U1212" s="452">
        <f t="shared" si="394"/>
        <v>3111.9</v>
      </c>
      <c r="V1212" s="453">
        <f>COMP!G210</f>
        <v>172.77</v>
      </c>
      <c r="W1212" s="453"/>
      <c r="X1212" s="42"/>
      <c r="Y1212" s="336"/>
      <c r="Z1212" s="336"/>
      <c r="AA1212" s="42"/>
      <c r="AB1212" s="39"/>
    </row>
    <row r="1213" spans="1:28" s="38" customFormat="1" ht="30">
      <c r="A1213" s="456" t="s">
        <v>4141</v>
      </c>
      <c r="B1213" s="448" t="s">
        <v>4035</v>
      </c>
      <c r="C1213" s="532" t="s">
        <v>4055</v>
      </c>
      <c r="D1213" s="447" t="s">
        <v>1914</v>
      </c>
      <c r="E1213" s="447" t="s">
        <v>3882</v>
      </c>
      <c r="F1213" s="450"/>
      <c r="G1213" s="450">
        <f t="shared" si="397"/>
        <v>267.30240806467935</v>
      </c>
      <c r="H1213" s="450">
        <f t="shared" si="398"/>
        <v>338.97</v>
      </c>
      <c r="I1213" s="451"/>
      <c r="J1213" s="452"/>
      <c r="K1213" s="452"/>
      <c r="L1213" s="452"/>
      <c r="M1213" s="452"/>
      <c r="N1213" s="452"/>
      <c r="O1213" s="452"/>
      <c r="P1213" s="493">
        <v>2</v>
      </c>
      <c r="Q1213" s="452">
        <f t="shared" si="392"/>
        <v>677.94</v>
      </c>
      <c r="R1213" s="452"/>
      <c r="S1213" s="452"/>
      <c r="T1213" s="452">
        <f t="shared" si="393"/>
        <v>2</v>
      </c>
      <c r="U1213" s="452">
        <f t="shared" si="394"/>
        <v>677.94</v>
      </c>
      <c r="V1213" s="453">
        <f>COMP!G217</f>
        <v>282.28999999999996</v>
      </c>
      <c r="W1213" s="453"/>
      <c r="X1213" s="42"/>
      <c r="Y1213" s="336"/>
      <c r="Z1213" s="336"/>
      <c r="AA1213" s="42"/>
      <c r="AB1213" s="39"/>
    </row>
    <row r="1214" spans="1:28" s="38" customFormat="1" ht="30">
      <c r="A1214" s="456" t="s">
        <v>4142</v>
      </c>
      <c r="B1214" s="448" t="s">
        <v>4036</v>
      </c>
      <c r="C1214" s="532" t="s">
        <v>4056</v>
      </c>
      <c r="D1214" s="447" t="s">
        <v>1914</v>
      </c>
      <c r="E1214" s="447" t="s">
        <v>3882</v>
      </c>
      <c r="F1214" s="450"/>
      <c r="G1214" s="450">
        <f t="shared" si="397"/>
        <v>342.96028614880521</v>
      </c>
      <c r="H1214" s="450">
        <f t="shared" si="398"/>
        <v>434.91</v>
      </c>
      <c r="I1214" s="451"/>
      <c r="J1214" s="452"/>
      <c r="K1214" s="452"/>
      <c r="L1214" s="452"/>
      <c r="M1214" s="452"/>
      <c r="N1214" s="452"/>
      <c r="O1214" s="452"/>
      <c r="P1214" s="493">
        <v>4</v>
      </c>
      <c r="Q1214" s="452">
        <f t="shared" si="392"/>
        <v>1739.64</v>
      </c>
      <c r="R1214" s="452"/>
      <c r="S1214" s="452"/>
      <c r="T1214" s="452">
        <f t="shared" si="393"/>
        <v>4</v>
      </c>
      <c r="U1214" s="452">
        <f t="shared" si="394"/>
        <v>1739.64</v>
      </c>
      <c r="V1214" s="453">
        <f>COMP!G224</f>
        <v>362.19</v>
      </c>
      <c r="W1214" s="453"/>
      <c r="X1214" s="42"/>
      <c r="Y1214" s="336"/>
      <c r="Z1214" s="336"/>
      <c r="AA1214" s="42"/>
      <c r="AB1214" s="39"/>
    </row>
    <row r="1215" spans="1:28" s="38" customFormat="1" ht="43.5" customHeight="1">
      <c r="A1215" s="456" t="s">
        <v>4143</v>
      </c>
      <c r="B1215" s="448" t="s">
        <v>4037</v>
      </c>
      <c r="C1215" s="532" t="s">
        <v>4057</v>
      </c>
      <c r="D1215" s="447" t="s">
        <v>1914</v>
      </c>
      <c r="E1215" s="447" t="s">
        <v>3882</v>
      </c>
      <c r="F1215" s="450"/>
      <c r="G1215" s="450">
        <f t="shared" ref="G1215:G1217" si="399">(V1215-(V1215*$Y$15))*$S$16</f>
        <v>194.66516366125899</v>
      </c>
      <c r="H1215" s="450">
        <f t="shared" ref="H1215:H1217" si="400">ROUND(G1215*(1+$X$14),2)</f>
        <v>246.85</v>
      </c>
      <c r="I1215" s="451"/>
      <c r="J1215" s="452"/>
      <c r="K1215" s="452"/>
      <c r="L1215" s="452"/>
      <c r="M1215" s="452"/>
      <c r="N1215" s="452"/>
      <c r="O1215" s="452"/>
      <c r="P1215" s="493">
        <v>2</v>
      </c>
      <c r="Q1215" s="452">
        <f t="shared" si="392"/>
        <v>493.7</v>
      </c>
      <c r="R1215" s="452"/>
      <c r="S1215" s="452"/>
      <c r="T1215" s="452">
        <f t="shared" si="393"/>
        <v>2</v>
      </c>
      <c r="U1215" s="452">
        <f t="shared" si="394"/>
        <v>493.7</v>
      </c>
      <c r="V1215" s="453">
        <f>COMP!G231</f>
        <v>205.58</v>
      </c>
      <c r="W1215" s="453"/>
      <c r="X1215" s="42"/>
      <c r="Y1215" s="336"/>
      <c r="Z1215" s="336"/>
      <c r="AA1215" s="42"/>
      <c r="AB1215" s="39"/>
    </row>
    <row r="1216" spans="1:28" s="38" customFormat="1" ht="46.5" customHeight="1">
      <c r="A1216" s="456" t="s">
        <v>4144</v>
      </c>
      <c r="B1216" s="448" t="s">
        <v>4038</v>
      </c>
      <c r="C1216" s="532" t="s">
        <v>4058</v>
      </c>
      <c r="D1216" s="447" t="s">
        <v>1914</v>
      </c>
      <c r="E1216" s="447" t="s">
        <v>3882</v>
      </c>
      <c r="F1216" s="450"/>
      <c r="G1216" s="450">
        <f t="shared" si="399"/>
        <v>274.35686603372494</v>
      </c>
      <c r="H1216" s="450">
        <f t="shared" si="400"/>
        <v>347.91</v>
      </c>
      <c r="I1216" s="451"/>
      <c r="J1216" s="452"/>
      <c r="K1216" s="452"/>
      <c r="L1216" s="452"/>
      <c r="M1216" s="452"/>
      <c r="N1216" s="452"/>
      <c r="O1216" s="452"/>
      <c r="P1216" s="493">
        <v>2</v>
      </c>
      <c r="Q1216" s="452">
        <f t="shared" si="392"/>
        <v>695.82</v>
      </c>
      <c r="R1216" s="452"/>
      <c r="S1216" s="452"/>
      <c r="T1216" s="452">
        <f t="shared" si="393"/>
        <v>2</v>
      </c>
      <c r="U1216" s="452">
        <f t="shared" si="394"/>
        <v>695.82</v>
      </c>
      <c r="V1216" s="453">
        <f>COMP!G238</f>
        <v>289.74</v>
      </c>
      <c r="W1216" s="453"/>
      <c r="X1216" s="42"/>
      <c r="Y1216" s="336"/>
      <c r="Z1216" s="336"/>
      <c r="AA1216" s="42"/>
      <c r="AB1216" s="39"/>
    </row>
    <row r="1217" spans="1:28" s="38" customFormat="1" ht="48.75" customHeight="1">
      <c r="A1217" s="456" t="s">
        <v>4145</v>
      </c>
      <c r="B1217" s="448" t="s">
        <v>4039</v>
      </c>
      <c r="C1217" s="532" t="s">
        <v>4059</v>
      </c>
      <c r="D1217" s="447" t="s">
        <v>1914</v>
      </c>
      <c r="E1217" s="447" t="s">
        <v>3882</v>
      </c>
      <c r="F1217" s="450"/>
      <c r="G1217" s="450">
        <f t="shared" si="399"/>
        <v>441.4480946535603</v>
      </c>
      <c r="H1217" s="450">
        <f t="shared" si="400"/>
        <v>559.79999999999995</v>
      </c>
      <c r="I1217" s="451"/>
      <c r="J1217" s="452"/>
      <c r="K1217" s="452"/>
      <c r="L1217" s="452"/>
      <c r="M1217" s="452"/>
      <c r="N1217" s="452"/>
      <c r="O1217" s="452"/>
      <c r="P1217" s="493">
        <v>3</v>
      </c>
      <c r="Q1217" s="452">
        <f t="shared" si="392"/>
        <v>1679.4</v>
      </c>
      <c r="R1217" s="452"/>
      <c r="S1217" s="452"/>
      <c r="T1217" s="452">
        <f t="shared" si="393"/>
        <v>3</v>
      </c>
      <c r="U1217" s="452">
        <f t="shared" si="394"/>
        <v>1679.4</v>
      </c>
      <c r="V1217" s="453">
        <f>COMP!G245</f>
        <v>466.2</v>
      </c>
      <c r="W1217" s="453"/>
      <c r="X1217" s="42"/>
      <c r="Y1217" s="336"/>
      <c r="Z1217" s="336"/>
      <c r="AA1217" s="42"/>
      <c r="AB1217" s="39"/>
    </row>
    <row r="1218" spans="1:28" s="38" customFormat="1" ht="30">
      <c r="A1218" s="456" t="s">
        <v>4146</v>
      </c>
      <c r="B1218" s="448" t="s">
        <v>4040</v>
      </c>
      <c r="C1218" s="532" t="s">
        <v>4060</v>
      </c>
      <c r="D1218" s="447" t="s">
        <v>1914</v>
      </c>
      <c r="E1218" s="447" t="s">
        <v>3882</v>
      </c>
      <c r="F1218" s="450"/>
      <c r="G1218" s="450">
        <f t="shared" ref="G1218" si="401">(V1218-(V1218*$Y$15))*$S$16</f>
        <v>104.61429750606035</v>
      </c>
      <c r="H1218" s="450">
        <f t="shared" ref="H1218" si="402">ROUND(G1218*(1+$X$14),2)</f>
        <v>132.66</v>
      </c>
      <c r="I1218" s="451"/>
      <c r="J1218" s="452"/>
      <c r="K1218" s="452"/>
      <c r="L1218" s="452"/>
      <c r="M1218" s="452"/>
      <c r="N1218" s="452"/>
      <c r="O1218" s="452"/>
      <c r="P1218" s="493">
        <f>23+28</f>
        <v>51</v>
      </c>
      <c r="Q1218" s="452">
        <f t="shared" si="392"/>
        <v>6765.66</v>
      </c>
      <c r="R1218" s="452"/>
      <c r="S1218" s="452"/>
      <c r="T1218" s="452">
        <f t="shared" si="393"/>
        <v>51</v>
      </c>
      <c r="U1218" s="452">
        <f t="shared" si="394"/>
        <v>6765.66</v>
      </c>
      <c r="V1218" s="453">
        <f>COMP!G252</f>
        <v>110.47999999999999</v>
      </c>
      <c r="W1218" s="453"/>
      <c r="X1218" s="42"/>
      <c r="Y1218" s="336"/>
      <c r="Z1218" s="336"/>
      <c r="AA1218" s="42"/>
      <c r="AB1218" s="39"/>
    </row>
    <row r="1219" spans="1:28" s="38" customFormat="1" ht="30">
      <c r="A1219" s="456" t="s">
        <v>4147</v>
      </c>
      <c r="B1219" s="448" t="s">
        <v>4041</v>
      </c>
      <c r="C1219" s="532" t="s">
        <v>4061</v>
      </c>
      <c r="D1219" s="447" t="s">
        <v>1914</v>
      </c>
      <c r="E1219" s="447" t="s">
        <v>3882</v>
      </c>
      <c r="F1219" s="450"/>
      <c r="G1219" s="450">
        <f t="shared" ref="G1219" si="403">(V1219-(V1219*$Y$15))*$S$16</f>
        <v>66.008894633847461</v>
      </c>
      <c r="H1219" s="450">
        <f t="shared" ref="H1219" si="404">ROUND(G1219*(1+$X$14),2)</f>
        <v>83.71</v>
      </c>
      <c r="I1219" s="451"/>
      <c r="J1219" s="452"/>
      <c r="K1219" s="452"/>
      <c r="L1219" s="452"/>
      <c r="M1219" s="452"/>
      <c r="N1219" s="452"/>
      <c r="O1219" s="452"/>
      <c r="P1219" s="493">
        <v>2</v>
      </c>
      <c r="Q1219" s="452">
        <f t="shared" si="392"/>
        <v>167.42</v>
      </c>
      <c r="R1219" s="452"/>
      <c r="S1219" s="452"/>
      <c r="T1219" s="452">
        <f t="shared" si="393"/>
        <v>2</v>
      </c>
      <c r="U1219" s="452">
        <f t="shared" si="394"/>
        <v>167.42</v>
      </c>
      <c r="V1219" s="453">
        <f>COMP!G259</f>
        <v>69.709999999999994</v>
      </c>
      <c r="W1219" s="453"/>
      <c r="X1219" s="42"/>
      <c r="Y1219" s="336"/>
      <c r="Z1219" s="336"/>
      <c r="AA1219" s="42"/>
      <c r="AB1219" s="39"/>
    </row>
    <row r="1220" spans="1:28" s="38" customFormat="1" ht="45">
      <c r="A1220" s="456" t="s">
        <v>4148</v>
      </c>
      <c r="B1220" s="448" t="s">
        <v>3923</v>
      </c>
      <c r="C1220" s="449" t="s">
        <v>4077</v>
      </c>
      <c r="D1220" s="447" t="s">
        <v>1914</v>
      </c>
      <c r="E1220" s="447" t="s">
        <v>3882</v>
      </c>
      <c r="F1220" s="450"/>
      <c r="G1220" s="450">
        <f>(V1220-(V1220*$Y$15))*$S$16</f>
        <v>3972.0859447721032</v>
      </c>
      <c r="H1220" s="450">
        <f>ROUND(G1220*(1+$X$14),2)</f>
        <v>5037</v>
      </c>
      <c r="I1220" s="451"/>
      <c r="J1220" s="452"/>
      <c r="K1220" s="452"/>
      <c r="L1220" s="452"/>
      <c r="M1220" s="452"/>
      <c r="N1220" s="452"/>
      <c r="O1220" s="452"/>
      <c r="P1220" s="493">
        <v>1</v>
      </c>
      <c r="Q1220" s="452">
        <f t="shared" si="392"/>
        <v>5037</v>
      </c>
      <c r="R1220" s="452"/>
      <c r="S1220" s="452"/>
      <c r="T1220" s="452">
        <f t="shared" si="393"/>
        <v>1</v>
      </c>
      <c r="U1220" s="452">
        <f t="shared" si="394"/>
        <v>5037</v>
      </c>
      <c r="V1220" s="453">
        <f>COMP!G86</f>
        <v>4194.7999999999993</v>
      </c>
      <c r="W1220" s="453"/>
      <c r="X1220" s="42"/>
      <c r="Y1220" s="336"/>
      <c r="Z1220" s="336"/>
      <c r="AA1220" s="42"/>
      <c r="AB1220" s="39"/>
    </row>
    <row r="1221" spans="1:28" s="38" customFormat="1" ht="30">
      <c r="A1221" s="456" t="s">
        <v>4149</v>
      </c>
      <c r="B1221" s="448" t="s">
        <v>3919</v>
      </c>
      <c r="C1221" s="449" t="s">
        <v>3959</v>
      </c>
      <c r="D1221" s="447" t="s">
        <v>1914</v>
      </c>
      <c r="E1221" s="447" t="s">
        <v>3882</v>
      </c>
      <c r="F1221" s="450"/>
      <c r="G1221" s="450">
        <f>(V1221-(V1221*$Y$15))*$S$16</f>
        <v>868.54107752044547</v>
      </c>
      <c r="H1221" s="450">
        <f>ROUND(G1221*(1+$X$14),2)</f>
        <v>1101.4000000000001</v>
      </c>
      <c r="I1221" s="451"/>
      <c r="J1221" s="452"/>
      <c r="K1221" s="452"/>
      <c r="L1221" s="452"/>
      <c r="M1221" s="452"/>
      <c r="N1221" s="452"/>
      <c r="O1221" s="452"/>
      <c r="P1221" s="493">
        <v>1</v>
      </c>
      <c r="Q1221" s="452">
        <f>ROUND(P1221*H1221,2)</f>
        <v>1101.4000000000001</v>
      </c>
      <c r="R1221" s="452"/>
      <c r="S1221" s="452"/>
      <c r="T1221" s="452">
        <f t="shared" si="393"/>
        <v>1</v>
      </c>
      <c r="U1221" s="452">
        <f t="shared" si="394"/>
        <v>1101.4000000000001</v>
      </c>
      <c r="V1221" s="453">
        <f>COMP!G107</f>
        <v>917.24</v>
      </c>
      <c r="W1221" s="453"/>
      <c r="X1221" s="42"/>
      <c r="Y1221" s="336"/>
      <c r="Z1221" s="336"/>
      <c r="AA1221" s="42"/>
      <c r="AB1221" s="39"/>
    </row>
    <row r="1222" spans="1:28" s="38" customFormat="1">
      <c r="A1222" s="456" t="s">
        <v>4150</v>
      </c>
      <c r="B1222" s="448" t="s">
        <v>3932</v>
      </c>
      <c r="C1222" s="449" t="s">
        <v>3933</v>
      </c>
      <c r="D1222" s="447" t="s">
        <v>1914</v>
      </c>
      <c r="E1222" s="447" t="s">
        <v>3882</v>
      </c>
      <c r="F1222" s="450"/>
      <c r="G1222" s="450">
        <f>(V1222-(V1222*$Y$15))*$S$16</f>
        <v>1570.6348232558139</v>
      </c>
      <c r="H1222" s="450">
        <f>ROUND(G1222*(1+$X$14),2)</f>
        <v>1991.72</v>
      </c>
      <c r="I1222" s="451"/>
      <c r="J1222" s="452"/>
      <c r="K1222" s="452"/>
      <c r="L1222" s="452"/>
      <c r="M1222" s="452"/>
      <c r="N1222" s="452"/>
      <c r="O1222" s="452"/>
      <c r="P1222" s="493">
        <v>1</v>
      </c>
      <c r="Q1222" s="452">
        <f>ROUND(P1222*H1222,2)</f>
        <v>1991.72</v>
      </c>
      <c r="R1222" s="452"/>
      <c r="S1222" s="452"/>
      <c r="T1222" s="452">
        <f t="shared" si="393"/>
        <v>1</v>
      </c>
      <c r="U1222" s="452">
        <f t="shared" si="394"/>
        <v>1991.72</v>
      </c>
      <c r="V1222" s="453">
        <f>COMP!G126</f>
        <v>1658.6999999999998</v>
      </c>
      <c r="W1222" s="453"/>
      <c r="X1222" s="42"/>
      <c r="Y1222" s="336"/>
      <c r="Z1222" s="336"/>
      <c r="AA1222" s="42"/>
      <c r="AB1222" s="39"/>
    </row>
    <row r="1223" spans="1:28" s="38" customFormat="1" ht="39" customHeight="1">
      <c r="A1223" s="456" t="s">
        <v>4151</v>
      </c>
      <c r="B1223" s="448" t="s">
        <v>3935</v>
      </c>
      <c r="C1223" s="449" t="s">
        <v>3934</v>
      </c>
      <c r="D1223" s="447" t="s">
        <v>1914</v>
      </c>
      <c r="E1223" s="447" t="s">
        <v>3882</v>
      </c>
      <c r="F1223" s="450"/>
      <c r="G1223" s="450">
        <f>(V1223-(V1223*$Y$15))*$S$16</f>
        <v>1668.9805956940781</v>
      </c>
      <c r="H1223" s="450">
        <f>ROUND(G1223*(1+$X$14),2)</f>
        <v>2116.4299999999998</v>
      </c>
      <c r="I1223" s="451"/>
      <c r="J1223" s="452"/>
      <c r="K1223" s="452"/>
      <c r="L1223" s="452"/>
      <c r="M1223" s="452"/>
      <c r="N1223" s="452"/>
      <c r="O1223" s="452"/>
      <c r="P1223" s="493">
        <v>1</v>
      </c>
      <c r="Q1223" s="452">
        <f>ROUND(P1223*H1223,2)</f>
        <v>2116.4299999999998</v>
      </c>
      <c r="R1223" s="452"/>
      <c r="S1223" s="452"/>
      <c r="T1223" s="452">
        <f t="shared" si="393"/>
        <v>1</v>
      </c>
      <c r="U1223" s="452">
        <f t="shared" si="394"/>
        <v>2116.4299999999998</v>
      </c>
      <c r="V1223" s="453">
        <f>COMP!G142</f>
        <v>1762.56</v>
      </c>
      <c r="W1223" s="453"/>
      <c r="X1223" s="42"/>
      <c r="Y1223" s="336"/>
      <c r="Z1223" s="336"/>
      <c r="AA1223" s="42"/>
      <c r="AB1223" s="39"/>
    </row>
    <row r="1224" spans="1:28" s="55" customFormat="1" ht="15" customHeight="1">
      <c r="A1224" s="229" t="s">
        <v>1465</v>
      </c>
      <c r="B1224" s="229"/>
      <c r="C1224" s="229" t="s">
        <v>2366</v>
      </c>
      <c r="D1224" s="230"/>
      <c r="E1224" s="230"/>
      <c r="F1224" s="230"/>
      <c r="G1224" s="22"/>
      <c r="H1224" s="230"/>
      <c r="I1224" s="445"/>
      <c r="J1224" s="440"/>
      <c r="K1224" s="440"/>
      <c r="L1224" s="440"/>
      <c r="M1224" s="440"/>
      <c r="N1224" s="440"/>
      <c r="O1224" s="440"/>
      <c r="P1224" s="492"/>
      <c r="Q1224" s="440"/>
      <c r="R1224" s="440"/>
      <c r="S1224" s="440"/>
      <c r="T1224" s="148"/>
      <c r="U1224" s="148"/>
      <c r="V1224" s="330"/>
      <c r="W1224" s="330"/>
      <c r="X1224" s="58"/>
      <c r="Y1224" s="334"/>
      <c r="Z1224" s="334">
        <f t="shared" si="337"/>
        <v>0</v>
      </c>
      <c r="AA1224" s="58"/>
      <c r="AB1224" s="58"/>
    </row>
    <row r="1225" spans="1:28" s="55" customFormat="1" ht="76.5" customHeight="1">
      <c r="A1225" s="19" t="s">
        <v>1466</v>
      </c>
      <c r="B1225" s="20">
        <v>9744</v>
      </c>
      <c r="C1225" s="19" t="s">
        <v>3021</v>
      </c>
      <c r="D1225" s="21" t="s">
        <v>44</v>
      </c>
      <c r="E1225" s="21" t="s">
        <v>17</v>
      </c>
      <c r="F1225" s="22">
        <v>2</v>
      </c>
      <c r="G1225" s="22">
        <f>Y1225-(Y1225*$Y$15)</f>
        <v>80750</v>
      </c>
      <c r="H1225" s="22">
        <f>ROUND(G1225*(1+$X$14),2)</f>
        <v>102399.08</v>
      </c>
      <c r="I1225" s="147">
        <f>ROUND(H1225*F1225,2)</f>
        <v>204798.16</v>
      </c>
      <c r="J1225" s="148"/>
      <c r="K1225" s="148"/>
      <c r="L1225" s="148"/>
      <c r="M1225" s="148">
        <v>182678.16</v>
      </c>
      <c r="N1225" s="148">
        <v>231654.17</v>
      </c>
      <c r="O1225" s="148">
        <v>463308.34</v>
      </c>
      <c r="P1225" s="494"/>
      <c r="Q1225" s="148">
        <f>ROUND(P1225*N1225,2)</f>
        <v>0</v>
      </c>
      <c r="R1225" s="148"/>
      <c r="S1225" s="148">
        <f>ROUND(R1225*N1225,2)</f>
        <v>0</v>
      </c>
      <c r="T1225" s="148">
        <f t="shared" si="357"/>
        <v>2</v>
      </c>
      <c r="U1225" s="148">
        <f>O1225+Q1225-S1225+L1225</f>
        <v>463308.34</v>
      </c>
      <c r="V1225" s="379"/>
      <c r="W1225" s="379"/>
      <c r="X1225" s="57">
        <f>'COMPOSIÇÃO DE CUSTOS'!G2155</f>
        <v>80750</v>
      </c>
      <c r="Y1225" s="334">
        <v>95000</v>
      </c>
      <c r="Z1225" s="334">
        <f t="shared" si="337"/>
        <v>161500</v>
      </c>
      <c r="AA1225" s="57"/>
      <c r="AB1225" s="58"/>
    </row>
    <row r="1226" spans="1:28" ht="33.75" customHeight="1">
      <c r="A1226" s="19"/>
      <c r="B1226" s="21"/>
      <c r="C1226" s="19"/>
      <c r="D1226" s="21"/>
      <c r="E1226" s="21"/>
      <c r="F1226" s="22"/>
      <c r="G1226" s="22"/>
      <c r="H1226" s="22"/>
      <c r="I1226" s="147"/>
      <c r="J1226" s="148"/>
      <c r="K1226" s="148"/>
      <c r="L1226" s="148"/>
      <c r="M1226" s="148"/>
      <c r="N1226" s="148"/>
      <c r="O1226" s="148"/>
      <c r="P1226" s="494"/>
      <c r="Q1226" s="148"/>
      <c r="R1226" s="148"/>
      <c r="S1226" s="148"/>
      <c r="T1226" s="148"/>
      <c r="U1226" s="148"/>
      <c r="V1226" s="379"/>
      <c r="W1226" s="379"/>
      <c r="Z1226" s="334">
        <f t="shared" si="337"/>
        <v>0</v>
      </c>
    </row>
    <row r="1227" spans="1:28" s="38" customFormat="1">
      <c r="A1227" s="229" t="s">
        <v>1467</v>
      </c>
      <c r="B1227" s="229"/>
      <c r="C1227" s="229" t="s">
        <v>338</v>
      </c>
      <c r="D1227" s="230"/>
      <c r="E1227" s="230"/>
      <c r="F1227" s="230"/>
      <c r="G1227" s="22"/>
      <c r="H1227" s="230"/>
      <c r="I1227" s="445">
        <f>ROUND(SUM(I1228:I1238),2)</f>
        <v>145979.82</v>
      </c>
      <c r="J1227" s="440"/>
      <c r="K1227" s="440"/>
      <c r="L1227" s="440"/>
      <c r="M1227" s="440"/>
      <c r="N1227" s="440"/>
      <c r="O1227" s="440">
        <f>ROUND(SUM(O1228:O1239),2)</f>
        <v>159529.14000000001</v>
      </c>
      <c r="P1227" s="492"/>
      <c r="Q1227" s="440">
        <f>ROUND(SUM(Q1228:Q1239),2)</f>
        <v>919.78</v>
      </c>
      <c r="R1227" s="440"/>
      <c r="S1227" s="440">
        <f>ROUND(SUM(S1228:S1238),2)</f>
        <v>0</v>
      </c>
      <c r="T1227" s="148"/>
      <c r="U1227" s="440">
        <f>O1227+Q1227-S1227</f>
        <v>160448.92000000001</v>
      </c>
      <c r="V1227" s="330"/>
      <c r="W1227" s="330"/>
      <c r="Y1227" s="351"/>
      <c r="Z1227" s="334">
        <f t="shared" si="337"/>
        <v>0</v>
      </c>
    </row>
    <row r="1228" spans="1:28" ht="30">
      <c r="A1228" s="19" t="s">
        <v>1468</v>
      </c>
      <c r="B1228" s="20">
        <v>88497</v>
      </c>
      <c r="C1228" s="19" t="s">
        <v>1741</v>
      </c>
      <c r="D1228" s="21" t="s">
        <v>12</v>
      </c>
      <c r="E1228" s="21" t="s">
        <v>26</v>
      </c>
      <c r="F1228" s="22">
        <v>2571.2865000000002</v>
      </c>
      <c r="G1228" s="22">
        <f t="shared" ref="G1228:G1237" si="405">Y1228-(Y1228*$Y$15)</f>
        <v>9.7070000000000007</v>
      </c>
      <c r="H1228" s="22">
        <f t="shared" ref="H1228:H1238" si="406">ROUND(G1228*(1+$X$14),2)</f>
        <v>12.31</v>
      </c>
      <c r="I1228" s="147">
        <f>ROUND(H1228*F1228,2)</f>
        <v>31652.54</v>
      </c>
      <c r="J1228" s="148"/>
      <c r="K1228" s="148"/>
      <c r="L1228" s="148"/>
      <c r="M1228" s="148">
        <v>10.210000000000001</v>
      </c>
      <c r="N1228" s="148">
        <v>12.95</v>
      </c>
      <c r="O1228" s="148">
        <v>33298.160000000003</v>
      </c>
      <c r="P1228" s="494"/>
      <c r="Q1228" s="148">
        <f t="shared" ref="Q1228:Q1238" si="407">ROUND(P1228*N1228,2)</f>
        <v>0</v>
      </c>
      <c r="R1228" s="148"/>
      <c r="S1228" s="148">
        <f t="shared" ref="S1228:S1238" si="408">ROUND(R1228*N1228,2)</f>
        <v>0</v>
      </c>
      <c r="T1228" s="148">
        <f t="shared" ref="T1228:T1239" si="409">F1228+P1228-R1228</f>
        <v>2571.2865000000002</v>
      </c>
      <c r="U1228" s="148">
        <f>O1228+Q1228-S1228</f>
        <v>33298.160000000003</v>
      </c>
      <c r="V1228" s="379"/>
      <c r="W1228" s="379"/>
      <c r="X1228" s="2" t="e">
        <f>IF(B1228&lt;&gt;0,VLOOKUP(B1228,#REF!,4,FALSE),"")</f>
        <v>#REF!</v>
      </c>
      <c r="Y1228" s="340" t="s">
        <v>3130</v>
      </c>
      <c r="Z1228" s="334">
        <f t="shared" si="337"/>
        <v>24959.478055500003</v>
      </c>
      <c r="AB1228" s="2" t="e">
        <f>IF(B1228&lt;&gt;0,VLOOKUP(B1228,#REF!,2,FALSE),"")</f>
        <v>#REF!</v>
      </c>
    </row>
    <row r="1229" spans="1:28" ht="30">
      <c r="A1229" s="19" t="s">
        <v>1469</v>
      </c>
      <c r="B1229" s="20">
        <v>88485</v>
      </c>
      <c r="C1229" s="19" t="s">
        <v>1742</v>
      </c>
      <c r="D1229" s="21" t="s">
        <v>12</v>
      </c>
      <c r="E1229" s="21" t="s">
        <v>26</v>
      </c>
      <c r="F1229" s="22">
        <v>2571.2865000000002</v>
      </c>
      <c r="G1229" s="22">
        <f t="shared" si="405"/>
        <v>1.5215000000000001</v>
      </c>
      <c r="H1229" s="22">
        <f t="shared" si="406"/>
        <v>1.93</v>
      </c>
      <c r="I1229" s="147">
        <f t="shared" ref="I1229:I1238" si="410">ROUND(H1229*F1229,2)</f>
        <v>4962.58</v>
      </c>
      <c r="J1229" s="148"/>
      <c r="K1229" s="148"/>
      <c r="L1229" s="148"/>
      <c r="M1229" s="148">
        <v>1.69</v>
      </c>
      <c r="N1229" s="148">
        <v>2.14</v>
      </c>
      <c r="O1229" s="148">
        <v>5502.55</v>
      </c>
      <c r="P1229" s="494"/>
      <c r="Q1229" s="148">
        <f t="shared" si="407"/>
        <v>0</v>
      </c>
      <c r="R1229" s="148"/>
      <c r="S1229" s="148">
        <f t="shared" si="408"/>
        <v>0</v>
      </c>
      <c r="T1229" s="148">
        <f t="shared" si="409"/>
        <v>2571.2865000000002</v>
      </c>
      <c r="U1229" s="148">
        <f t="shared" ref="U1229:U1239" si="411">O1229+Q1229-S1229</f>
        <v>5502.55</v>
      </c>
      <c r="V1229" s="379"/>
      <c r="W1229" s="379"/>
      <c r="X1229" s="2" t="e">
        <f>IF(B1229&lt;&gt;0,VLOOKUP(B1229,#REF!,4,FALSE),"")</f>
        <v>#REF!</v>
      </c>
      <c r="Y1229" s="340" t="s">
        <v>1842</v>
      </c>
      <c r="Z1229" s="334">
        <f t="shared" si="337"/>
        <v>3912.2124097500005</v>
      </c>
      <c r="AB1229" s="2" t="e">
        <f>IF(B1229&lt;&gt;0,VLOOKUP(B1229,#REF!,2,FALSE),"")</f>
        <v>#REF!</v>
      </c>
    </row>
    <row r="1230" spans="1:28" ht="30">
      <c r="A1230" s="19" t="s">
        <v>1470</v>
      </c>
      <c r="B1230" s="20">
        <v>88489</v>
      </c>
      <c r="C1230" s="19" t="s">
        <v>339</v>
      </c>
      <c r="D1230" s="21" t="s">
        <v>12</v>
      </c>
      <c r="E1230" s="21" t="s">
        <v>26</v>
      </c>
      <c r="F1230" s="22">
        <f>132.6+847.36</f>
        <v>979.96</v>
      </c>
      <c r="G1230" s="22">
        <f t="shared" si="405"/>
        <v>9.0015000000000001</v>
      </c>
      <c r="H1230" s="22">
        <f t="shared" si="406"/>
        <v>11.41</v>
      </c>
      <c r="I1230" s="147">
        <f t="shared" si="410"/>
        <v>11181.34</v>
      </c>
      <c r="J1230" s="148"/>
      <c r="K1230" s="148"/>
      <c r="L1230" s="148"/>
      <c r="M1230" s="148">
        <v>10.029999999999999</v>
      </c>
      <c r="N1230" s="148">
        <v>12.72</v>
      </c>
      <c r="O1230" s="148">
        <v>12465.09</v>
      </c>
      <c r="P1230" s="494"/>
      <c r="Q1230" s="148">
        <f t="shared" si="407"/>
        <v>0</v>
      </c>
      <c r="R1230" s="148"/>
      <c r="S1230" s="148">
        <f t="shared" si="408"/>
        <v>0</v>
      </c>
      <c r="T1230" s="148">
        <f t="shared" si="409"/>
        <v>979.96</v>
      </c>
      <c r="U1230" s="148">
        <f t="shared" si="411"/>
        <v>12465.09</v>
      </c>
      <c r="V1230" s="379"/>
      <c r="W1230" s="379"/>
      <c r="X1230" s="2" t="e">
        <f>IF(B1230&lt;&gt;0,VLOOKUP(B1230,#REF!,4,FALSE),"")</f>
        <v>#REF!</v>
      </c>
      <c r="Y1230" s="340" t="s">
        <v>1912</v>
      </c>
      <c r="Z1230" s="334">
        <f t="shared" si="337"/>
        <v>8821.1099400000003</v>
      </c>
      <c r="AB1230" s="2" t="e">
        <f>IF(B1230&lt;&gt;0,VLOOKUP(B1230,#REF!,2,FALSE),"")</f>
        <v>#REF!</v>
      </c>
    </row>
    <row r="1231" spans="1:28" ht="30">
      <c r="A1231" s="19" t="s">
        <v>1471</v>
      </c>
      <c r="B1231" s="20">
        <v>88489</v>
      </c>
      <c r="C1231" s="19" t="s">
        <v>340</v>
      </c>
      <c r="D1231" s="21" t="s">
        <v>12</v>
      </c>
      <c r="E1231" s="21" t="s">
        <v>26</v>
      </c>
      <c r="F1231" s="22">
        <v>170</v>
      </c>
      <c r="G1231" s="22">
        <f t="shared" si="405"/>
        <v>9.0015000000000001</v>
      </c>
      <c r="H1231" s="22">
        <f t="shared" si="406"/>
        <v>11.41</v>
      </c>
      <c r="I1231" s="147">
        <f t="shared" si="410"/>
        <v>1939.7</v>
      </c>
      <c r="J1231" s="148"/>
      <c r="K1231" s="148"/>
      <c r="L1231" s="148"/>
      <c r="M1231" s="148">
        <v>10.029999999999999</v>
      </c>
      <c r="N1231" s="148">
        <v>12.72</v>
      </c>
      <c r="O1231" s="148">
        <v>2162.4</v>
      </c>
      <c r="P1231" s="494"/>
      <c r="Q1231" s="148">
        <f t="shared" si="407"/>
        <v>0</v>
      </c>
      <c r="R1231" s="148"/>
      <c r="S1231" s="148">
        <f t="shared" si="408"/>
        <v>0</v>
      </c>
      <c r="T1231" s="148">
        <f t="shared" si="409"/>
        <v>170</v>
      </c>
      <c r="U1231" s="148">
        <f t="shared" si="411"/>
        <v>2162.4</v>
      </c>
      <c r="V1231" s="379"/>
      <c r="W1231" s="379"/>
      <c r="X1231" s="2" t="e">
        <f>IF(B1231&lt;&gt;0,VLOOKUP(B1231,#REF!,4,FALSE),"")</f>
        <v>#REF!</v>
      </c>
      <c r="Y1231" s="340" t="s">
        <v>1912</v>
      </c>
      <c r="Z1231" s="334">
        <f t="shared" si="337"/>
        <v>1530.2550000000001</v>
      </c>
      <c r="AB1231" s="2" t="e">
        <f>IF(B1231&lt;&gt;0,VLOOKUP(B1231,#REF!,2,FALSE),"")</f>
        <v>#REF!</v>
      </c>
    </row>
    <row r="1232" spans="1:28" ht="30">
      <c r="A1232" s="19" t="s">
        <v>1472</v>
      </c>
      <c r="B1232" s="20">
        <v>88489</v>
      </c>
      <c r="C1232" s="19" t="s">
        <v>341</v>
      </c>
      <c r="D1232" s="21" t="s">
        <v>12</v>
      </c>
      <c r="E1232" s="21" t="s">
        <v>26</v>
      </c>
      <c r="F1232" s="22">
        <v>362</v>
      </c>
      <c r="G1232" s="22">
        <f t="shared" si="405"/>
        <v>9.0015000000000001</v>
      </c>
      <c r="H1232" s="22">
        <f t="shared" si="406"/>
        <v>11.41</v>
      </c>
      <c r="I1232" s="147">
        <f t="shared" si="410"/>
        <v>4130.42</v>
      </c>
      <c r="J1232" s="148"/>
      <c r="K1232" s="148"/>
      <c r="L1232" s="148"/>
      <c r="M1232" s="148">
        <v>10.029999999999999</v>
      </c>
      <c r="N1232" s="148">
        <v>12.72</v>
      </c>
      <c r="O1232" s="148">
        <v>4604.6400000000003</v>
      </c>
      <c r="P1232" s="494"/>
      <c r="Q1232" s="148">
        <f t="shared" si="407"/>
        <v>0</v>
      </c>
      <c r="R1232" s="148"/>
      <c r="S1232" s="148">
        <f t="shared" si="408"/>
        <v>0</v>
      </c>
      <c r="T1232" s="148">
        <f t="shared" si="409"/>
        <v>362</v>
      </c>
      <c r="U1232" s="148">
        <f t="shared" si="411"/>
        <v>4604.6400000000003</v>
      </c>
      <c r="V1232" s="379"/>
      <c r="W1232" s="379"/>
      <c r="X1232" s="2" t="e">
        <f>IF(B1232&lt;&gt;0,VLOOKUP(B1232,#REF!,4,FALSE),"")</f>
        <v>#REF!</v>
      </c>
      <c r="Y1232" s="340" t="s">
        <v>1912</v>
      </c>
      <c r="Z1232" s="334">
        <f t="shared" si="337"/>
        <v>3258.5430000000001</v>
      </c>
      <c r="AB1232" s="2" t="e">
        <f>IF(B1232&lt;&gt;0,VLOOKUP(B1232,#REF!,2,FALSE),"")</f>
        <v>#REF!</v>
      </c>
    </row>
    <row r="1233" spans="1:60" ht="30">
      <c r="A1233" s="19" t="s">
        <v>1473</v>
      </c>
      <c r="B1233" s="20">
        <v>88489</v>
      </c>
      <c r="C1233" s="19" t="s">
        <v>342</v>
      </c>
      <c r="D1233" s="21" t="s">
        <v>12</v>
      </c>
      <c r="E1233" s="21" t="s">
        <v>26</v>
      </c>
      <c r="F1233" s="22">
        <v>307.93</v>
      </c>
      <c r="G1233" s="22">
        <f t="shared" si="405"/>
        <v>9.0015000000000001</v>
      </c>
      <c r="H1233" s="22">
        <f t="shared" si="406"/>
        <v>11.41</v>
      </c>
      <c r="I1233" s="147">
        <f t="shared" si="410"/>
        <v>3513.48</v>
      </c>
      <c r="J1233" s="148"/>
      <c r="K1233" s="148"/>
      <c r="L1233" s="148"/>
      <c r="M1233" s="148">
        <v>10.029999999999999</v>
      </c>
      <c r="N1233" s="148">
        <v>12.72</v>
      </c>
      <c r="O1233" s="148">
        <v>3916.87</v>
      </c>
      <c r="P1233" s="494"/>
      <c r="Q1233" s="148">
        <f t="shared" si="407"/>
        <v>0</v>
      </c>
      <c r="R1233" s="148"/>
      <c r="S1233" s="148">
        <f t="shared" si="408"/>
        <v>0</v>
      </c>
      <c r="T1233" s="148">
        <f t="shared" si="409"/>
        <v>307.93</v>
      </c>
      <c r="U1233" s="148">
        <f t="shared" si="411"/>
        <v>3916.87</v>
      </c>
      <c r="V1233" s="379"/>
      <c r="W1233" s="379"/>
      <c r="X1233" s="2" t="e">
        <f>IF(B1233&lt;&gt;0,VLOOKUP(B1233,#REF!,4,FALSE),"")</f>
        <v>#REF!</v>
      </c>
      <c r="Y1233" s="340" t="s">
        <v>1912</v>
      </c>
      <c r="Z1233" s="334">
        <f t="shared" si="337"/>
        <v>2771.8318950000003</v>
      </c>
      <c r="AB1233" s="2" t="e">
        <f>IF(B1233&lt;&gt;0,VLOOKUP(B1233,#REF!,2,FALSE),"")</f>
        <v>#REF!</v>
      </c>
    </row>
    <row r="1234" spans="1:60" ht="30">
      <c r="A1234" s="19" t="s">
        <v>3439</v>
      </c>
      <c r="B1234" s="20">
        <v>88484</v>
      </c>
      <c r="C1234" s="19" t="s">
        <v>3445</v>
      </c>
      <c r="D1234" s="21" t="s">
        <v>12</v>
      </c>
      <c r="E1234" s="21" t="s">
        <v>26</v>
      </c>
      <c r="F1234" s="22">
        <f>138+1370.72</f>
        <v>1508.72</v>
      </c>
      <c r="G1234" s="22">
        <f t="shared" si="405"/>
        <v>1.768</v>
      </c>
      <c r="H1234" s="22">
        <f t="shared" si="406"/>
        <v>2.2400000000000002</v>
      </c>
      <c r="I1234" s="147">
        <f>ROUND(H1234*F1234,2)</f>
        <v>3379.53</v>
      </c>
      <c r="J1234" s="148"/>
      <c r="K1234" s="148"/>
      <c r="L1234" s="148"/>
      <c r="M1234" s="148">
        <v>1.97</v>
      </c>
      <c r="N1234" s="148">
        <v>2.5</v>
      </c>
      <c r="O1234" s="148">
        <v>3771.8</v>
      </c>
      <c r="P1234" s="494"/>
      <c r="Q1234" s="148">
        <f t="shared" si="407"/>
        <v>0</v>
      </c>
      <c r="R1234" s="148"/>
      <c r="S1234" s="148">
        <f t="shared" si="408"/>
        <v>0</v>
      </c>
      <c r="T1234" s="148">
        <f t="shared" si="409"/>
        <v>1508.72</v>
      </c>
      <c r="U1234" s="148">
        <f t="shared" si="411"/>
        <v>3771.8</v>
      </c>
      <c r="V1234" s="379"/>
      <c r="W1234" s="379"/>
      <c r="X1234" s="2" t="e">
        <f>IF(B1234&lt;&gt;0,VLOOKUP(B1234,#REF!,4,FALSE),"")</f>
        <v>#REF!</v>
      </c>
      <c r="Y1234" s="340" t="s">
        <v>3128</v>
      </c>
      <c r="Z1234" s="334">
        <f t="shared" si="337"/>
        <v>2667.41696</v>
      </c>
      <c r="AB1234" s="2" t="e">
        <f>IF(B1234&lt;&gt;0,VLOOKUP(B1234,#REF!,2,FALSE),"")</f>
        <v>#REF!</v>
      </c>
    </row>
    <row r="1235" spans="1:60" ht="30">
      <c r="A1235" s="19" t="s">
        <v>3440</v>
      </c>
      <c r="B1235" s="20">
        <v>88496</v>
      </c>
      <c r="C1235" s="318" t="s">
        <v>3438</v>
      </c>
      <c r="D1235" s="21" t="s">
        <v>12</v>
      </c>
      <c r="E1235" s="21" t="s">
        <v>26</v>
      </c>
      <c r="F1235" s="22">
        <f>138+1370.72</f>
        <v>1508.72</v>
      </c>
      <c r="G1235" s="22">
        <f t="shared" si="405"/>
        <v>17.025500000000001</v>
      </c>
      <c r="H1235" s="22">
        <f t="shared" si="406"/>
        <v>21.59</v>
      </c>
      <c r="I1235" s="147">
        <f>ROUND(H1235*F1235,2)</f>
        <v>32573.26</v>
      </c>
      <c r="J1235" s="148"/>
      <c r="K1235" s="148"/>
      <c r="L1235" s="148"/>
      <c r="M1235" s="148">
        <v>18.37</v>
      </c>
      <c r="N1235" s="148">
        <v>23.29</v>
      </c>
      <c r="O1235" s="148">
        <v>35138.089999999997</v>
      </c>
      <c r="P1235" s="494"/>
      <c r="Q1235" s="148">
        <f t="shared" si="407"/>
        <v>0</v>
      </c>
      <c r="R1235" s="148"/>
      <c r="S1235" s="148">
        <f t="shared" si="408"/>
        <v>0</v>
      </c>
      <c r="T1235" s="148">
        <f t="shared" si="409"/>
        <v>1508.72</v>
      </c>
      <c r="U1235" s="148">
        <f t="shared" si="411"/>
        <v>35138.089999999997</v>
      </c>
      <c r="V1235" s="379"/>
      <c r="W1235" s="379"/>
      <c r="X1235" s="2" t="e">
        <f>IF(B1235&lt;&gt;0,VLOOKUP(B1235,#REF!,4,FALSE),"")</f>
        <v>#REF!</v>
      </c>
      <c r="Y1235" s="340" t="s">
        <v>3308</v>
      </c>
      <c r="Z1235" s="334">
        <f t="shared" si="337"/>
        <v>25686.712360000001</v>
      </c>
      <c r="AB1235" s="2" t="e">
        <f>IF(B1235&lt;&gt;0,VLOOKUP(B1235,#REF!,2,FALSE),"")</f>
        <v>#REF!</v>
      </c>
    </row>
    <row r="1236" spans="1:60" ht="30">
      <c r="A1236" s="19" t="s">
        <v>3441</v>
      </c>
      <c r="B1236" s="20">
        <v>88488</v>
      </c>
      <c r="C1236" s="19" t="s">
        <v>3446</v>
      </c>
      <c r="D1236" s="21" t="s">
        <v>12</v>
      </c>
      <c r="E1236" s="21" t="s">
        <v>26</v>
      </c>
      <c r="F1236" s="22">
        <f>138+1370.72</f>
        <v>1508.72</v>
      </c>
      <c r="G1236" s="22">
        <f t="shared" si="405"/>
        <v>10.148999999999999</v>
      </c>
      <c r="H1236" s="22">
        <f t="shared" si="406"/>
        <v>12.87</v>
      </c>
      <c r="I1236" s="147">
        <f>ROUND(H1236*F1236,2)</f>
        <v>19417.23</v>
      </c>
      <c r="J1236" s="148"/>
      <c r="K1236" s="148"/>
      <c r="L1236" s="148"/>
      <c r="M1236" s="148">
        <v>11.31</v>
      </c>
      <c r="N1236" s="148">
        <v>14.34</v>
      </c>
      <c r="O1236" s="148">
        <v>21635.040000000001</v>
      </c>
      <c r="P1236" s="494"/>
      <c r="Q1236" s="148">
        <f t="shared" si="407"/>
        <v>0</v>
      </c>
      <c r="R1236" s="148"/>
      <c r="S1236" s="148">
        <f t="shared" si="408"/>
        <v>0</v>
      </c>
      <c r="T1236" s="148">
        <f t="shared" si="409"/>
        <v>1508.72</v>
      </c>
      <c r="U1236" s="148">
        <f t="shared" si="411"/>
        <v>21635.040000000001</v>
      </c>
      <c r="V1236" s="379"/>
      <c r="W1236" s="379"/>
      <c r="X1236" s="2" t="e">
        <f>IF(B1236&lt;&gt;0,VLOOKUP(B1236,#REF!,4,FALSE),"")</f>
        <v>#REF!</v>
      </c>
      <c r="Y1236" s="340" t="s">
        <v>1886</v>
      </c>
      <c r="Z1236" s="334">
        <f t="shared" si="337"/>
        <v>15311.999279999998</v>
      </c>
      <c r="AB1236" s="2" t="e">
        <f>IF(B1236&lt;&gt;0,VLOOKUP(B1236,#REF!,2,FALSE),"")</f>
        <v>#REF!</v>
      </c>
    </row>
    <row r="1237" spans="1:60" ht="45">
      <c r="A1237" s="19" t="s">
        <v>3442</v>
      </c>
      <c r="B1237" s="20">
        <v>100721</v>
      </c>
      <c r="C1237" s="19" t="s">
        <v>3437</v>
      </c>
      <c r="D1237" s="21" t="s">
        <v>12</v>
      </c>
      <c r="E1237" s="21" t="s">
        <v>26</v>
      </c>
      <c r="F1237" s="22">
        <v>672.47</v>
      </c>
      <c r="G1237" s="22">
        <f t="shared" si="405"/>
        <v>14.186500000000001</v>
      </c>
      <c r="H1237" s="22">
        <f t="shared" si="406"/>
        <v>17.989999999999998</v>
      </c>
      <c r="I1237" s="147">
        <f>ROUND(H1237*F1237,2)</f>
        <v>12097.74</v>
      </c>
      <c r="J1237" s="148"/>
      <c r="K1237" s="148"/>
      <c r="L1237" s="148"/>
      <c r="M1237" s="148">
        <v>15.8</v>
      </c>
      <c r="N1237" s="148">
        <v>20.04</v>
      </c>
      <c r="O1237" s="148">
        <v>13476.3</v>
      </c>
      <c r="P1237" s="494"/>
      <c r="Q1237" s="148">
        <f t="shared" si="407"/>
        <v>0</v>
      </c>
      <c r="R1237" s="148"/>
      <c r="S1237" s="148">
        <f t="shared" si="408"/>
        <v>0</v>
      </c>
      <c r="T1237" s="148">
        <f t="shared" si="409"/>
        <v>672.47</v>
      </c>
      <c r="U1237" s="148">
        <f t="shared" si="411"/>
        <v>13476.3</v>
      </c>
      <c r="V1237" s="379"/>
      <c r="W1237" s="379"/>
      <c r="X1237" s="2" t="e">
        <f>IF(B1237&lt;&gt;0,VLOOKUP(B1237,#REF!,4,FALSE),"")</f>
        <v>#REF!</v>
      </c>
      <c r="Y1237" s="340" t="s">
        <v>1865</v>
      </c>
      <c r="Z1237" s="334">
        <f t="shared" si="337"/>
        <v>9539.9956550000006</v>
      </c>
      <c r="AB1237" s="2" t="e">
        <f>IF(B1237&lt;&gt;0,VLOOKUP(B1237,#REF!,2,FALSE),"")</f>
        <v>#REF!</v>
      </c>
    </row>
    <row r="1238" spans="1:60" ht="45">
      <c r="A1238" s="19" t="s">
        <v>3443</v>
      </c>
      <c r="B1238" s="20">
        <v>88489</v>
      </c>
      <c r="C1238" s="19" t="s">
        <v>343</v>
      </c>
      <c r="D1238" s="21" t="s">
        <v>12</v>
      </c>
      <c r="E1238" s="21" t="s">
        <v>26</v>
      </c>
      <c r="F1238" s="22">
        <v>1852.06</v>
      </c>
      <c r="G1238" s="22">
        <f t="shared" ref="G1238:G1275" si="412">Y1238-(Y1238*$Y$15)</f>
        <v>9.0015000000000001</v>
      </c>
      <c r="H1238" s="22">
        <f t="shared" si="406"/>
        <v>11.41</v>
      </c>
      <c r="I1238" s="147">
        <f t="shared" si="410"/>
        <v>21132</v>
      </c>
      <c r="J1238" s="148"/>
      <c r="K1238" s="148"/>
      <c r="L1238" s="148"/>
      <c r="M1238" s="148">
        <v>10.029999999999999</v>
      </c>
      <c r="N1238" s="148">
        <v>12.72</v>
      </c>
      <c r="O1238" s="148">
        <v>23558.2</v>
      </c>
      <c r="P1238" s="494"/>
      <c r="Q1238" s="148">
        <f t="shared" si="407"/>
        <v>0</v>
      </c>
      <c r="R1238" s="148"/>
      <c r="S1238" s="148">
        <f t="shared" si="408"/>
        <v>0</v>
      </c>
      <c r="T1238" s="148">
        <f t="shared" si="409"/>
        <v>1852.06</v>
      </c>
      <c r="U1238" s="148">
        <f t="shared" si="411"/>
        <v>23558.2</v>
      </c>
      <c r="V1238" s="379"/>
      <c r="W1238" s="379"/>
      <c r="X1238" s="2" t="e">
        <f>IF(B1238&lt;&gt;0,VLOOKUP(B1238,#REF!,4,FALSE),"")</f>
        <v>#REF!</v>
      </c>
      <c r="Y1238" s="340" t="s">
        <v>1912</v>
      </c>
      <c r="Z1238" s="334">
        <f t="shared" ref="Z1238:Z1275" si="413">F1238*G1238</f>
        <v>16671.318090000001</v>
      </c>
      <c r="AB1238" s="2" t="e">
        <f>IF(B1238&lt;&gt;0,VLOOKUP(B1238,#REF!,2,FALSE),"")</f>
        <v>#REF!</v>
      </c>
    </row>
    <row r="1239" spans="1:60" s="38" customFormat="1" ht="30" customHeight="1">
      <c r="A1239" s="449" t="s">
        <v>3794</v>
      </c>
      <c r="B1239" s="448">
        <v>102491</v>
      </c>
      <c r="C1239" s="449" t="s">
        <v>3788</v>
      </c>
      <c r="D1239" s="447" t="s">
        <v>12</v>
      </c>
      <c r="E1239" s="447" t="s">
        <v>26</v>
      </c>
      <c r="F1239" s="450"/>
      <c r="G1239" s="450">
        <f>(V1239-(V1239*$Y$15))*$S$16</f>
        <v>12.300323358107569</v>
      </c>
      <c r="H1239" s="450">
        <f>ROUND(G1239*(1+$X$14),2)</f>
        <v>15.6</v>
      </c>
      <c r="I1239" s="451"/>
      <c r="J1239" s="452"/>
      <c r="K1239" s="452"/>
      <c r="L1239" s="452"/>
      <c r="M1239" s="452"/>
      <c r="N1239" s="452"/>
      <c r="O1239" s="452"/>
      <c r="P1239" s="493">
        <f>(23+(24*1.5*0.18))*2</f>
        <v>58.96</v>
      </c>
      <c r="Q1239" s="452">
        <f>ROUND(P1239*H1239,2)</f>
        <v>919.78</v>
      </c>
      <c r="R1239" s="452"/>
      <c r="S1239" s="452"/>
      <c r="T1239" s="452">
        <f t="shared" si="409"/>
        <v>58.96</v>
      </c>
      <c r="U1239" s="452">
        <f t="shared" si="411"/>
        <v>919.78</v>
      </c>
      <c r="V1239" s="453">
        <f>'PLANILHA ORÇA - EJUD'!W970</f>
        <v>12.99</v>
      </c>
      <c r="W1239" s="453"/>
      <c r="Y1239" s="351"/>
      <c r="Z1239" s="336"/>
    </row>
    <row r="1240" spans="1:60" ht="27.75" customHeight="1">
      <c r="A1240" s="19"/>
      <c r="B1240" s="20"/>
      <c r="C1240" s="19"/>
      <c r="D1240" s="21"/>
      <c r="E1240" s="21"/>
      <c r="F1240" s="22"/>
      <c r="G1240" s="22"/>
      <c r="H1240" s="22"/>
      <c r="I1240" s="147"/>
      <c r="J1240" s="148"/>
      <c r="K1240" s="148"/>
      <c r="L1240" s="148"/>
      <c r="M1240" s="148"/>
      <c r="N1240" s="148"/>
      <c r="O1240" s="148"/>
      <c r="P1240" s="494"/>
      <c r="Q1240" s="148"/>
      <c r="R1240" s="148"/>
      <c r="S1240" s="148"/>
      <c r="T1240" s="148"/>
      <c r="U1240" s="148"/>
      <c r="V1240" s="379"/>
      <c r="W1240" s="379"/>
      <c r="Z1240" s="334">
        <f t="shared" si="413"/>
        <v>0</v>
      </c>
    </row>
    <row r="1241" spans="1:60" s="38" customFormat="1" ht="15" customHeight="1">
      <c r="A1241" s="229" t="s">
        <v>1474</v>
      </c>
      <c r="B1241" s="229"/>
      <c r="C1241" s="229" t="s">
        <v>344</v>
      </c>
      <c r="D1241" s="230"/>
      <c r="E1241" s="230"/>
      <c r="F1241" s="230"/>
      <c r="G1241" s="22"/>
      <c r="H1241" s="230"/>
      <c r="I1241" s="445">
        <f>ROUND(SUM(I1242:I1244),2)</f>
        <v>41069.910000000003</v>
      </c>
      <c r="J1241" s="440"/>
      <c r="K1241" s="440"/>
      <c r="L1241" s="440">
        <f>ROUND(SUM(L1242:L1245),2)</f>
        <v>16599.810000000001</v>
      </c>
      <c r="M1241" s="440"/>
      <c r="N1241" s="440"/>
      <c r="O1241" s="440">
        <f>ROUND(SUM(O1242:O1245),2)</f>
        <v>27260.400000000001</v>
      </c>
      <c r="P1241" s="492"/>
      <c r="Q1241" s="440">
        <f>ROUND(SUM(Q1242:Q1245),2)</f>
        <v>9989.9599999999991</v>
      </c>
      <c r="R1241" s="440"/>
      <c r="S1241" s="440">
        <f>ROUND(SUM(S1242:S1244),2)</f>
        <v>0</v>
      </c>
      <c r="T1241" s="148"/>
      <c r="U1241" s="440">
        <f>O1241+Q1241-S1241+L1241</f>
        <v>53850.17</v>
      </c>
      <c r="V1241" s="330"/>
      <c r="W1241" s="330"/>
      <c r="Y1241" s="351"/>
      <c r="Z1241" s="334">
        <f t="shared" si="413"/>
        <v>0</v>
      </c>
    </row>
    <row r="1242" spans="1:60" ht="45">
      <c r="A1242" s="19" t="s">
        <v>1475</v>
      </c>
      <c r="B1242" s="21" t="s">
        <v>2074</v>
      </c>
      <c r="C1242" s="19" t="s">
        <v>345</v>
      </c>
      <c r="D1242" s="21" t="s">
        <v>1914</v>
      </c>
      <c r="E1242" s="21" t="s">
        <v>26</v>
      </c>
      <c r="F1242" s="22">
        <f>332.27</f>
        <v>332.27</v>
      </c>
      <c r="G1242" s="22">
        <f t="shared" si="412"/>
        <v>8.4489999999999998</v>
      </c>
      <c r="H1242" s="22">
        <f>ROUND(G1242*(1+$X$14),2)</f>
        <v>10.71</v>
      </c>
      <c r="I1242" s="147">
        <f>ROUND(H1242*F1242,2)</f>
        <v>3558.61</v>
      </c>
      <c r="J1242" s="148">
        <v>8.4489999999999998</v>
      </c>
      <c r="K1242" s="148">
        <v>10.71</v>
      </c>
      <c r="L1242" s="148">
        <v>3558.61</v>
      </c>
      <c r="M1242" s="148"/>
      <c r="N1242" s="148"/>
      <c r="O1242" s="148"/>
      <c r="P1242" s="494"/>
      <c r="Q1242" s="148">
        <f>ROUND(P1242*N1242,2)</f>
        <v>0</v>
      </c>
      <c r="R1242" s="148"/>
      <c r="S1242" s="148">
        <f>ROUND(R1242*N1242,2)</f>
        <v>0</v>
      </c>
      <c r="T1242" s="148">
        <f t="shared" ref="T1242:T1249" si="414">F1242+P1242-R1242</f>
        <v>332.27</v>
      </c>
      <c r="U1242" s="148">
        <f>O1242+Q1242-S1242</f>
        <v>0</v>
      </c>
      <c r="V1242" s="379"/>
      <c r="W1242" s="379"/>
      <c r="X1242" s="33">
        <f>'COMPOSIÇÃO DE CUSTOS'!G1710</f>
        <v>8.4499999999999993</v>
      </c>
      <c r="Y1242" s="337">
        <v>9.94</v>
      </c>
      <c r="Z1242" s="334">
        <f t="shared" si="413"/>
        <v>2807.3492299999998</v>
      </c>
      <c r="AA1242" s="33"/>
      <c r="AB1242" s="2" t="e">
        <f>IF(B1242&lt;&gt;0,VLOOKUP(B1242,#REF!,2,FALSE),"")</f>
        <v>#REF!</v>
      </c>
    </row>
    <row r="1243" spans="1:60" s="23" customFormat="1" ht="60">
      <c r="A1243" s="19" t="s">
        <v>1476</v>
      </c>
      <c r="B1243" s="20">
        <v>5968</v>
      </c>
      <c r="C1243" s="19" t="s">
        <v>346</v>
      </c>
      <c r="D1243" s="21" t="s">
        <v>1914</v>
      </c>
      <c r="E1243" s="21" t="s">
        <v>26</v>
      </c>
      <c r="F1243" s="22">
        <v>539.74</v>
      </c>
      <c r="G1243" s="22">
        <f t="shared" si="412"/>
        <v>31.756</v>
      </c>
      <c r="H1243" s="22">
        <f>ROUND(G1243*(1+$X$14),2)</f>
        <v>40.270000000000003</v>
      </c>
      <c r="I1243" s="147">
        <f>ROUND(H1243*F1243,2)</f>
        <v>21735.33</v>
      </c>
      <c r="J1243" s="148">
        <v>31.756</v>
      </c>
      <c r="K1243" s="148">
        <v>40.270000000000003</v>
      </c>
      <c r="L1243" s="148">
        <v>13041.2</v>
      </c>
      <c r="M1243" s="148">
        <v>35.380000000000003</v>
      </c>
      <c r="N1243" s="148">
        <v>44.87</v>
      </c>
      <c r="O1243" s="148">
        <v>9687.25</v>
      </c>
      <c r="P1243" s="494"/>
      <c r="Q1243" s="148">
        <f>ROUND(P1243*N1243,2)</f>
        <v>0</v>
      </c>
      <c r="R1243" s="148"/>
      <c r="S1243" s="148">
        <f>ROUND(R1243*N1243,2)</f>
        <v>0</v>
      </c>
      <c r="T1243" s="148">
        <f t="shared" si="414"/>
        <v>539.74</v>
      </c>
      <c r="U1243" s="148">
        <f>O1243+Q1243-S1243</f>
        <v>9687.25</v>
      </c>
      <c r="V1243" s="379"/>
      <c r="W1243" s="379"/>
      <c r="X1243" s="31">
        <f>'COMPOSIÇÃO DE CUSTOS'!G1718</f>
        <v>31.76</v>
      </c>
      <c r="Y1243" s="346">
        <v>37.36</v>
      </c>
      <c r="Z1243" s="334">
        <f t="shared" si="413"/>
        <v>17139.98344</v>
      </c>
      <c r="AA1243" s="31"/>
      <c r="AB1243" s="23" t="e">
        <f>IF(B1243&lt;&gt;0,VLOOKUP(B1243,#REF!,2,FALSE),"")</f>
        <v>#REF!</v>
      </c>
    </row>
    <row r="1244" spans="1:60" s="38" customFormat="1" ht="75">
      <c r="A1244" s="19" t="s">
        <v>1477</v>
      </c>
      <c r="B1244" s="21" t="s">
        <v>2075</v>
      </c>
      <c r="C1244" s="19" t="s">
        <v>347</v>
      </c>
      <c r="D1244" s="21" t="s">
        <v>1914</v>
      </c>
      <c r="E1244" s="21" t="s">
        <v>26</v>
      </c>
      <c r="F1244" s="22">
        <f>84+79.38</f>
        <v>163.38</v>
      </c>
      <c r="G1244" s="22">
        <f t="shared" si="412"/>
        <v>76.143000000000001</v>
      </c>
      <c r="H1244" s="22">
        <f>ROUND(G1244*(1+$X$14),2)</f>
        <v>96.56</v>
      </c>
      <c r="I1244" s="147">
        <f>ROUND(H1244*F1244,2)</f>
        <v>15775.97</v>
      </c>
      <c r="J1244" s="148"/>
      <c r="K1244" s="148"/>
      <c r="L1244" s="148"/>
      <c r="M1244" s="148">
        <v>84.82</v>
      </c>
      <c r="N1244" s="148">
        <v>107.56</v>
      </c>
      <c r="O1244" s="148">
        <v>17573.150000000001</v>
      </c>
      <c r="P1244" s="494"/>
      <c r="Q1244" s="148">
        <f>ROUND(P1244*N1244,2)</f>
        <v>0</v>
      </c>
      <c r="R1244" s="148"/>
      <c r="S1244" s="148">
        <f>ROUND(R1244*N1244,2)</f>
        <v>0</v>
      </c>
      <c r="T1244" s="148">
        <f t="shared" si="414"/>
        <v>163.38</v>
      </c>
      <c r="U1244" s="148">
        <f>O1244+Q1244-S1244</f>
        <v>17573.150000000001</v>
      </c>
      <c r="V1244" s="379"/>
      <c r="W1244" s="379">
        <f>(25.3+27)*0.5*2+(25.3+27)*2*2*0.4+0.5*2*2*0.4</f>
        <v>136.78000000000003</v>
      </c>
      <c r="X1244" s="42">
        <f>'COMPOSIÇÃO DE CUSTOS'!G1726</f>
        <v>76.14</v>
      </c>
      <c r="Y1244" s="336">
        <v>89.58</v>
      </c>
      <c r="Z1244" s="334">
        <f t="shared" si="413"/>
        <v>12440.243339999999</v>
      </c>
      <c r="AA1244" s="42"/>
      <c r="AB1244" s="38" t="e">
        <f>IF(B1244&lt;&gt;0,VLOOKUP(B1244,#REF!,2,FALSE),"")</f>
        <v>#REF!</v>
      </c>
      <c r="BH1244" s="379" t="s">
        <v>3808</v>
      </c>
    </row>
    <row r="1245" spans="1:60" s="38" customFormat="1" ht="60">
      <c r="A1245" s="449" t="s">
        <v>3807</v>
      </c>
      <c r="B1245" s="448">
        <v>98556</v>
      </c>
      <c r="C1245" s="449" t="s">
        <v>3818</v>
      </c>
      <c r="D1245" s="447" t="s">
        <v>12</v>
      </c>
      <c r="E1245" s="447" t="s">
        <v>26</v>
      </c>
      <c r="F1245" s="450"/>
      <c r="G1245" s="450">
        <f>(V1245-(V1245*$Y$15))*$S$16</f>
        <v>38.614871943312295</v>
      </c>
      <c r="H1245" s="450">
        <f>ROUND(G1245*(1+$X$14),2)</f>
        <v>48.97</v>
      </c>
      <c r="I1245" s="451"/>
      <c r="J1245" s="452"/>
      <c r="K1245" s="452"/>
      <c r="L1245" s="452"/>
      <c r="M1245" s="452"/>
      <c r="N1245" s="452"/>
      <c r="O1245" s="452"/>
      <c r="P1245" s="493">
        <f>W1247+W1249+W1248</f>
        <v>204.0016</v>
      </c>
      <c r="Q1245" s="452">
        <f>ROUND(P1245*H1245,2)</f>
        <v>9989.9599999999991</v>
      </c>
      <c r="R1245" s="452"/>
      <c r="S1245" s="452"/>
      <c r="T1245" s="452">
        <f t="shared" si="414"/>
        <v>204.0016</v>
      </c>
      <c r="U1245" s="452">
        <f>O1245+Q1245-S1245</f>
        <v>9989.9599999999991</v>
      </c>
      <c r="V1245" s="453">
        <v>40.78</v>
      </c>
      <c r="W1245" s="453">
        <f>44+35.5*0.4</f>
        <v>58.2</v>
      </c>
      <c r="X1245" s="42"/>
      <c r="Y1245" s="336"/>
      <c r="Z1245" s="336"/>
      <c r="AA1245" s="42"/>
      <c r="BH1245" s="453" t="s">
        <v>3809</v>
      </c>
    </row>
    <row r="1246" spans="1:60" ht="24.75" customHeight="1">
      <c r="A1246" s="19"/>
      <c r="B1246" s="21"/>
      <c r="C1246" s="19"/>
      <c r="D1246" s="21"/>
      <c r="E1246" s="21"/>
      <c r="F1246" s="22"/>
      <c r="G1246" s="22"/>
      <c r="H1246" s="22"/>
      <c r="I1246" s="147"/>
      <c r="J1246" s="148"/>
      <c r="K1246" s="148"/>
      <c r="L1246" s="148"/>
      <c r="M1246" s="148"/>
      <c r="N1246" s="148"/>
      <c r="O1246" s="148"/>
      <c r="P1246" s="494"/>
      <c r="Q1246" s="148"/>
      <c r="R1246" s="148"/>
      <c r="S1246" s="148"/>
      <c r="T1246" s="148"/>
      <c r="U1246" s="148"/>
      <c r="V1246" s="379"/>
      <c r="W1246" s="379">
        <f>(25.5+18.4)+(20.5+18.2)*0.4</f>
        <v>59.38</v>
      </c>
      <c r="Z1246" s="334">
        <f t="shared" si="413"/>
        <v>0</v>
      </c>
      <c r="BH1246" s="379" t="s">
        <v>3810</v>
      </c>
    </row>
    <row r="1247" spans="1:60" s="38" customFormat="1" ht="15" customHeight="1">
      <c r="A1247" s="229" t="s">
        <v>1478</v>
      </c>
      <c r="B1247" s="229"/>
      <c r="C1247" s="229" t="s">
        <v>348</v>
      </c>
      <c r="D1247" s="230"/>
      <c r="E1247" s="230"/>
      <c r="F1247" s="230"/>
      <c r="G1247" s="22"/>
      <c r="H1247" s="230"/>
      <c r="I1247" s="445">
        <f>ROUND(SUM(I1248:I1249),2)</f>
        <v>58720.17</v>
      </c>
      <c r="J1247" s="440"/>
      <c r="K1247" s="440"/>
      <c r="L1247" s="440"/>
      <c r="M1247" s="440"/>
      <c r="N1247" s="440"/>
      <c r="O1247" s="440">
        <f>ROUND(SUM(O1248:O1249),2)</f>
        <v>68573.94</v>
      </c>
      <c r="P1247" s="492"/>
      <c r="Q1247" s="440">
        <f>ROUND(SUM(Q1248:Q1249),2)</f>
        <v>0</v>
      </c>
      <c r="R1247" s="440"/>
      <c r="S1247" s="440">
        <f>ROUND(SUM(S1248:S1249),2)</f>
        <v>0</v>
      </c>
      <c r="T1247" s="148"/>
      <c r="U1247" s="440">
        <f>O1247+Q1247-S1247</f>
        <v>68573.94</v>
      </c>
      <c r="V1247" s="379"/>
      <c r="W1247" s="379">
        <f>(6.08*3.02)+18.2*2.2</f>
        <v>58.401600000000002</v>
      </c>
      <c r="Y1247" s="351"/>
      <c r="Z1247" s="334">
        <f t="shared" si="413"/>
        <v>0</v>
      </c>
      <c r="BH1247" s="379" t="s">
        <v>3811</v>
      </c>
    </row>
    <row r="1248" spans="1:60">
      <c r="A1248" s="19" t="s">
        <v>1479</v>
      </c>
      <c r="B1248" s="20">
        <v>4264</v>
      </c>
      <c r="C1248" s="19" t="s">
        <v>349</v>
      </c>
      <c r="D1248" s="21" t="s">
        <v>44</v>
      </c>
      <c r="E1248" s="21" t="s">
        <v>52</v>
      </c>
      <c r="F1248" s="22">
        <v>61.213500000000003</v>
      </c>
      <c r="G1248" s="22">
        <f t="shared" si="412"/>
        <v>75.335499999999996</v>
      </c>
      <c r="H1248" s="22">
        <f>ROUND(G1248*(1+$X$14),2)</f>
        <v>95.53</v>
      </c>
      <c r="I1248" s="147">
        <f>ROUND(H1248*F1248,2)</f>
        <v>5847.73</v>
      </c>
      <c r="J1248" s="148"/>
      <c r="K1248" s="148"/>
      <c r="L1248" s="148"/>
      <c r="M1248" s="148">
        <v>83.92</v>
      </c>
      <c r="N1248" s="148">
        <v>106.42</v>
      </c>
      <c r="O1248" s="148">
        <v>6514.34</v>
      </c>
      <c r="P1248" s="494"/>
      <c r="Q1248" s="148">
        <f>ROUND(P1248*N1248,2)</f>
        <v>0</v>
      </c>
      <c r="R1248" s="148"/>
      <c r="S1248" s="148">
        <f>ROUND(R1248*N1248,2)</f>
        <v>0</v>
      </c>
      <c r="T1248" s="148">
        <f t="shared" si="414"/>
        <v>61.213500000000003</v>
      </c>
      <c r="U1248" s="148">
        <f>O1248+Q1248-S1248</f>
        <v>6514.34</v>
      </c>
      <c r="V1248" s="379"/>
      <c r="W1248" s="379">
        <f>4*8+(4+8)*2*3.4</f>
        <v>113.6</v>
      </c>
      <c r="X1248" s="27">
        <f>'COMPOSIÇÃO DE CUSTOS'!G2113</f>
        <v>75.33</v>
      </c>
      <c r="Y1248" s="340">
        <v>88.63</v>
      </c>
      <c r="Z1248" s="334">
        <f t="shared" si="413"/>
        <v>4611.5496292500002</v>
      </c>
      <c r="AA1248" s="27"/>
      <c r="BH1248" s="379" t="s">
        <v>3816</v>
      </c>
    </row>
    <row r="1249" spans="1:60" ht="60">
      <c r="A1249" s="19" t="s">
        <v>1480</v>
      </c>
      <c r="B1249" s="20">
        <v>7967</v>
      </c>
      <c r="C1249" s="19" t="s">
        <v>350</v>
      </c>
      <c r="D1249" s="21" t="s">
        <v>44</v>
      </c>
      <c r="E1249" s="21" t="s">
        <v>52</v>
      </c>
      <c r="F1249" s="22">
        <v>67.040000000000006</v>
      </c>
      <c r="G1249" s="22">
        <f t="shared" si="412"/>
        <v>621.928</v>
      </c>
      <c r="H1249" s="22">
        <f>ROUND(G1249*(1+$X$14),2)</f>
        <v>788.67</v>
      </c>
      <c r="I1249" s="147">
        <f>ROUND(H1249*F1249,2)</f>
        <v>52872.44</v>
      </c>
      <c r="J1249" s="148"/>
      <c r="K1249" s="148"/>
      <c r="L1249" s="148"/>
      <c r="M1249" s="148">
        <v>730</v>
      </c>
      <c r="N1249" s="148">
        <v>925.71</v>
      </c>
      <c r="O1249" s="148">
        <v>62059.6</v>
      </c>
      <c r="P1249" s="494"/>
      <c r="Q1249" s="148">
        <f>ROUND(P1249*N1249,2)</f>
        <v>0</v>
      </c>
      <c r="R1249" s="148"/>
      <c r="S1249" s="148">
        <f>ROUND(R1249*N1249,2)</f>
        <v>0</v>
      </c>
      <c r="T1249" s="148">
        <f t="shared" si="414"/>
        <v>67.040000000000006</v>
      </c>
      <c r="U1249" s="148">
        <f>O1249+Q1249-S1249</f>
        <v>62059.6</v>
      </c>
      <c r="V1249" s="379"/>
      <c r="W1249" s="379">
        <f>((2*2)+(2+2)*2*1.5)*2</f>
        <v>32</v>
      </c>
      <c r="X1249" s="27">
        <f>'COMPOSIÇÃO DE CUSTOS'!G2105</f>
        <v>621.92999999999995</v>
      </c>
      <c r="Y1249" s="340">
        <v>731.68</v>
      </c>
      <c r="Z1249" s="334">
        <f t="shared" si="413"/>
        <v>41694.053120000004</v>
      </c>
      <c r="AA1249" s="27"/>
      <c r="BH1249" s="379" t="s">
        <v>2366</v>
      </c>
    </row>
    <row r="1250" spans="1:60" ht="27.75" customHeight="1">
      <c r="A1250" s="19"/>
      <c r="B1250" s="21"/>
      <c r="C1250" s="19"/>
      <c r="D1250" s="21"/>
      <c r="E1250" s="21"/>
      <c r="F1250" s="22"/>
      <c r="G1250" s="22"/>
      <c r="H1250" s="22"/>
      <c r="I1250" s="147"/>
      <c r="J1250" s="148"/>
      <c r="K1250" s="148"/>
      <c r="L1250" s="148"/>
      <c r="M1250" s="148"/>
      <c r="N1250" s="148"/>
      <c r="O1250" s="148"/>
      <c r="P1250" s="494"/>
      <c r="Q1250" s="148"/>
      <c r="R1250" s="148"/>
      <c r="S1250" s="148"/>
      <c r="T1250" s="148"/>
      <c r="U1250" s="148"/>
      <c r="V1250" s="379"/>
      <c r="W1250" s="379">
        <f>25.43+20.52*0.4</f>
        <v>33.637999999999998</v>
      </c>
      <c r="Z1250" s="334">
        <f t="shared" si="413"/>
        <v>0</v>
      </c>
      <c r="BH1250" s="379" t="s">
        <v>3817</v>
      </c>
    </row>
    <row r="1251" spans="1:60" s="38" customFormat="1" ht="15" customHeight="1">
      <c r="A1251" s="229" t="s">
        <v>1481</v>
      </c>
      <c r="B1251" s="229"/>
      <c r="C1251" s="229" t="s">
        <v>351</v>
      </c>
      <c r="D1251" s="230"/>
      <c r="E1251" s="230"/>
      <c r="F1251" s="230"/>
      <c r="G1251" s="22"/>
      <c r="H1251" s="230"/>
      <c r="I1251" s="445">
        <f>ROUND(SUM(I1253:I1268),2)</f>
        <v>44232.19</v>
      </c>
      <c r="J1251" s="440"/>
      <c r="K1251" s="440"/>
      <c r="L1251" s="440"/>
      <c r="M1251" s="440"/>
      <c r="N1251" s="440"/>
      <c r="O1251" s="440">
        <f>ROUND(SUM(O1253:O1271),2)</f>
        <v>49276.32</v>
      </c>
      <c r="P1251" s="492"/>
      <c r="Q1251" s="440">
        <f>ROUND(SUM(Q1253:Q1271),2)</f>
        <v>51186.34</v>
      </c>
      <c r="R1251" s="440"/>
      <c r="S1251" s="440">
        <f>ROUND(SUM(S1253:S1268),2)</f>
        <v>0</v>
      </c>
      <c r="T1251" s="148"/>
      <c r="U1251" s="440">
        <f>O1251+Q1251-S1251</f>
        <v>100462.66</v>
      </c>
      <c r="V1251" s="330"/>
      <c r="W1251" s="330"/>
      <c r="Y1251" s="351"/>
      <c r="Z1251" s="334">
        <f t="shared" si="413"/>
        <v>0</v>
      </c>
    </row>
    <row r="1252" spans="1:60" s="23" customFormat="1" ht="15" customHeight="1">
      <c r="A1252" s="229" t="s">
        <v>1482</v>
      </c>
      <c r="B1252" s="229"/>
      <c r="C1252" s="229" t="s">
        <v>352</v>
      </c>
      <c r="D1252" s="230"/>
      <c r="E1252" s="230"/>
      <c r="F1252" s="230"/>
      <c r="G1252" s="22"/>
      <c r="H1252" s="230"/>
      <c r="I1252" s="445"/>
      <c r="J1252" s="440"/>
      <c r="K1252" s="440"/>
      <c r="L1252" s="440"/>
      <c r="M1252" s="440"/>
      <c r="N1252" s="440"/>
      <c r="O1252" s="440"/>
      <c r="P1252" s="492"/>
      <c r="Q1252" s="440"/>
      <c r="R1252" s="440"/>
      <c r="S1252" s="440"/>
      <c r="T1252" s="148"/>
      <c r="U1252" s="148"/>
      <c r="V1252" s="330"/>
      <c r="W1252" s="330"/>
      <c r="Y1252" s="347"/>
      <c r="Z1252" s="334">
        <f t="shared" si="413"/>
        <v>0</v>
      </c>
    </row>
    <row r="1253" spans="1:60" s="23" customFormat="1">
      <c r="A1253" s="19" t="s">
        <v>1483</v>
      </c>
      <c r="B1253" s="20">
        <v>98504</v>
      </c>
      <c r="C1253" s="19" t="s">
        <v>2661</v>
      </c>
      <c r="D1253" s="21" t="s">
        <v>12</v>
      </c>
      <c r="E1253" s="21" t="s">
        <v>26</v>
      </c>
      <c r="F1253" s="22">
        <v>249.08</v>
      </c>
      <c r="G1253" s="22">
        <f t="shared" si="412"/>
        <v>10.302</v>
      </c>
      <c r="H1253" s="22">
        <f>ROUND(G1253*(1+$X$14),2)</f>
        <v>13.06</v>
      </c>
      <c r="I1253" s="147">
        <f>ROUND(H1253*F1253,2)</f>
        <v>3252.98</v>
      </c>
      <c r="J1253" s="148"/>
      <c r="K1253" s="148"/>
      <c r="L1253" s="148"/>
      <c r="M1253" s="148">
        <v>11.48</v>
      </c>
      <c r="N1253" s="148">
        <v>14.56</v>
      </c>
      <c r="O1253" s="148">
        <v>3626.6</v>
      </c>
      <c r="P1253" s="494"/>
      <c r="Q1253" s="148">
        <f>ROUND(P1253*N1253,2)</f>
        <v>0</v>
      </c>
      <c r="R1253" s="148"/>
      <c r="S1253" s="148">
        <f>ROUND(R1253*N1253,2)</f>
        <v>0</v>
      </c>
      <c r="T1253" s="148">
        <f>F1253+P1253-R1253</f>
        <v>249.08</v>
      </c>
      <c r="U1253" s="148">
        <f t="shared" ref="U1253:U1271" si="415">O1253+Q1253-S1253</f>
        <v>3626.6</v>
      </c>
      <c r="V1253" s="379"/>
      <c r="W1253" s="379"/>
      <c r="X1253" s="23" t="e">
        <f>IF(B1253&lt;&gt;0,VLOOKUP(B1253,#REF!,4,FALSE),"")</f>
        <v>#REF!</v>
      </c>
      <c r="Y1253" s="347" t="s">
        <v>1869</v>
      </c>
      <c r="Z1253" s="334">
        <f t="shared" si="413"/>
        <v>2566.02216</v>
      </c>
      <c r="AB1253" s="23" t="e">
        <f>IF(B1253&lt;&gt;0,VLOOKUP(B1253,#REF!,2,FALSE),"")</f>
        <v>#REF!</v>
      </c>
    </row>
    <row r="1254" spans="1:60" s="23" customFormat="1" ht="15" customHeight="1">
      <c r="A1254" s="229" t="s">
        <v>1484</v>
      </c>
      <c r="B1254" s="229"/>
      <c r="C1254" s="229" t="s">
        <v>178</v>
      </c>
      <c r="D1254" s="230"/>
      <c r="E1254" s="230"/>
      <c r="F1254" s="230"/>
      <c r="G1254" s="22"/>
      <c r="H1254" s="230"/>
      <c r="I1254" s="445"/>
      <c r="J1254" s="440"/>
      <c r="K1254" s="440"/>
      <c r="L1254" s="440"/>
      <c r="M1254" s="440"/>
      <c r="N1254" s="440"/>
      <c r="O1254" s="440"/>
      <c r="P1254" s="492"/>
      <c r="Q1254" s="440"/>
      <c r="R1254" s="440"/>
      <c r="S1254" s="440"/>
      <c r="T1254" s="148"/>
      <c r="U1254" s="148"/>
      <c r="V1254" s="330"/>
      <c r="W1254" s="330"/>
      <c r="Y1254" s="347"/>
      <c r="Z1254" s="334">
        <f t="shared" si="413"/>
        <v>0</v>
      </c>
    </row>
    <row r="1255" spans="1:60" s="23" customFormat="1" ht="30">
      <c r="A1255" s="19" t="s">
        <v>1485</v>
      </c>
      <c r="B1255" s="21" t="s">
        <v>2010</v>
      </c>
      <c r="C1255" s="19" t="s">
        <v>353</v>
      </c>
      <c r="D1255" s="21" t="s">
        <v>1914</v>
      </c>
      <c r="E1255" s="21" t="s">
        <v>52</v>
      </c>
      <c r="F1255" s="22">
        <v>2.6865000000000001</v>
      </c>
      <c r="G1255" s="22">
        <f t="shared" si="412"/>
        <v>306.05950000000001</v>
      </c>
      <c r="H1255" s="22">
        <f>ROUND(G1255*(1+$X$14),2)</f>
        <v>388.11</v>
      </c>
      <c r="I1255" s="147">
        <f>ROUND(H1255*F1255,2)</f>
        <v>1042.6600000000001</v>
      </c>
      <c r="J1255" s="148"/>
      <c r="K1255" s="148"/>
      <c r="L1255" s="148"/>
      <c r="M1255" s="148">
        <v>340.95</v>
      </c>
      <c r="N1255" s="148">
        <v>432.36</v>
      </c>
      <c r="O1255" s="148">
        <v>1161.54</v>
      </c>
      <c r="P1255" s="494"/>
      <c r="Q1255" s="148">
        <f>ROUND(P1255*N1255,2)</f>
        <v>0</v>
      </c>
      <c r="R1255" s="148"/>
      <c r="S1255" s="148">
        <f>ROUND(R1255*N1255,2)</f>
        <v>0</v>
      </c>
      <c r="T1255" s="148">
        <f>F1255+P1255-R1255</f>
        <v>2.6865000000000001</v>
      </c>
      <c r="U1255" s="148">
        <f t="shared" si="415"/>
        <v>1161.54</v>
      </c>
      <c r="V1255" s="379"/>
      <c r="W1255" s="379"/>
      <c r="X1255" s="28">
        <f>'COMPOSIÇÃO DE CUSTOS'!G2136</f>
        <v>306.06</v>
      </c>
      <c r="Y1255" s="347">
        <v>360.07</v>
      </c>
      <c r="Z1255" s="334">
        <f t="shared" si="413"/>
        <v>822.22884675000012</v>
      </c>
      <c r="AA1255" s="28"/>
    </row>
    <row r="1256" spans="1:60">
      <c r="A1256" s="19" t="s">
        <v>1486</v>
      </c>
      <c r="B1256" s="20">
        <v>9599</v>
      </c>
      <c r="C1256" s="19" t="s">
        <v>354</v>
      </c>
      <c r="D1256" s="21" t="s">
        <v>1914</v>
      </c>
      <c r="E1256" s="21" t="s">
        <v>52</v>
      </c>
      <c r="F1256" s="22">
        <v>4.0229999999999997</v>
      </c>
      <c r="G1256" s="22">
        <f t="shared" si="412"/>
        <v>595.42499999999995</v>
      </c>
      <c r="H1256" s="22">
        <f>ROUND(G1256*(1+$X$14),2)</f>
        <v>755.06</v>
      </c>
      <c r="I1256" s="147">
        <f>ROUND(H1256*F1256,2)</f>
        <v>3037.61</v>
      </c>
      <c r="J1256" s="148"/>
      <c r="K1256" s="148"/>
      <c r="L1256" s="148"/>
      <c r="M1256" s="148">
        <v>663.31</v>
      </c>
      <c r="N1256" s="148">
        <v>841.14</v>
      </c>
      <c r="O1256" s="148">
        <v>3383.91</v>
      </c>
      <c r="P1256" s="494"/>
      <c r="Q1256" s="148">
        <f>ROUND(P1256*N1256,2)</f>
        <v>0</v>
      </c>
      <c r="R1256" s="148"/>
      <c r="S1256" s="148">
        <f>ROUND(R1256*N1256,2)</f>
        <v>0</v>
      </c>
      <c r="T1256" s="148">
        <f>F1256+P1256-R1256</f>
        <v>4.0229999999999997</v>
      </c>
      <c r="U1256" s="148">
        <f t="shared" si="415"/>
        <v>3383.91</v>
      </c>
      <c r="V1256" s="379"/>
      <c r="W1256" s="379"/>
      <c r="X1256" s="27">
        <f>'COMPOSIÇÃO DE CUSTOS'!G1735</f>
        <v>595.42999999999995</v>
      </c>
      <c r="Y1256" s="340">
        <v>700.5</v>
      </c>
      <c r="Z1256" s="334">
        <f t="shared" si="413"/>
        <v>2395.3947749999998</v>
      </c>
      <c r="AA1256" s="27"/>
    </row>
    <row r="1257" spans="1:60" s="23" customFormat="1" ht="30">
      <c r="A1257" s="19" t="s">
        <v>1487</v>
      </c>
      <c r="B1257" s="20">
        <v>111609</v>
      </c>
      <c r="C1257" s="19" t="s">
        <v>355</v>
      </c>
      <c r="D1257" s="21" t="s">
        <v>1914</v>
      </c>
      <c r="E1257" s="21" t="s">
        <v>52</v>
      </c>
      <c r="F1257" s="22">
        <v>4.1175000000000006</v>
      </c>
      <c r="G1257" s="22">
        <f t="shared" si="412"/>
        <v>1292.7820000000002</v>
      </c>
      <c r="H1257" s="22">
        <f>ROUND(G1257*(1+$X$14),2)</f>
        <v>1639.38</v>
      </c>
      <c r="I1257" s="147">
        <f>ROUND(H1257*F1257,2)</f>
        <v>6750.15</v>
      </c>
      <c r="J1257" s="148"/>
      <c r="K1257" s="148"/>
      <c r="L1257" s="148"/>
      <c r="M1257" s="148">
        <v>1440.17</v>
      </c>
      <c r="N1257" s="148">
        <v>1826.28</v>
      </c>
      <c r="O1257" s="148">
        <v>7519.71</v>
      </c>
      <c r="P1257" s="494"/>
      <c r="Q1257" s="148">
        <f>ROUND(P1257*N1257,2)</f>
        <v>0</v>
      </c>
      <c r="R1257" s="148"/>
      <c r="S1257" s="148">
        <f>ROUND(R1257*N1257,2)</f>
        <v>0</v>
      </c>
      <c r="T1257" s="148">
        <f>F1257+P1257-R1257</f>
        <v>4.1175000000000006</v>
      </c>
      <c r="U1257" s="148">
        <f t="shared" si="415"/>
        <v>7519.71</v>
      </c>
      <c r="V1257" s="379"/>
      <c r="W1257" s="379"/>
      <c r="X1257" s="28">
        <f>'COMPOSIÇÃO DE CUSTOS'!G1744</f>
        <v>1292.78</v>
      </c>
      <c r="Y1257" s="347">
        <v>1520.92</v>
      </c>
      <c r="Z1257" s="334">
        <f t="shared" si="413"/>
        <v>5323.0298850000017</v>
      </c>
      <c r="AA1257" s="28"/>
    </row>
    <row r="1258" spans="1:60" s="23" customFormat="1" ht="15" customHeight="1">
      <c r="A1258" s="229" t="s">
        <v>1488</v>
      </c>
      <c r="B1258" s="229"/>
      <c r="C1258" s="229" t="s">
        <v>356</v>
      </c>
      <c r="D1258" s="230"/>
      <c r="E1258" s="230"/>
      <c r="F1258" s="230"/>
      <c r="G1258" s="22"/>
      <c r="H1258" s="230"/>
      <c r="I1258" s="445"/>
      <c r="J1258" s="440"/>
      <c r="K1258" s="440"/>
      <c r="L1258" s="440"/>
      <c r="M1258" s="440"/>
      <c r="N1258" s="440"/>
      <c r="O1258" s="440"/>
      <c r="P1258" s="492"/>
      <c r="Q1258" s="440"/>
      <c r="R1258" s="440"/>
      <c r="S1258" s="440"/>
      <c r="T1258" s="148"/>
      <c r="U1258" s="148"/>
      <c r="V1258" s="330"/>
      <c r="W1258" s="330"/>
      <c r="Y1258" s="347"/>
      <c r="Z1258" s="334">
        <f t="shared" si="413"/>
        <v>0</v>
      </c>
    </row>
    <row r="1259" spans="1:60" ht="60">
      <c r="A1259" s="19" t="s">
        <v>1489</v>
      </c>
      <c r="B1259" s="20">
        <v>102509</v>
      </c>
      <c r="C1259" s="19" t="s">
        <v>357</v>
      </c>
      <c r="D1259" s="21" t="s">
        <v>12</v>
      </c>
      <c r="E1259" s="21" t="s">
        <v>26</v>
      </c>
      <c r="F1259" s="22">
        <v>0.45900000000000002</v>
      </c>
      <c r="G1259" s="22">
        <f t="shared" si="412"/>
        <v>15.639999999999999</v>
      </c>
      <c r="H1259" s="22">
        <f t="shared" ref="H1259:H1268" si="416">ROUND(G1259*(1+$X$14),2)</f>
        <v>19.829999999999998</v>
      </c>
      <c r="I1259" s="147">
        <f t="shared" ref="I1259:I1268" si="417">ROUND(H1259*F1259,2)</f>
        <v>9.1</v>
      </c>
      <c r="J1259" s="148"/>
      <c r="K1259" s="148"/>
      <c r="L1259" s="148"/>
      <c r="M1259" s="148">
        <v>17.420000000000002</v>
      </c>
      <c r="N1259" s="148">
        <v>22.09</v>
      </c>
      <c r="O1259" s="148">
        <v>10.14</v>
      </c>
      <c r="P1259" s="494"/>
      <c r="Q1259" s="148">
        <f t="shared" ref="Q1259:Q1268" si="418">ROUND(P1259*N1259,2)</f>
        <v>0</v>
      </c>
      <c r="R1259" s="148"/>
      <c r="S1259" s="148">
        <f t="shared" ref="S1259:S1268" si="419">ROUND(R1259*N1259,2)</f>
        <v>0</v>
      </c>
      <c r="T1259" s="148">
        <f t="shared" ref="T1259:T1268" si="420">F1259+P1259-R1259</f>
        <v>0.45900000000000002</v>
      </c>
      <c r="U1259" s="148">
        <f t="shared" si="415"/>
        <v>10.14</v>
      </c>
      <c r="V1259" s="379"/>
      <c r="W1259" s="379"/>
      <c r="X1259" s="2" t="e">
        <f>IF(B1259&lt;&gt;0,VLOOKUP(B1259,#REF!,4,FALSE),"")</f>
        <v>#REF!</v>
      </c>
      <c r="Y1259" s="340" t="s">
        <v>3309</v>
      </c>
      <c r="Z1259" s="334">
        <f t="shared" si="413"/>
        <v>7.1787599999999996</v>
      </c>
      <c r="AB1259" s="2" t="e">
        <f>IF(B1259&lt;&gt;0,VLOOKUP(B1259,#REF!,2,FALSE),"")</f>
        <v>#REF!</v>
      </c>
    </row>
    <row r="1260" spans="1:60" ht="60">
      <c r="A1260" s="19" t="s">
        <v>1490</v>
      </c>
      <c r="B1260" s="20">
        <v>102509</v>
      </c>
      <c r="C1260" s="19" t="s">
        <v>358</v>
      </c>
      <c r="D1260" s="21" t="s">
        <v>12</v>
      </c>
      <c r="E1260" s="21" t="s">
        <v>26</v>
      </c>
      <c r="F1260" s="22">
        <v>5.5979999999999999</v>
      </c>
      <c r="G1260" s="22">
        <f t="shared" si="412"/>
        <v>15.639999999999999</v>
      </c>
      <c r="H1260" s="22">
        <f t="shared" si="416"/>
        <v>19.829999999999998</v>
      </c>
      <c r="I1260" s="147">
        <f t="shared" si="417"/>
        <v>111.01</v>
      </c>
      <c r="J1260" s="148"/>
      <c r="K1260" s="148"/>
      <c r="L1260" s="148"/>
      <c r="M1260" s="148">
        <v>17.420000000000002</v>
      </c>
      <c r="N1260" s="148">
        <v>22.09</v>
      </c>
      <c r="O1260" s="148">
        <v>123.66</v>
      </c>
      <c r="P1260" s="494"/>
      <c r="Q1260" s="148">
        <f t="shared" si="418"/>
        <v>0</v>
      </c>
      <c r="R1260" s="148"/>
      <c r="S1260" s="148">
        <f t="shared" si="419"/>
        <v>0</v>
      </c>
      <c r="T1260" s="148">
        <f t="shared" si="420"/>
        <v>5.5979999999999999</v>
      </c>
      <c r="U1260" s="148">
        <f t="shared" si="415"/>
        <v>123.66</v>
      </c>
      <c r="V1260" s="379"/>
      <c r="W1260" s="379"/>
      <c r="X1260" s="2" t="e">
        <f>IF(B1260&lt;&gt;0,VLOOKUP(B1260,#REF!,4,FALSE),"")</f>
        <v>#REF!</v>
      </c>
      <c r="Y1260" s="340" t="s">
        <v>3309</v>
      </c>
      <c r="Z1260" s="334">
        <f t="shared" si="413"/>
        <v>87.552719999999994</v>
      </c>
      <c r="AB1260" s="2" t="e">
        <f>IF(B1260&lt;&gt;0,VLOOKUP(B1260,#REF!,2,FALSE),"")</f>
        <v>#REF!</v>
      </c>
    </row>
    <row r="1261" spans="1:60" ht="60">
      <c r="A1261" s="19" t="s">
        <v>1491</v>
      </c>
      <c r="B1261" s="20">
        <v>102509</v>
      </c>
      <c r="C1261" s="19" t="s">
        <v>359</v>
      </c>
      <c r="D1261" s="21" t="s">
        <v>12</v>
      </c>
      <c r="E1261" s="21" t="s">
        <v>26</v>
      </c>
      <c r="F1261" s="22">
        <v>17.163</v>
      </c>
      <c r="G1261" s="22">
        <f t="shared" si="412"/>
        <v>15.639999999999999</v>
      </c>
      <c r="H1261" s="22">
        <f t="shared" si="416"/>
        <v>19.829999999999998</v>
      </c>
      <c r="I1261" s="147">
        <f t="shared" si="417"/>
        <v>340.34</v>
      </c>
      <c r="J1261" s="148"/>
      <c r="K1261" s="148"/>
      <c r="L1261" s="148"/>
      <c r="M1261" s="148">
        <v>17.420000000000002</v>
      </c>
      <c r="N1261" s="148">
        <v>22.09</v>
      </c>
      <c r="O1261" s="148">
        <v>379.13</v>
      </c>
      <c r="P1261" s="494"/>
      <c r="Q1261" s="148">
        <f t="shared" si="418"/>
        <v>0</v>
      </c>
      <c r="R1261" s="148"/>
      <c r="S1261" s="148">
        <f t="shared" si="419"/>
        <v>0</v>
      </c>
      <c r="T1261" s="148">
        <f t="shared" si="420"/>
        <v>17.163</v>
      </c>
      <c r="U1261" s="148">
        <f t="shared" si="415"/>
        <v>379.13</v>
      </c>
      <c r="V1261" s="379"/>
      <c r="W1261" s="379"/>
      <c r="X1261" s="2" t="e">
        <f>IF(B1261&lt;&gt;0,VLOOKUP(B1261,#REF!,4,FALSE),"")</f>
        <v>#REF!</v>
      </c>
      <c r="Y1261" s="340" t="s">
        <v>3309</v>
      </c>
      <c r="Z1261" s="334">
        <f t="shared" si="413"/>
        <v>268.42931999999996</v>
      </c>
      <c r="AB1261" s="2" t="e">
        <f>IF(B1261&lt;&gt;0,VLOOKUP(B1261,#REF!,2,FALSE),"")</f>
        <v>#REF!</v>
      </c>
    </row>
    <row r="1262" spans="1:60" ht="30">
      <c r="A1262" s="19" t="s">
        <v>2655</v>
      </c>
      <c r="B1262" s="20">
        <v>3167</v>
      </c>
      <c r="C1262" s="19" t="s">
        <v>2652</v>
      </c>
      <c r="D1262" s="21" t="s">
        <v>44</v>
      </c>
      <c r="E1262" s="21" t="s">
        <v>17</v>
      </c>
      <c r="F1262" s="22">
        <v>1</v>
      </c>
      <c r="G1262" s="22">
        <f t="shared" si="412"/>
        <v>1361.3344999999999</v>
      </c>
      <c r="H1262" s="22">
        <f t="shared" si="416"/>
        <v>1726.31</v>
      </c>
      <c r="I1262" s="147">
        <f>ROUND(H1262*F1262,2)</f>
        <v>1726.31</v>
      </c>
      <c r="J1262" s="148"/>
      <c r="K1262" s="148"/>
      <c r="L1262" s="148"/>
      <c r="M1262" s="148">
        <v>1516.54</v>
      </c>
      <c r="N1262" s="148">
        <v>1923.12</v>
      </c>
      <c r="O1262" s="148">
        <v>1923.12</v>
      </c>
      <c r="P1262" s="494"/>
      <c r="Q1262" s="148">
        <f t="shared" si="418"/>
        <v>0</v>
      </c>
      <c r="R1262" s="148"/>
      <c r="S1262" s="148">
        <f t="shared" si="419"/>
        <v>0</v>
      </c>
      <c r="T1262" s="148">
        <f t="shared" si="420"/>
        <v>1</v>
      </c>
      <c r="U1262" s="148">
        <f t="shared" si="415"/>
        <v>1923.12</v>
      </c>
      <c r="V1262" s="379"/>
      <c r="W1262" s="379"/>
      <c r="X1262" s="27">
        <f>'COMPOSIÇÃO DE CUSTOS'!G2323</f>
        <v>1361.33</v>
      </c>
      <c r="Y1262" s="340">
        <v>1601.57</v>
      </c>
      <c r="Z1262" s="334">
        <f t="shared" si="413"/>
        <v>1361.3344999999999</v>
      </c>
      <c r="AA1262" s="27"/>
    </row>
    <row r="1263" spans="1:60" ht="60">
      <c r="A1263" s="19" t="s">
        <v>2656</v>
      </c>
      <c r="B1263" s="20">
        <v>13294</v>
      </c>
      <c r="C1263" s="19" t="s">
        <v>2679</v>
      </c>
      <c r="D1263" s="21" t="s">
        <v>44</v>
      </c>
      <c r="E1263" s="21" t="s">
        <v>17</v>
      </c>
      <c r="F1263" s="22">
        <v>74</v>
      </c>
      <c r="G1263" s="22">
        <f t="shared" si="412"/>
        <v>71.697499999999991</v>
      </c>
      <c r="H1263" s="22">
        <f t="shared" si="416"/>
        <v>90.92</v>
      </c>
      <c r="I1263" s="147">
        <f>ROUND(H1263*F1263,2)</f>
        <v>6728.08</v>
      </c>
      <c r="J1263" s="148"/>
      <c r="K1263" s="148"/>
      <c r="L1263" s="148"/>
      <c r="M1263" s="148">
        <v>79.87</v>
      </c>
      <c r="N1263" s="148">
        <v>101.28</v>
      </c>
      <c r="O1263" s="148">
        <v>7494.72</v>
      </c>
      <c r="P1263" s="494"/>
      <c r="Q1263" s="148">
        <f t="shared" si="418"/>
        <v>0</v>
      </c>
      <c r="R1263" s="148"/>
      <c r="S1263" s="148">
        <f t="shared" si="419"/>
        <v>0</v>
      </c>
      <c r="T1263" s="148">
        <f t="shared" si="420"/>
        <v>74</v>
      </c>
      <c r="U1263" s="148">
        <f t="shared" si="415"/>
        <v>7494.72</v>
      </c>
      <c r="V1263" s="379"/>
      <c r="W1263" s="379"/>
      <c r="X1263" s="27">
        <f>'COMPOSIÇÃO DE CUSTOS'!G2338</f>
        <v>71.7</v>
      </c>
      <c r="Y1263" s="340">
        <v>84.35</v>
      </c>
      <c r="Z1263" s="334">
        <f t="shared" si="413"/>
        <v>5305.6149999999998</v>
      </c>
      <c r="AA1263" s="27"/>
    </row>
    <row r="1264" spans="1:60" s="38" customFormat="1" ht="33.75" customHeight="1">
      <c r="A1264" s="19" t="s">
        <v>2657</v>
      </c>
      <c r="B1264" s="20">
        <v>12041</v>
      </c>
      <c r="C1264" s="19" t="s">
        <v>2542</v>
      </c>
      <c r="D1264" s="21" t="s">
        <v>44</v>
      </c>
      <c r="E1264" s="21" t="s">
        <v>17</v>
      </c>
      <c r="F1264" s="22">
        <v>21</v>
      </c>
      <c r="G1264" s="22">
        <f t="shared" si="412"/>
        <v>46.3675</v>
      </c>
      <c r="H1264" s="22">
        <f t="shared" si="416"/>
        <v>58.8</v>
      </c>
      <c r="I1264" s="147">
        <f t="shared" si="417"/>
        <v>1234.8</v>
      </c>
      <c r="J1264" s="148"/>
      <c r="K1264" s="148"/>
      <c r="L1264" s="148"/>
      <c r="M1264" s="148">
        <v>51.65</v>
      </c>
      <c r="N1264" s="148">
        <v>65.5</v>
      </c>
      <c r="O1264" s="148">
        <v>1375.5</v>
      </c>
      <c r="P1264" s="494"/>
      <c r="Q1264" s="148">
        <f t="shared" si="418"/>
        <v>0</v>
      </c>
      <c r="R1264" s="148"/>
      <c r="S1264" s="148">
        <f t="shared" si="419"/>
        <v>0</v>
      </c>
      <c r="T1264" s="148">
        <f t="shared" si="420"/>
        <v>21</v>
      </c>
      <c r="U1264" s="148">
        <f t="shared" si="415"/>
        <v>1375.5</v>
      </c>
      <c r="V1264" s="379"/>
      <c r="W1264" s="379"/>
      <c r="X1264" s="42">
        <f>'COMPOSIÇÃO DE CUSTOS'!G1751</f>
        <v>46.37</v>
      </c>
      <c r="Y1264" s="336">
        <v>54.55</v>
      </c>
      <c r="Z1264" s="334">
        <f t="shared" si="413"/>
        <v>973.71749999999997</v>
      </c>
      <c r="AA1264" s="42"/>
    </row>
    <row r="1265" spans="1:28" ht="30">
      <c r="A1265" s="19" t="s">
        <v>2658</v>
      </c>
      <c r="B1265" s="20">
        <v>12042</v>
      </c>
      <c r="C1265" s="19" t="s">
        <v>2023</v>
      </c>
      <c r="D1265" s="21" t="s">
        <v>44</v>
      </c>
      <c r="E1265" s="21" t="s">
        <v>17</v>
      </c>
      <c r="F1265" s="22">
        <v>144</v>
      </c>
      <c r="G1265" s="22">
        <f t="shared" si="412"/>
        <v>67.677000000000007</v>
      </c>
      <c r="H1265" s="22">
        <f t="shared" si="416"/>
        <v>85.82</v>
      </c>
      <c r="I1265" s="147">
        <f t="shared" si="417"/>
        <v>12358.08</v>
      </c>
      <c r="J1265" s="148"/>
      <c r="K1265" s="148"/>
      <c r="L1265" s="148"/>
      <c r="M1265" s="148">
        <v>75.39</v>
      </c>
      <c r="N1265" s="148">
        <v>95.6</v>
      </c>
      <c r="O1265" s="148">
        <v>13766.4</v>
      </c>
      <c r="P1265" s="494"/>
      <c r="Q1265" s="148">
        <f t="shared" si="418"/>
        <v>0</v>
      </c>
      <c r="R1265" s="148"/>
      <c r="S1265" s="148">
        <f t="shared" si="419"/>
        <v>0</v>
      </c>
      <c r="T1265" s="148">
        <f t="shared" si="420"/>
        <v>144</v>
      </c>
      <c r="U1265" s="148">
        <f t="shared" si="415"/>
        <v>13766.4</v>
      </c>
      <c r="V1265" s="379"/>
      <c r="W1265" s="379"/>
      <c r="X1265" s="33">
        <f>'COMPOSIÇÃO DE CUSTOS'!G2213</f>
        <v>67.67</v>
      </c>
      <c r="Y1265" s="337">
        <v>79.62</v>
      </c>
      <c r="Z1265" s="334">
        <f t="shared" si="413"/>
        <v>9745.4880000000012</v>
      </c>
      <c r="AA1265" s="33"/>
    </row>
    <row r="1266" spans="1:28" ht="30">
      <c r="A1266" s="19" t="s">
        <v>2659</v>
      </c>
      <c r="B1266" s="20">
        <v>12043</v>
      </c>
      <c r="C1266" s="19" t="s">
        <v>2025</v>
      </c>
      <c r="D1266" s="21" t="s">
        <v>44</v>
      </c>
      <c r="E1266" s="21" t="s">
        <v>17</v>
      </c>
      <c r="F1266" s="22">
        <v>28</v>
      </c>
      <c r="G1266" s="22">
        <f t="shared" si="412"/>
        <v>58.063500000000005</v>
      </c>
      <c r="H1266" s="22">
        <f t="shared" si="416"/>
        <v>73.63</v>
      </c>
      <c r="I1266" s="147">
        <f t="shared" si="417"/>
        <v>2061.64</v>
      </c>
      <c r="J1266" s="148"/>
      <c r="K1266" s="148"/>
      <c r="L1266" s="148"/>
      <c r="M1266" s="148">
        <v>64.680000000000007</v>
      </c>
      <c r="N1266" s="148">
        <v>82.02</v>
      </c>
      <c r="O1266" s="148">
        <v>2296.56</v>
      </c>
      <c r="P1266" s="494"/>
      <c r="Q1266" s="148">
        <f t="shared" si="418"/>
        <v>0</v>
      </c>
      <c r="R1266" s="148"/>
      <c r="S1266" s="148">
        <f t="shared" si="419"/>
        <v>0</v>
      </c>
      <c r="T1266" s="148">
        <f t="shared" si="420"/>
        <v>28</v>
      </c>
      <c r="U1266" s="148">
        <f t="shared" si="415"/>
        <v>2296.56</v>
      </c>
      <c r="V1266" s="379"/>
      <c r="W1266" s="379"/>
      <c r="X1266" s="33">
        <f>'COMPOSIÇÃO DE CUSTOS'!G2219</f>
        <v>58.06</v>
      </c>
      <c r="Y1266" s="337">
        <v>68.31</v>
      </c>
      <c r="Z1266" s="334">
        <f t="shared" si="413"/>
        <v>1625.7780000000002</v>
      </c>
      <c r="AA1266" s="33"/>
    </row>
    <row r="1267" spans="1:28" s="38" customFormat="1" ht="30">
      <c r="A1267" s="19" t="s">
        <v>2660</v>
      </c>
      <c r="B1267" s="21" t="s">
        <v>2418</v>
      </c>
      <c r="C1267" s="19" t="s">
        <v>2543</v>
      </c>
      <c r="D1267" s="21" t="s">
        <v>1914</v>
      </c>
      <c r="E1267" s="21" t="s">
        <v>17</v>
      </c>
      <c r="F1267" s="22">
        <v>17</v>
      </c>
      <c r="G1267" s="22">
        <f t="shared" si="412"/>
        <v>86.716999999999999</v>
      </c>
      <c r="H1267" s="22">
        <f t="shared" si="416"/>
        <v>109.97</v>
      </c>
      <c r="I1267" s="147">
        <f t="shared" si="417"/>
        <v>1869.49</v>
      </c>
      <c r="J1267" s="148"/>
      <c r="K1267" s="148"/>
      <c r="L1267" s="148"/>
      <c r="M1267" s="148">
        <v>96.6</v>
      </c>
      <c r="N1267" s="148">
        <v>122.5</v>
      </c>
      <c r="O1267" s="148">
        <v>2082.5</v>
      </c>
      <c r="P1267" s="494"/>
      <c r="Q1267" s="148">
        <f t="shared" si="418"/>
        <v>0</v>
      </c>
      <c r="R1267" s="148"/>
      <c r="S1267" s="148">
        <f t="shared" si="419"/>
        <v>0</v>
      </c>
      <c r="T1267" s="148">
        <f t="shared" si="420"/>
        <v>17</v>
      </c>
      <c r="U1267" s="148">
        <f t="shared" si="415"/>
        <v>2082.5</v>
      </c>
      <c r="V1267" s="379"/>
      <c r="W1267" s="379"/>
      <c r="X1267" s="42">
        <f>'COMPOSIÇÃO DE CUSTOS'!G1757</f>
        <v>86.71</v>
      </c>
      <c r="Y1267" s="336">
        <v>102.02</v>
      </c>
      <c r="Z1267" s="334">
        <f t="shared" si="413"/>
        <v>1474.1890000000001</v>
      </c>
      <c r="AA1267" s="42"/>
    </row>
    <row r="1268" spans="1:28" s="38" customFormat="1" ht="30">
      <c r="A1268" s="19" t="s">
        <v>2678</v>
      </c>
      <c r="B1268" s="20">
        <v>12047</v>
      </c>
      <c r="C1268" s="19" t="s">
        <v>2544</v>
      </c>
      <c r="D1268" s="21" t="s">
        <v>44</v>
      </c>
      <c r="E1268" s="21" t="s">
        <v>17</v>
      </c>
      <c r="F1268" s="22">
        <v>13</v>
      </c>
      <c r="G1268" s="22">
        <f t="shared" si="412"/>
        <v>225.04599999999999</v>
      </c>
      <c r="H1268" s="22">
        <f t="shared" si="416"/>
        <v>285.38</v>
      </c>
      <c r="I1268" s="147">
        <f t="shared" si="417"/>
        <v>3709.94</v>
      </c>
      <c r="J1268" s="148"/>
      <c r="K1268" s="148"/>
      <c r="L1268" s="148"/>
      <c r="M1268" s="148">
        <v>250.7</v>
      </c>
      <c r="N1268" s="148">
        <v>317.91000000000003</v>
      </c>
      <c r="O1268" s="148">
        <v>4132.83</v>
      </c>
      <c r="P1268" s="494"/>
      <c r="Q1268" s="148">
        <f t="shared" si="418"/>
        <v>0</v>
      </c>
      <c r="R1268" s="148"/>
      <c r="S1268" s="148">
        <f t="shared" si="419"/>
        <v>0</v>
      </c>
      <c r="T1268" s="148">
        <f t="shared" si="420"/>
        <v>13</v>
      </c>
      <c r="U1268" s="148">
        <f t="shared" si="415"/>
        <v>4132.83</v>
      </c>
      <c r="V1268" s="379"/>
      <c r="W1268" s="379"/>
      <c r="X1268" s="42">
        <f>'COMPOSIÇÃO DE CUSTOS'!G1763</f>
        <v>225.05</v>
      </c>
      <c r="Y1268" s="336">
        <v>264.76</v>
      </c>
      <c r="Z1268" s="334">
        <f t="shared" si="413"/>
        <v>2925.598</v>
      </c>
      <c r="AA1268" s="42"/>
    </row>
    <row r="1269" spans="1:28" s="38" customFormat="1">
      <c r="A1269" s="455" t="s">
        <v>3781</v>
      </c>
      <c r="B1269" s="129"/>
      <c r="C1269" s="229" t="s">
        <v>155</v>
      </c>
      <c r="D1269" s="21"/>
      <c r="E1269" s="21"/>
      <c r="F1269" s="22"/>
      <c r="G1269" s="22"/>
      <c r="H1269" s="22"/>
      <c r="I1269" s="147"/>
      <c r="J1269" s="148"/>
      <c r="K1269" s="148"/>
      <c r="L1269" s="148"/>
      <c r="M1269" s="148"/>
      <c r="N1269" s="148"/>
      <c r="O1269" s="148"/>
      <c r="P1269" s="494"/>
      <c r="Q1269" s="148"/>
      <c r="R1269" s="148"/>
      <c r="S1269" s="148"/>
      <c r="T1269" s="148"/>
      <c r="U1269" s="148"/>
      <c r="V1269" s="379"/>
      <c r="W1269" s="379"/>
      <c r="X1269" s="42"/>
      <c r="Y1269" s="336"/>
      <c r="Z1269" s="334"/>
      <c r="AA1269" s="42"/>
    </row>
    <row r="1270" spans="1:28" s="23" customFormat="1" ht="30">
      <c r="A1270" s="454" t="s">
        <v>3782</v>
      </c>
      <c r="B1270" s="530">
        <v>102253</v>
      </c>
      <c r="C1270" s="456" t="s">
        <v>3784</v>
      </c>
      <c r="D1270" s="447" t="s">
        <v>12</v>
      </c>
      <c r="E1270" s="531" t="s">
        <v>26</v>
      </c>
      <c r="F1270" s="450"/>
      <c r="G1270" s="450">
        <f>(V1270-(V1270*$Y$15))*$S$16</f>
        <v>553.99747374090941</v>
      </c>
      <c r="H1270" s="450">
        <f>ROUND(G1270*(1+$X$14),2)</f>
        <v>702.52</v>
      </c>
      <c r="I1270" s="451"/>
      <c r="J1270" s="452"/>
      <c r="K1270" s="452"/>
      <c r="L1270" s="452"/>
      <c r="M1270" s="452"/>
      <c r="N1270" s="452"/>
      <c r="O1270" s="452"/>
      <c r="P1270" s="493">
        <f>2*1.2*18+0.11*2*30</f>
        <v>49.8</v>
      </c>
      <c r="Q1270" s="452">
        <f>ROUND(P1270*H1270,2)</f>
        <v>34985.5</v>
      </c>
      <c r="R1270" s="452"/>
      <c r="S1270" s="452"/>
      <c r="T1270" s="452">
        <f>F1270+P1270-R1270</f>
        <v>49.8</v>
      </c>
      <c r="U1270" s="452">
        <f t="shared" si="415"/>
        <v>34985.5</v>
      </c>
      <c r="V1270" s="529">
        <f>'PLANILHA ORÇA - EJUD'!W1003</f>
        <v>585.05999999999995</v>
      </c>
      <c r="W1270" s="529"/>
      <c r="X1270" s="31"/>
      <c r="Y1270" s="346"/>
      <c r="Z1270" s="346"/>
      <c r="AA1270" s="31"/>
    </row>
    <row r="1271" spans="1:28" s="23" customFormat="1" ht="30">
      <c r="A1271" s="566" t="s">
        <v>3785</v>
      </c>
      <c r="B1271" s="567">
        <v>101965</v>
      </c>
      <c r="C1271" s="568" t="s">
        <v>4018</v>
      </c>
      <c r="D1271" s="558" t="s">
        <v>12</v>
      </c>
      <c r="E1271" s="558" t="s">
        <v>52</v>
      </c>
      <c r="F1271" s="559"/>
      <c r="G1271" s="559">
        <f>(V1271-(V1271*$Y$15))*$S$16</f>
        <v>104.86996242574391</v>
      </c>
      <c r="H1271" s="559">
        <f>ROUND(G1271*(1+$X$14),2)</f>
        <v>132.99</v>
      </c>
      <c r="I1271" s="560"/>
      <c r="J1271" s="561"/>
      <c r="K1271" s="561"/>
      <c r="L1271" s="561"/>
      <c r="M1271" s="561"/>
      <c r="N1271" s="561"/>
      <c r="O1271" s="561"/>
      <c r="P1271" s="562">
        <f>60.91*2</f>
        <v>121.82</v>
      </c>
      <c r="Q1271" s="561">
        <f>ROUND(P1271*H1271,2)</f>
        <v>16200.84</v>
      </c>
      <c r="R1271" s="561"/>
      <c r="S1271" s="561"/>
      <c r="T1271" s="561">
        <f>F1271+P1271-R1271</f>
        <v>121.82</v>
      </c>
      <c r="U1271" s="561">
        <f t="shared" si="415"/>
        <v>16200.84</v>
      </c>
      <c r="V1271" s="529">
        <f>'PLANILHA ORÇA - EJUD'!W1004</f>
        <v>110.75</v>
      </c>
      <c r="W1271" s="529"/>
      <c r="X1271" s="31"/>
      <c r="Y1271" s="346"/>
      <c r="Z1271" s="346"/>
      <c r="AA1271" s="31"/>
    </row>
    <row r="1272" spans="1:28" ht="21.75" customHeight="1">
      <c r="A1272" s="19"/>
      <c r="B1272" s="21"/>
      <c r="C1272" s="19"/>
      <c r="D1272" s="21"/>
      <c r="E1272" s="21"/>
      <c r="F1272" s="22"/>
      <c r="G1272" s="22"/>
      <c r="H1272" s="22"/>
      <c r="I1272" s="147"/>
      <c r="J1272" s="148"/>
      <c r="K1272" s="148"/>
      <c r="L1272" s="148"/>
      <c r="M1272" s="148"/>
      <c r="N1272" s="148"/>
      <c r="O1272" s="148"/>
      <c r="P1272" s="494"/>
      <c r="Q1272" s="148"/>
      <c r="R1272" s="148"/>
      <c r="S1272" s="148"/>
      <c r="T1272" s="148"/>
      <c r="U1272" s="148"/>
      <c r="V1272" s="379"/>
      <c r="W1272" s="379"/>
      <c r="Z1272" s="334">
        <f t="shared" si="413"/>
        <v>0</v>
      </c>
    </row>
    <row r="1273" spans="1:28" s="38" customFormat="1" ht="15" customHeight="1">
      <c r="A1273" s="132" t="s">
        <v>1492</v>
      </c>
      <c r="B1273" s="132"/>
      <c r="C1273" s="132" t="s">
        <v>360</v>
      </c>
      <c r="D1273" s="216"/>
      <c r="E1273" s="216"/>
      <c r="F1273" s="216"/>
      <c r="G1273" s="22"/>
      <c r="H1273" s="216"/>
      <c r="I1273" s="475">
        <f>ROUND(SUM(I1274:I1275),2)</f>
        <v>8399.86</v>
      </c>
      <c r="J1273" s="440"/>
      <c r="K1273" s="440"/>
      <c r="L1273" s="440"/>
      <c r="M1273" s="440"/>
      <c r="N1273" s="440"/>
      <c r="O1273" s="440">
        <f>ROUND(SUM(O1274:O1275),2)</f>
        <v>9347.92</v>
      </c>
      <c r="P1273" s="492"/>
      <c r="Q1273" s="440">
        <f>ROUND(SUM(Q1274:Q1275),2)</f>
        <v>0</v>
      </c>
      <c r="R1273" s="440"/>
      <c r="S1273" s="440">
        <f>ROUND(SUM(S1274:S1275),2)</f>
        <v>0</v>
      </c>
      <c r="T1273" s="148"/>
      <c r="U1273" s="440">
        <f>O1273+Q1273-S1273</f>
        <v>9347.92</v>
      </c>
      <c r="V1273" s="330"/>
      <c r="W1273" s="330"/>
      <c r="Y1273" s="351"/>
      <c r="Z1273" s="334">
        <f t="shared" si="413"/>
        <v>0</v>
      </c>
    </row>
    <row r="1274" spans="1:28" s="23" customFormat="1" ht="30">
      <c r="A1274" s="139" t="s">
        <v>1493</v>
      </c>
      <c r="B1274" s="138">
        <v>10832</v>
      </c>
      <c r="C1274" s="139" t="s">
        <v>361</v>
      </c>
      <c r="D1274" s="131" t="s">
        <v>44</v>
      </c>
      <c r="E1274" s="131" t="s">
        <v>26</v>
      </c>
      <c r="F1274" s="148">
        <v>1896.13</v>
      </c>
      <c r="G1274" s="22">
        <f t="shared" si="412"/>
        <v>1.5555000000000001</v>
      </c>
      <c r="H1274" s="148">
        <f>ROUND(G1274*(1+$X$14),2)</f>
        <v>1.97</v>
      </c>
      <c r="I1274" s="473">
        <f>ROUND(H1274*F1274,2)</f>
        <v>3735.38</v>
      </c>
      <c r="J1274" s="148"/>
      <c r="K1274" s="148"/>
      <c r="L1274" s="148"/>
      <c r="M1274" s="148">
        <v>1.73</v>
      </c>
      <c r="N1274" s="148">
        <v>2.19</v>
      </c>
      <c r="O1274" s="148">
        <v>4152.5200000000004</v>
      </c>
      <c r="P1274" s="494"/>
      <c r="Q1274" s="148">
        <f>ROUND(P1274*N1274,2)</f>
        <v>0</v>
      </c>
      <c r="R1274" s="148"/>
      <c r="S1274" s="148">
        <f>ROUND(R1274*N1274,2)</f>
        <v>0</v>
      </c>
      <c r="T1274" s="148">
        <f>F1274+P1274-R1274</f>
        <v>1896.13</v>
      </c>
      <c r="U1274" s="148">
        <f>O1274+Q1274-S1274</f>
        <v>4152.5200000000004</v>
      </c>
      <c r="V1274" s="379"/>
      <c r="W1274" s="379"/>
      <c r="X1274" s="31">
        <f>'COMPOSIÇÃO DE CUSTOS'!G1768</f>
        <v>1.56</v>
      </c>
      <c r="Y1274" s="346">
        <v>1.83</v>
      </c>
      <c r="Z1274" s="334">
        <f t="shared" si="413"/>
        <v>2949.4302150000003</v>
      </c>
      <c r="AA1274" s="31"/>
    </row>
    <row r="1275" spans="1:28" s="23" customFormat="1">
      <c r="A1275" s="139" t="s">
        <v>1494</v>
      </c>
      <c r="B1275" s="138">
        <v>9537</v>
      </c>
      <c r="C1275" s="139" t="s">
        <v>362</v>
      </c>
      <c r="D1275" s="131" t="s">
        <v>1914</v>
      </c>
      <c r="E1275" s="131" t="s">
        <v>26</v>
      </c>
      <c r="F1275" s="148">
        <v>1896.13</v>
      </c>
      <c r="G1275" s="22">
        <f t="shared" si="412"/>
        <v>1.9379999999999997</v>
      </c>
      <c r="H1275" s="148">
        <f>ROUND(G1275*(1+$X$14),2)</f>
        <v>2.46</v>
      </c>
      <c r="I1275" s="473">
        <f>ROUND(H1275*F1275,2)</f>
        <v>4664.4799999999996</v>
      </c>
      <c r="J1275" s="148"/>
      <c r="K1275" s="148"/>
      <c r="L1275" s="148"/>
      <c r="M1275" s="148">
        <v>2.16</v>
      </c>
      <c r="N1275" s="148">
        <v>2.74</v>
      </c>
      <c r="O1275" s="148">
        <v>5195.3999999999996</v>
      </c>
      <c r="P1275" s="494"/>
      <c r="Q1275" s="148">
        <f>ROUND(P1275*N1275,2)</f>
        <v>0</v>
      </c>
      <c r="R1275" s="148"/>
      <c r="S1275" s="148">
        <f>ROUND(R1275*N1275,2)</f>
        <v>0</v>
      </c>
      <c r="T1275" s="148">
        <f>F1275+P1275-R1275</f>
        <v>1896.13</v>
      </c>
      <c r="U1275" s="148">
        <f>O1275+Q1275-S1275</f>
        <v>5195.3999999999996</v>
      </c>
      <c r="V1275" s="379"/>
      <c r="W1275" s="379"/>
      <c r="X1275" s="31">
        <f>'COMPOSIÇÃO DE CUSTOS'!G1774</f>
        <v>1.94</v>
      </c>
      <c r="Y1275" s="346">
        <v>2.2799999999999998</v>
      </c>
      <c r="Z1275" s="334">
        <f t="shared" si="413"/>
        <v>3674.6999399999995</v>
      </c>
      <c r="AA1275" s="31"/>
    </row>
    <row r="1276" spans="1:28" s="23" customFormat="1">
      <c r="A1276" s="376"/>
      <c r="B1276" s="377"/>
      <c r="C1276" s="376"/>
      <c r="D1276" s="378"/>
      <c r="E1276" s="378"/>
      <c r="F1276" s="379"/>
      <c r="G1276" s="379"/>
      <c r="H1276" s="384"/>
      <c r="I1276" s="380"/>
      <c r="J1276" s="379"/>
      <c r="K1276" s="379"/>
      <c r="L1276" s="379"/>
      <c r="M1276" s="379"/>
      <c r="N1276" s="379"/>
      <c r="O1276" s="379"/>
      <c r="P1276" s="379"/>
      <c r="Q1276" s="379"/>
      <c r="R1276" s="379"/>
      <c r="S1276" s="379"/>
      <c r="T1276" s="379"/>
      <c r="U1276" s="379"/>
      <c r="V1276" s="379"/>
      <c r="W1276" s="379"/>
      <c r="X1276" s="31"/>
      <c r="Y1276" s="346"/>
      <c r="Z1276" s="334"/>
      <c r="AA1276" s="31"/>
    </row>
    <row r="1277" spans="1:28" ht="15" customHeight="1">
      <c r="A1277" s="385"/>
      <c r="B1277" s="385"/>
      <c r="C1277" s="381" t="s">
        <v>3450</v>
      </c>
      <c r="D1277" s="385"/>
      <c r="E1277" s="385"/>
      <c r="F1277" s="385"/>
      <c r="G1277" s="579" t="s">
        <v>3453</v>
      </c>
      <c r="H1277" s="579"/>
      <c r="I1277" s="218">
        <f>I1279-I1278</f>
        <v>8662006.1079300847</v>
      </c>
      <c r="J1277" s="458"/>
      <c r="K1277" s="383"/>
      <c r="L1277" s="383"/>
      <c r="M1277" s="383"/>
      <c r="N1277" s="383"/>
      <c r="O1277" s="383"/>
      <c r="P1277" s="383"/>
      <c r="Q1277" s="458"/>
      <c r="R1277" s="383"/>
      <c r="S1277" s="383"/>
      <c r="T1277" s="466"/>
      <c r="U1277" s="458"/>
      <c r="V1277" s="458"/>
      <c r="W1277" s="458"/>
      <c r="X1277" s="53"/>
      <c r="Y1277" s="344"/>
      <c r="Z1277" s="330">
        <f>SUM(Z23:Z1275)</f>
        <v>8719505.9629381392</v>
      </c>
      <c r="AA1277" s="357">
        <f>AA1176+AA1074+AA578</f>
        <v>920889.62599999993</v>
      </c>
      <c r="AB1277" s="18">
        <f>Z1277+AA1277</f>
        <v>9640395.5889381394</v>
      </c>
    </row>
    <row r="1278" spans="1:28" ht="15" customHeight="1">
      <c r="A1278" s="385"/>
      <c r="B1278" s="385"/>
      <c r="C1278" s="381" t="s">
        <v>3451</v>
      </c>
      <c r="D1278" s="385"/>
      <c r="E1278" s="385"/>
      <c r="F1278" s="385"/>
      <c r="G1278" s="579" t="s">
        <v>3453</v>
      </c>
      <c r="H1278" s="579"/>
      <c r="I1278" s="66">
        <f>AA1284</f>
        <v>2262831.2220699149</v>
      </c>
      <c r="J1278" s="458"/>
      <c r="K1278" s="383"/>
      <c r="L1278" s="383"/>
      <c r="M1278" s="383"/>
      <c r="N1278" s="383"/>
      <c r="O1278" s="383"/>
      <c r="P1278" s="383"/>
      <c r="Q1278" s="506" t="s">
        <v>3775</v>
      </c>
      <c r="R1278" s="458"/>
      <c r="S1278" s="507" t="s">
        <v>3777</v>
      </c>
      <c r="T1278" s="458"/>
      <c r="U1278" s="506" t="s">
        <v>3793</v>
      </c>
      <c r="V1278" s="458"/>
      <c r="W1278" s="458"/>
      <c r="X1278" s="53"/>
      <c r="Y1278" s="344"/>
      <c r="Z1278" s="344">
        <f>Z1277*X14</f>
        <v>2337699.5486637154</v>
      </c>
      <c r="AA1278" s="344">
        <f>AA1277*X15</f>
        <v>172022.18213679999</v>
      </c>
      <c r="AB1278" s="18">
        <f>Z1284+AA1278</f>
        <v>2262831.2220699149</v>
      </c>
    </row>
    <row r="1279" spans="1:28" ht="15" customHeight="1">
      <c r="A1279" s="385"/>
      <c r="B1279" s="385"/>
      <c r="C1279" s="381" t="s">
        <v>3452</v>
      </c>
      <c r="D1279" s="385"/>
      <c r="E1279" s="385"/>
      <c r="F1279" s="385"/>
      <c r="G1279" s="584" t="s">
        <v>3453</v>
      </c>
      <c r="H1279" s="584"/>
      <c r="I1279" s="66">
        <f>ROUND(I1273+I1251+I1247+I1241+I1227+I287+I280+I270+I253+I250+I242+I239+I232+I216+I212+I150+I135+I66+I53+I35+I22,2)</f>
        <v>10924837.33</v>
      </c>
      <c r="J1279" s="458"/>
      <c r="K1279" s="582" t="s">
        <v>3860</v>
      </c>
      <c r="L1279" s="582"/>
      <c r="M1279" s="582"/>
      <c r="N1279" s="582"/>
      <c r="O1279" s="66">
        <f>L1288+O1288</f>
        <v>14640716.559999999</v>
      </c>
      <c r="P1279" s="383"/>
      <c r="Q1279" s="66">
        <f>ROUND(Q1273+Q1251+Q1247+Q1241+Q1227+Q287+Q280+Q270+Q253+Q250+Q242+Q239+Q232+Q216+Q212+Q150+Q135+Q66+Q53+Q35+Q22,2)</f>
        <v>2695656.91</v>
      </c>
      <c r="R1279" s="458"/>
      <c r="S1279" s="66">
        <f>ROUND(S1273+S1251+S1247+S1241+S1227+S287+S280+S270+S253+S250+S242+S239+S232+S216+S212+S150+S135+S66+S53+S35+S22,2)</f>
        <v>804301.42</v>
      </c>
      <c r="T1279" s="458"/>
      <c r="U1279" s="66">
        <f>Q1279-S1279</f>
        <v>1891355.4900000002</v>
      </c>
      <c r="V1279" s="458"/>
      <c r="W1279" s="458"/>
      <c r="X1279" s="53">
        <v>12391443.24</v>
      </c>
      <c r="Y1279" s="344"/>
      <c r="Z1279" s="344">
        <f>Z1277-AA1277</f>
        <v>7798616.3369381391</v>
      </c>
      <c r="AA1279" s="344"/>
      <c r="AB1279" s="18">
        <f>AB1277+AB1278</f>
        <v>11903226.811008055</v>
      </c>
    </row>
    <row r="1280" spans="1:28" ht="15" customHeight="1">
      <c r="A1280" s="217"/>
      <c r="B1280" s="217"/>
      <c r="C1280" s="382"/>
      <c r="D1280" s="217"/>
      <c r="E1280" s="217"/>
      <c r="F1280" s="217"/>
      <c r="G1280" s="330"/>
      <c r="H1280" s="330"/>
      <c r="I1280" s="383"/>
      <c r="J1280" s="383"/>
      <c r="K1280" s="383"/>
      <c r="L1280" s="383"/>
      <c r="M1280" s="383"/>
      <c r="N1280" s="383"/>
      <c r="O1280" s="383"/>
      <c r="P1280" s="383"/>
      <c r="Q1280" s="509"/>
      <c r="R1280" s="383"/>
      <c r="S1280" s="383"/>
      <c r="T1280" s="383"/>
      <c r="U1280" s="383"/>
      <c r="V1280" s="383"/>
      <c r="W1280" s="383"/>
      <c r="X1280" s="344"/>
      <c r="Y1280" s="344"/>
      <c r="Z1280" s="344"/>
      <c r="AA1280" s="344"/>
      <c r="AB1280" s="18"/>
    </row>
    <row r="1281" spans="1:28" ht="15" customHeight="1">
      <c r="A1281" s="217"/>
      <c r="B1281" s="217"/>
      <c r="C1281" s="382"/>
      <c r="D1281" s="217"/>
      <c r="E1281" s="217"/>
      <c r="F1281" s="217"/>
      <c r="G1281" s="330"/>
      <c r="H1281" s="330"/>
      <c r="I1281" s="383"/>
      <c r="J1281" s="383"/>
      <c r="K1281" s="383"/>
      <c r="L1281" s="383"/>
      <c r="M1281" s="383"/>
      <c r="N1281" s="383"/>
      <c r="O1281" s="383"/>
      <c r="P1281" s="383"/>
      <c r="Q1281" s="383"/>
      <c r="R1281" s="383"/>
      <c r="S1281" s="383"/>
      <c r="T1281" s="383"/>
      <c r="U1281" s="383"/>
      <c r="V1281" s="383"/>
      <c r="W1281" s="383"/>
      <c r="X1281" s="344"/>
      <c r="Y1281" s="344"/>
      <c r="Z1281" s="344"/>
      <c r="AA1281" s="344"/>
      <c r="AB1281" s="18"/>
    </row>
    <row r="1282" spans="1:28" ht="15" customHeight="1">
      <c r="A1282" s="217"/>
      <c r="B1282" s="217"/>
      <c r="C1282" s="382"/>
      <c r="D1282" s="217"/>
      <c r="E1282" s="217"/>
      <c r="F1282" s="217"/>
      <c r="G1282" s="330"/>
      <c r="H1282" s="330"/>
      <c r="I1282" s="383"/>
      <c r="J1282" s="383"/>
      <c r="K1282" s="383"/>
      <c r="L1282" s="383"/>
      <c r="M1282" s="383"/>
      <c r="N1282" s="383"/>
      <c r="O1282" s="383"/>
      <c r="P1282" s="383"/>
      <c r="Q1282" s="383"/>
      <c r="R1282" s="383"/>
      <c r="S1282" s="383"/>
      <c r="T1282" s="383"/>
      <c r="U1282" s="383"/>
      <c r="V1282" s="383"/>
      <c r="W1282" s="383"/>
      <c r="X1282" s="344"/>
      <c r="Y1282" s="344"/>
      <c r="Z1282" s="344"/>
      <c r="AA1282" s="344"/>
      <c r="AB1282" s="18"/>
    </row>
    <row r="1283" spans="1:28" ht="15" customHeight="1">
      <c r="A1283" s="217"/>
      <c r="B1283" s="217"/>
      <c r="C1283" s="382"/>
      <c r="D1283" s="217"/>
      <c r="E1283" s="217"/>
      <c r="F1283" s="217"/>
      <c r="G1283" s="330"/>
      <c r="H1283" s="330"/>
      <c r="I1283" s="383"/>
      <c r="J1283" s="383"/>
      <c r="K1283" s="383"/>
      <c r="L1283" s="383"/>
      <c r="M1283" s="383"/>
      <c r="N1283" s="383"/>
      <c r="O1283" s="383"/>
      <c r="P1283" s="383"/>
      <c r="Q1283" s="383"/>
      <c r="R1283" s="383"/>
      <c r="S1283" s="383"/>
      <c r="T1283" s="383"/>
      <c r="U1283" s="383"/>
      <c r="V1283" s="383"/>
      <c r="W1283" s="383"/>
      <c r="X1283" s="344"/>
      <c r="Y1283" s="344"/>
      <c r="Z1283" s="344"/>
      <c r="AA1283" s="344"/>
      <c r="AB1283" s="18"/>
    </row>
    <row r="1284" spans="1:28" hidden="1">
      <c r="I1284" s="2">
        <f>I1278+I1277</f>
        <v>10924837.33</v>
      </c>
      <c r="X1284" s="18"/>
      <c r="Y1284" s="331"/>
      <c r="Z1284" s="331">
        <f>Z1279*X14</f>
        <v>2090809.039933115</v>
      </c>
      <c r="AA1284" s="18">
        <f>Z1284+AA1278</f>
        <v>2262831.2220699149</v>
      </c>
    </row>
    <row r="1285" spans="1:28" hidden="1">
      <c r="I1285" s="372">
        <f>I1279+'PLANILHA ORÇA - EJUD'!I1011</f>
        <v>16031069.390000001</v>
      </c>
      <c r="J1285" s="372"/>
      <c r="K1285" s="372"/>
      <c r="L1285" s="372"/>
      <c r="M1285" s="372"/>
      <c r="N1285" s="372"/>
      <c r="O1285" s="372"/>
      <c r="P1285" s="372"/>
      <c r="Q1285" s="372"/>
      <c r="R1285" s="372"/>
      <c r="S1285" s="372"/>
      <c r="T1285" s="372"/>
      <c r="U1285" s="372"/>
      <c r="V1285" s="372"/>
      <c r="W1285" s="372"/>
      <c r="Z1285" s="340">
        <f>I1279-Z1284-AA1278</f>
        <v>8662006.1079300847</v>
      </c>
    </row>
    <row r="1286" spans="1:28" hidden="1">
      <c r="I1286" s="2">
        <f>I1279+'PLANILHA ORÇA - EJUD'!I1011</f>
        <v>16031069.390000001</v>
      </c>
      <c r="Z1286" s="340">
        <f>Z1285+Z1284+AA1278</f>
        <v>10924837.33</v>
      </c>
    </row>
    <row r="1288" spans="1:28">
      <c r="G1288" s="219"/>
      <c r="H1288" s="220"/>
      <c r="I1288" s="221"/>
      <c r="J1288" s="221"/>
      <c r="K1288" s="221"/>
      <c r="L1288" s="66">
        <f>ROUND(L1273+L1251+L1247+L1241+L1227+L287+L280+L270+L253+L250+L242+L239+L232+L216+L212+L150+L135+L66+L53+L35+L22,2)</f>
        <v>1676542.12</v>
      </c>
      <c r="M1288" s="221"/>
      <c r="N1288" s="221"/>
      <c r="O1288" s="66">
        <f>ROUND(O1273+O1251+O1247+O1241+O1227+O287+O280+O270+O253+O250+O242+O239+O232+O216+O212+O150+O135+O66+O53+O35+O22,2)</f>
        <v>12964174.439999999</v>
      </c>
      <c r="P1288" s="221"/>
      <c r="Q1288" s="221"/>
      <c r="R1288" s="221"/>
      <c r="S1288" s="221"/>
      <c r="T1288" s="221"/>
      <c r="U1288" s="221">
        <f>L1288+O1288+Q1279-S1279</f>
        <v>16532072.049999999</v>
      </c>
      <c r="V1288" s="221"/>
      <c r="W1288" s="221"/>
    </row>
    <row r="1290" spans="1:28" ht="36" customHeight="1">
      <c r="E1290" s="574"/>
      <c r="F1290" s="574"/>
      <c r="G1290" s="574"/>
      <c r="H1290" s="574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222"/>
      <c r="Y1290" s="337"/>
      <c r="Z1290" s="337"/>
      <c r="AA1290" s="222"/>
      <c r="AB1290" s="30"/>
    </row>
    <row r="1291" spans="1:28" ht="30" customHeight="1">
      <c r="E1291" s="574"/>
      <c r="F1291" s="574"/>
      <c r="G1291" s="574"/>
      <c r="H1291" s="574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222"/>
      <c r="Y1291" s="337"/>
      <c r="Z1291" s="337"/>
      <c r="AA1291" s="222"/>
      <c r="AB1291" s="30"/>
    </row>
    <row r="1292" spans="1:28">
      <c r="E1292" s="574"/>
      <c r="F1292" s="574"/>
      <c r="G1292" s="574"/>
      <c r="H1292" s="574"/>
      <c r="X1292" s="100"/>
      <c r="AA1292" s="100"/>
    </row>
    <row r="1293" spans="1:28">
      <c r="X1293" s="100"/>
      <c r="Z1293" s="371"/>
      <c r="AA1293" s="100"/>
    </row>
    <row r="1296" spans="1:28">
      <c r="H1296" s="265"/>
    </row>
  </sheetData>
  <mergeCells count="32">
    <mergeCell ref="C7:E8"/>
    <mergeCell ref="G1279:H1279"/>
    <mergeCell ref="A19:I19"/>
    <mergeCell ref="A13:A14"/>
    <mergeCell ref="B13:D14"/>
    <mergeCell ref="A15:A16"/>
    <mergeCell ref="B15:D16"/>
    <mergeCell ref="B17:D17"/>
    <mergeCell ref="B18:D18"/>
    <mergeCell ref="A20:A21"/>
    <mergeCell ref="B20:B21"/>
    <mergeCell ref="C20:C21"/>
    <mergeCell ref="D20:D21"/>
    <mergeCell ref="A12:U12"/>
    <mergeCell ref="A11:U11"/>
    <mergeCell ref="P20:Q20"/>
    <mergeCell ref="P19:U19"/>
    <mergeCell ref="J19:O19"/>
    <mergeCell ref="E1292:H1292"/>
    <mergeCell ref="E1291:H1291"/>
    <mergeCell ref="G20:H20"/>
    <mergeCell ref="I20:I21"/>
    <mergeCell ref="G1277:H1277"/>
    <mergeCell ref="G1278:H1278"/>
    <mergeCell ref="E20:E21"/>
    <mergeCell ref="F20:F21"/>
    <mergeCell ref="R20:S20"/>
    <mergeCell ref="T20:U20"/>
    <mergeCell ref="E1290:H1290"/>
    <mergeCell ref="M20:O20"/>
    <mergeCell ref="J20:L20"/>
    <mergeCell ref="K1279:N1279"/>
  </mergeCells>
  <phoneticPr fontId="90" type="noConversion"/>
  <pageMargins left="0.39370078740157483" right="0.39370078740157483" top="1.9685039370078741" bottom="0.98425196850393704" header="0" footer="0"/>
  <pageSetup paperSize="9" scale="37" orientation="portrait" r:id="rId1"/>
  <colBreaks count="1" manualBreakCount="1">
    <brk id="19" max="1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2:AG1036"/>
  <sheetViews>
    <sheetView view="pageBreakPreview" topLeftCell="A992" zoomScale="70" zoomScaleSheetLayoutView="70" workbookViewId="0">
      <selection activeCell="AJ1022" sqref="AJ1022"/>
    </sheetView>
  </sheetViews>
  <sheetFormatPr defaultColWidth="9.140625" defaultRowHeight="15"/>
  <cols>
    <col min="1" max="1" width="10.5703125" style="100" customWidth="1"/>
    <col min="2" max="2" width="16.140625" style="2" customWidth="1"/>
    <col min="3" max="3" width="55.28515625" style="2" customWidth="1"/>
    <col min="4" max="4" width="17.7109375" style="2" customWidth="1"/>
    <col min="5" max="5" width="6.5703125" style="2" bestFit="1" customWidth="1"/>
    <col min="6" max="6" width="11.140625" style="2" customWidth="1"/>
    <col min="7" max="7" width="12.42578125" style="2" customWidth="1"/>
    <col min="8" max="8" width="12" style="2" customWidth="1"/>
    <col min="9" max="9" width="17.7109375" style="2" customWidth="1"/>
    <col min="10" max="11" width="14.28515625" style="2" hidden="1" customWidth="1"/>
    <col min="12" max="12" width="16.7109375" style="2" hidden="1" customWidth="1"/>
    <col min="13" max="14" width="14.28515625" style="2" customWidth="1"/>
    <col min="15" max="15" width="18" style="2" customWidth="1"/>
    <col min="16" max="16" width="14.28515625" style="2" customWidth="1"/>
    <col min="17" max="17" width="19" style="2" customWidth="1"/>
    <col min="18" max="18" width="14.28515625" style="2" customWidth="1"/>
    <col min="19" max="19" width="16.5703125" style="2" customWidth="1"/>
    <col min="20" max="20" width="14.28515625" style="2" customWidth="1"/>
    <col min="21" max="21" width="16.42578125" style="2" customWidth="1"/>
    <col min="22" max="22" width="14.28515625" style="2" hidden="1" customWidth="1"/>
    <col min="23" max="23" width="14.28515625" style="2" customWidth="1"/>
    <col min="24" max="24" width="13.140625" style="2" hidden="1" customWidth="1"/>
    <col min="25" max="25" width="13.140625" style="340" hidden="1" customWidth="1"/>
    <col min="26" max="26" width="12.28515625" style="2" hidden="1" customWidth="1"/>
    <col min="27" max="27" width="11.5703125" style="2" hidden="1" customWidth="1"/>
    <col min="28" max="28" width="10" style="2" hidden="1" customWidth="1"/>
    <col min="29" max="29" width="11.5703125" style="2" hidden="1" customWidth="1"/>
    <col min="30" max="30" width="12.5703125" style="2" hidden="1" customWidth="1"/>
    <col min="31" max="31" width="8" style="2" hidden="1" customWidth="1"/>
    <col min="32" max="32" width="9" style="2" hidden="1" customWidth="1"/>
    <col min="33" max="44" width="9.140625" style="2" customWidth="1"/>
    <col min="45" max="16384" width="9.140625" style="2"/>
  </cols>
  <sheetData>
    <row r="2" spans="1:32">
      <c r="C2" s="220" t="s">
        <v>3454</v>
      </c>
    </row>
    <row r="3" spans="1:32">
      <c r="C3" s="220" t="s">
        <v>3455</v>
      </c>
    </row>
    <row r="4" spans="1:32">
      <c r="C4" s="220" t="s">
        <v>3456</v>
      </c>
    </row>
    <row r="5" spans="1:32">
      <c r="C5" s="220" t="s">
        <v>3457</v>
      </c>
    </row>
    <row r="6" spans="1:32">
      <c r="C6" s="220" t="s">
        <v>3458</v>
      </c>
    </row>
    <row r="7" spans="1:32">
      <c r="C7" s="583" t="s">
        <v>3465</v>
      </c>
      <c r="D7" s="583"/>
      <c r="E7" s="583"/>
    </row>
    <row r="8" spans="1:32" ht="27.75" customHeight="1">
      <c r="C8" s="583"/>
      <c r="D8" s="583"/>
      <c r="E8" s="583"/>
    </row>
    <row r="9" spans="1:32">
      <c r="C9" s="220" t="s">
        <v>3474</v>
      </c>
    </row>
    <row r="11" spans="1:32">
      <c r="A11" s="480"/>
      <c r="B11" s="18"/>
      <c r="C11" s="602"/>
      <c r="D11" s="602"/>
      <c r="E11" s="602"/>
      <c r="F11" s="602"/>
      <c r="G11" s="602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2" ht="24" customHeight="1">
      <c r="A12" s="606" t="s">
        <v>3464</v>
      </c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8"/>
      <c r="V12" s="441"/>
      <c r="W12" s="441"/>
      <c r="X12" s="18" t="s">
        <v>8</v>
      </c>
      <c r="Y12" s="331" t="s">
        <v>8</v>
      </c>
      <c r="Z12" s="18"/>
      <c r="AA12" s="18"/>
      <c r="AB12" s="18"/>
      <c r="AC12" s="18"/>
    </row>
    <row r="13" spans="1:32">
      <c r="A13" s="604" t="s">
        <v>0</v>
      </c>
      <c r="B13" s="609" t="s">
        <v>1</v>
      </c>
      <c r="C13" s="604" t="s">
        <v>2</v>
      </c>
      <c r="D13" s="609" t="s">
        <v>3</v>
      </c>
      <c r="E13" s="604" t="s">
        <v>4</v>
      </c>
      <c r="F13" s="604" t="s">
        <v>1769</v>
      </c>
      <c r="G13" s="604" t="s">
        <v>5</v>
      </c>
      <c r="H13" s="605"/>
      <c r="I13" s="603" t="s">
        <v>6</v>
      </c>
      <c r="J13" s="571" t="s">
        <v>3855</v>
      </c>
      <c r="K13" s="572"/>
      <c r="L13" s="573"/>
      <c r="M13" s="571" t="s">
        <v>3852</v>
      </c>
      <c r="N13" s="572"/>
      <c r="O13" s="573"/>
      <c r="P13" s="580" t="s">
        <v>3775</v>
      </c>
      <c r="Q13" s="581"/>
      <c r="R13" s="580" t="s">
        <v>3777</v>
      </c>
      <c r="S13" s="581"/>
      <c r="T13" s="580" t="s">
        <v>3798</v>
      </c>
      <c r="U13" s="581"/>
      <c r="V13" s="443"/>
      <c r="W13" s="442"/>
      <c r="X13" s="41">
        <v>0.2681</v>
      </c>
      <c r="Y13" s="332">
        <v>0.2681</v>
      </c>
      <c r="Z13" s="41"/>
      <c r="AA13" s="41"/>
      <c r="AB13" s="41"/>
      <c r="AC13" s="41"/>
    </row>
    <row r="14" spans="1:32">
      <c r="A14" s="576"/>
      <c r="B14" s="604"/>
      <c r="C14" s="576"/>
      <c r="D14" s="604"/>
      <c r="E14" s="576"/>
      <c r="F14" s="576"/>
      <c r="G14" s="3" t="s">
        <v>7</v>
      </c>
      <c r="H14" s="3" t="s">
        <v>9</v>
      </c>
      <c r="I14" s="578"/>
      <c r="J14" s="495" t="s">
        <v>7</v>
      </c>
      <c r="K14" s="495" t="s">
        <v>9</v>
      </c>
      <c r="L14" s="495" t="s">
        <v>368</v>
      </c>
      <c r="M14" s="495" t="s">
        <v>7</v>
      </c>
      <c r="N14" s="495" t="s">
        <v>9</v>
      </c>
      <c r="O14" s="495" t="s">
        <v>368</v>
      </c>
      <c r="P14" s="444" t="s">
        <v>1769</v>
      </c>
      <c r="Q14" s="444" t="s">
        <v>3776</v>
      </c>
      <c r="R14" s="444" t="s">
        <v>1769</v>
      </c>
      <c r="S14" s="444" t="s">
        <v>3776</v>
      </c>
      <c r="T14" s="444" t="s">
        <v>1769</v>
      </c>
      <c r="U14" s="444" t="s">
        <v>3776</v>
      </c>
      <c r="V14" s="443"/>
      <c r="W14" s="443"/>
      <c r="X14" s="41">
        <v>0.18679999999999999</v>
      </c>
      <c r="Y14" s="332">
        <v>0.18679999999999999</v>
      </c>
      <c r="Z14" s="41">
        <v>0.15</v>
      </c>
      <c r="AA14" s="41"/>
      <c r="AB14" s="41"/>
      <c r="AC14" s="41"/>
    </row>
    <row r="15" spans="1:32" s="55" customFormat="1" ht="33.75" customHeight="1">
      <c r="A15" s="75">
        <v>1</v>
      </c>
      <c r="B15" s="229"/>
      <c r="C15" s="229" t="s">
        <v>3004</v>
      </c>
      <c r="D15" s="230"/>
      <c r="E15" s="230"/>
      <c r="F15" s="230"/>
      <c r="G15" s="230"/>
      <c r="H15" s="230"/>
      <c r="I15" s="445"/>
      <c r="J15" s="440"/>
      <c r="K15" s="440"/>
      <c r="L15" s="440"/>
      <c r="M15" s="440"/>
      <c r="N15" s="440"/>
      <c r="O15" s="440"/>
      <c r="P15" s="440"/>
      <c r="Q15" s="445"/>
      <c r="R15" s="440"/>
      <c r="S15" s="440"/>
      <c r="T15" s="148"/>
      <c r="U15" s="148"/>
      <c r="V15" s="330"/>
      <c r="W15" s="330"/>
      <c r="X15" s="207"/>
      <c r="Y15" s="333"/>
      <c r="Z15" s="207"/>
      <c r="AA15" s="207"/>
      <c r="AB15" s="207"/>
      <c r="AC15" s="207"/>
      <c r="AD15" s="208"/>
      <c r="AE15" s="55">
        <v>1</v>
      </c>
      <c r="AF15" s="55">
        <f t="shared" ref="AF15:AF62" si="0">AE15-F15</f>
        <v>1</v>
      </c>
    </row>
    <row r="16" spans="1:32" s="23" customFormat="1" ht="15" customHeight="1">
      <c r="A16" s="21"/>
      <c r="B16" s="21"/>
      <c r="C16" s="19"/>
      <c r="D16" s="21"/>
      <c r="E16" s="21"/>
      <c r="F16" s="22"/>
      <c r="G16" s="22"/>
      <c r="H16" s="22"/>
      <c r="I16" s="147"/>
      <c r="J16" s="148"/>
      <c r="K16" s="148"/>
      <c r="L16" s="148"/>
      <c r="M16" s="148"/>
      <c r="N16" s="148"/>
      <c r="O16" s="148"/>
      <c r="P16" s="148"/>
      <c r="Q16" s="147"/>
      <c r="R16" s="148"/>
      <c r="S16" s="148"/>
      <c r="T16" s="148"/>
      <c r="U16" s="148"/>
      <c r="V16" s="379"/>
      <c r="W16" s="379"/>
      <c r="X16" s="58" t="str">
        <f>IF(B16&lt;&gt;0,VLOOKUP(B16,#REF!,4,FALSE),"")</f>
        <v/>
      </c>
      <c r="Y16" s="334" t="s">
        <v>1891</v>
      </c>
      <c r="Z16" s="58"/>
      <c r="AA16" s="58"/>
      <c r="AB16" s="58"/>
      <c r="AC16" s="58"/>
      <c r="AD16" s="58" t="str">
        <f>IF(B16&lt;&gt;0,VLOOKUP(B16,#REF!,2,FALSE),"")</f>
        <v/>
      </c>
      <c r="AF16" s="55">
        <f t="shared" si="0"/>
        <v>0</v>
      </c>
    </row>
    <row r="17" spans="1:32" s="23" customFormat="1" ht="33.75" customHeight="1">
      <c r="A17" s="69" t="s">
        <v>655</v>
      </c>
      <c r="B17" s="229"/>
      <c r="C17" s="229" t="s">
        <v>3846</v>
      </c>
      <c r="D17" s="230"/>
      <c r="E17" s="230"/>
      <c r="F17" s="230"/>
      <c r="G17" s="230"/>
      <c r="H17" s="230"/>
      <c r="I17" s="445"/>
      <c r="J17" s="440"/>
      <c r="K17" s="440"/>
      <c r="L17" s="440"/>
      <c r="M17" s="440"/>
      <c r="N17" s="440"/>
      <c r="O17" s="440"/>
      <c r="P17" s="440"/>
      <c r="Q17" s="445">
        <f>Q18+Q19</f>
        <v>113056.32000000001</v>
      </c>
      <c r="R17" s="440"/>
      <c r="S17" s="440"/>
      <c r="T17" s="148"/>
      <c r="U17" s="440">
        <f>U18+U19</f>
        <v>113056.32000000001</v>
      </c>
      <c r="V17" s="330"/>
      <c r="W17" s="330"/>
      <c r="X17" s="58" t="str">
        <f>IF(B17&lt;&gt;0,VLOOKUP(B17,#REF!,4,FALSE),"")</f>
        <v/>
      </c>
      <c r="Y17" s="334" t="s">
        <v>1891</v>
      </c>
      <c r="Z17" s="58"/>
      <c r="AA17" s="58"/>
      <c r="AB17" s="58"/>
      <c r="AC17" s="58"/>
      <c r="AD17" s="58" t="str">
        <f>IF(B17&lt;&gt;0,VLOOKUP(B17,#REF!,2,FALSE),"")</f>
        <v/>
      </c>
      <c r="AF17" s="55">
        <f t="shared" si="0"/>
        <v>0</v>
      </c>
    </row>
    <row r="18" spans="1:32" s="38" customFormat="1" ht="33.75" customHeight="1">
      <c r="A18" s="454" t="s">
        <v>3847</v>
      </c>
      <c r="B18" s="448">
        <v>4740</v>
      </c>
      <c r="C18" s="449" t="s">
        <v>3851</v>
      </c>
      <c r="D18" s="447" t="s">
        <v>44</v>
      </c>
      <c r="E18" s="447" t="s">
        <v>3844</v>
      </c>
      <c r="F18" s="488"/>
      <c r="G18" s="450">
        <f>(W18-(W18*$Z$14))*'PLANILHA ORÇA - CORREGEDORIA'!$S$16</f>
        <v>6.7135714094674883</v>
      </c>
      <c r="H18" s="450">
        <f>ROUND(G18*(1+$X$13),2)</f>
        <v>8.51</v>
      </c>
      <c r="I18" s="489"/>
      <c r="J18" s="490"/>
      <c r="K18" s="490"/>
      <c r="L18" s="490"/>
      <c r="M18" s="490"/>
      <c r="N18" s="490"/>
      <c r="O18" s="490"/>
      <c r="P18" s="452">
        <f>(2*(28+24)*12)*10</f>
        <v>12480</v>
      </c>
      <c r="Q18" s="451">
        <f>ROUND(P18*H18,2)</f>
        <v>106204.8</v>
      </c>
      <c r="R18" s="490"/>
      <c r="S18" s="490"/>
      <c r="T18" s="452">
        <f>F18+P18-R18</f>
        <v>12480</v>
      </c>
      <c r="U18" s="452">
        <f>I18+Q18-S18</f>
        <v>106204.8</v>
      </c>
      <c r="V18" s="44"/>
      <c r="W18" s="44">
        <v>7.09</v>
      </c>
      <c r="X18" s="39"/>
      <c r="Y18" s="336"/>
      <c r="Z18" s="39"/>
      <c r="AA18" s="39"/>
      <c r="AB18" s="39"/>
      <c r="AC18" s="39"/>
      <c r="AD18" s="39"/>
    </row>
    <row r="19" spans="1:32" s="38" customFormat="1" ht="33.75" customHeight="1">
      <c r="A19" s="454" t="s">
        <v>3848</v>
      </c>
      <c r="B19" s="448">
        <v>97062</v>
      </c>
      <c r="C19" s="449" t="s">
        <v>3850</v>
      </c>
      <c r="D19" s="447" t="s">
        <v>12</v>
      </c>
      <c r="E19" s="447" t="s">
        <v>26</v>
      </c>
      <c r="F19" s="488"/>
      <c r="G19" s="450">
        <f>(W19-(W19*$Z$14))*'PLANILHA ORÇA - CORREGEDORIA'!$S$16</f>
        <v>4.3273654924212153</v>
      </c>
      <c r="H19" s="450">
        <f>ROUND(G19*(1+$X$13),2)</f>
        <v>5.49</v>
      </c>
      <c r="I19" s="489"/>
      <c r="J19" s="490"/>
      <c r="K19" s="490"/>
      <c r="L19" s="490"/>
      <c r="M19" s="490"/>
      <c r="N19" s="490"/>
      <c r="O19" s="490"/>
      <c r="P19" s="452">
        <f>(2*(28+24)*12)</f>
        <v>1248</v>
      </c>
      <c r="Q19" s="451">
        <f>ROUND(P19*H19,2)</f>
        <v>6851.52</v>
      </c>
      <c r="R19" s="490"/>
      <c r="S19" s="490"/>
      <c r="T19" s="452">
        <f>F19+P19-R19</f>
        <v>1248</v>
      </c>
      <c r="U19" s="452">
        <f>I19+Q19-S19</f>
        <v>6851.52</v>
      </c>
      <c r="V19" s="44"/>
      <c r="W19" s="44">
        <v>4.57</v>
      </c>
      <c r="X19" s="39"/>
      <c r="Y19" s="336"/>
      <c r="Z19" s="39"/>
      <c r="AA19" s="39"/>
      <c r="AB19" s="39"/>
      <c r="AC19" s="39"/>
      <c r="AD19" s="39"/>
    </row>
    <row r="20" spans="1:32" s="23" customFormat="1" ht="17.25" customHeight="1">
      <c r="A20" s="21"/>
      <c r="B20" s="20"/>
      <c r="C20" s="19"/>
      <c r="D20" s="21"/>
      <c r="E20" s="21"/>
      <c r="F20" s="22"/>
      <c r="G20" s="22"/>
      <c r="H20" s="22"/>
      <c r="I20" s="147"/>
      <c r="J20" s="148"/>
      <c r="K20" s="148"/>
      <c r="L20" s="148"/>
      <c r="M20" s="148"/>
      <c r="N20" s="148"/>
      <c r="O20" s="148"/>
      <c r="P20" s="148"/>
      <c r="Q20" s="147"/>
      <c r="R20" s="148"/>
      <c r="S20" s="148"/>
      <c r="T20" s="148" t="str">
        <f t="shared" ref="T20:T81" si="1">IF(F20&gt;0,F20+P20-R20," ")</f>
        <v xml:space="preserve"> </v>
      </c>
      <c r="U20" s="148"/>
      <c r="V20" s="379"/>
      <c r="W20" s="379"/>
      <c r="X20" s="58" t="str">
        <f>IF(B20&lt;&gt;0,VLOOKUP(B20,#REF!,4,FALSE),"")</f>
        <v/>
      </c>
      <c r="Y20" s="334" t="s">
        <v>1891</v>
      </c>
      <c r="Z20" s="58"/>
      <c r="AA20" s="58"/>
      <c r="AB20" s="58"/>
      <c r="AC20" s="58"/>
      <c r="AD20" s="58" t="str">
        <f>IF(B20&lt;&gt;0,VLOOKUP(B20,#REF!,2,FALSE),"")</f>
        <v/>
      </c>
      <c r="AF20" s="55">
        <f t="shared" si="0"/>
        <v>0</v>
      </c>
    </row>
    <row r="21" spans="1:32" ht="15" customHeight="1">
      <c r="A21" s="69" t="s">
        <v>668</v>
      </c>
      <c r="B21" s="129"/>
      <c r="C21" s="229" t="s">
        <v>30</v>
      </c>
      <c r="D21" s="230"/>
      <c r="E21" s="230"/>
      <c r="F21" s="230"/>
      <c r="G21" s="230"/>
      <c r="H21" s="230"/>
      <c r="I21" s="445">
        <f>ROUND(SUM(I22:I32),2)</f>
        <v>40027.79</v>
      </c>
      <c r="J21" s="440"/>
      <c r="K21" s="440"/>
      <c r="L21" s="440">
        <v>40027.79</v>
      </c>
      <c r="M21" s="440"/>
      <c r="N21" s="440"/>
      <c r="O21" s="440"/>
      <c r="P21" s="440"/>
      <c r="Q21" s="445">
        <f>ROUND(SUM(Q22:Q32),2)</f>
        <v>36836.839999999997</v>
      </c>
      <c r="R21" s="440"/>
      <c r="S21" s="440">
        <f>ROUND(SUM(S22:S32),2)</f>
        <v>0</v>
      </c>
      <c r="T21" s="148" t="str">
        <f t="shared" si="1"/>
        <v xml:space="preserve"> </v>
      </c>
      <c r="U21" s="440">
        <f>L21+Q21-S21</f>
        <v>76864.63</v>
      </c>
      <c r="V21" s="330"/>
      <c r="W21" s="330"/>
      <c r="X21" s="58" t="str">
        <f>IF(B21&lt;&gt;0,VLOOKUP(B21,#REF!,4,FALSE),"")</f>
        <v/>
      </c>
      <c r="Y21" s="334" t="s">
        <v>1891</v>
      </c>
      <c r="Z21" s="58"/>
      <c r="AA21" s="58"/>
      <c r="AB21" s="58"/>
      <c r="AC21" s="58"/>
      <c r="AD21" s="58" t="str">
        <f>IF(B21&lt;&gt;0,VLOOKUP(B21,#REF!,2,FALSE),"")</f>
        <v/>
      </c>
      <c r="AF21" s="55">
        <f t="shared" si="0"/>
        <v>0</v>
      </c>
    </row>
    <row r="22" spans="1:32" s="23" customFormat="1" ht="27.75" customHeight="1">
      <c r="A22" s="69" t="s">
        <v>669</v>
      </c>
      <c r="B22" s="129"/>
      <c r="C22" s="229" t="s">
        <v>31</v>
      </c>
      <c r="D22" s="230"/>
      <c r="E22" s="230"/>
      <c r="F22" s="230"/>
      <c r="G22" s="230"/>
      <c r="H22" s="230"/>
      <c r="I22" s="445"/>
      <c r="J22" s="440"/>
      <c r="K22" s="440"/>
      <c r="L22" s="440"/>
      <c r="M22" s="440"/>
      <c r="N22" s="440"/>
      <c r="O22" s="440"/>
      <c r="P22" s="440"/>
      <c r="Q22" s="445"/>
      <c r="R22" s="440"/>
      <c r="S22" s="440"/>
      <c r="T22" s="148" t="str">
        <f t="shared" si="1"/>
        <v xml:space="preserve"> </v>
      </c>
      <c r="U22" s="148">
        <f t="shared" ref="U22:U32" si="2">I22+Q22-S22</f>
        <v>0</v>
      </c>
      <c r="V22" s="330"/>
      <c r="W22" s="330"/>
      <c r="X22" s="58" t="str">
        <f>IF(B22&lt;&gt;0,VLOOKUP(B22,#REF!,4,FALSE),"")</f>
        <v/>
      </c>
      <c r="Y22" s="334" t="s">
        <v>1891</v>
      </c>
      <c r="Z22" s="58"/>
      <c r="AA22" s="58"/>
      <c r="AB22" s="58"/>
      <c r="AC22" s="58"/>
      <c r="AD22" s="58" t="str">
        <f>IF(B22&lt;&gt;0,VLOOKUP(B22,#REF!,2,FALSE),"")</f>
        <v/>
      </c>
      <c r="AE22" s="23">
        <v>1185</v>
      </c>
      <c r="AF22" s="55">
        <f t="shared" si="0"/>
        <v>1185</v>
      </c>
    </row>
    <row r="23" spans="1:32" ht="52.5" customHeight="1">
      <c r="A23" s="21" t="s">
        <v>670</v>
      </c>
      <c r="B23" s="20">
        <v>98525</v>
      </c>
      <c r="C23" s="19" t="s">
        <v>32</v>
      </c>
      <c r="D23" s="21"/>
      <c r="E23" s="21" t="s">
        <v>26</v>
      </c>
      <c r="F23" s="22">
        <v>602.15</v>
      </c>
      <c r="G23" s="22">
        <f>Y23-(Y23*$Z$14)</f>
        <v>0.2465</v>
      </c>
      <c r="H23" s="22">
        <f>ROUND(G23*(1+$X$13),2)</f>
        <v>0.31</v>
      </c>
      <c r="I23" s="147">
        <f>ROUND(H23*F23,2)</f>
        <v>186.67</v>
      </c>
      <c r="J23" s="148">
        <v>0.2465</v>
      </c>
      <c r="K23" s="148">
        <v>0.31</v>
      </c>
      <c r="L23" s="148">
        <v>186.67</v>
      </c>
      <c r="M23" s="148"/>
      <c r="N23" s="148"/>
      <c r="O23" s="148"/>
      <c r="P23" s="148"/>
      <c r="Q23" s="147">
        <f>ROUND(P23*H23,2)</f>
        <v>0</v>
      </c>
      <c r="R23" s="148"/>
      <c r="S23" s="148">
        <f>ROUND(R23*P23,2)</f>
        <v>0</v>
      </c>
      <c r="T23" s="148">
        <f t="shared" si="1"/>
        <v>602.15</v>
      </c>
      <c r="U23" s="148">
        <f t="shared" si="2"/>
        <v>186.67</v>
      </c>
      <c r="V23" s="379"/>
      <c r="W23" s="379"/>
      <c r="X23" s="58" t="e">
        <f>IF(B23&lt;&gt;0,VLOOKUP(B23,#REF!,4,FALSE),"")</f>
        <v>#REF!</v>
      </c>
      <c r="Y23" s="334">
        <v>0.28999999999999998</v>
      </c>
      <c r="Z23" s="58">
        <f>G23-Y23</f>
        <v>-4.3499999999999983E-2</v>
      </c>
      <c r="AA23" s="58">
        <f>F23*G23</f>
        <v>148.42997499999998</v>
      </c>
      <c r="AB23" s="58"/>
      <c r="AC23" s="58">
        <f>F23*H23</f>
        <v>186.66649999999998</v>
      </c>
      <c r="AD23" s="58" t="e">
        <f>IF(B23&lt;&gt;0,VLOOKUP(B23,#REF!,2,FALSE),"")</f>
        <v>#REF!</v>
      </c>
      <c r="AF23" s="55">
        <f t="shared" si="0"/>
        <v>-602.15</v>
      </c>
    </row>
    <row r="24" spans="1:32" s="23" customFormat="1">
      <c r="A24" s="69" t="s">
        <v>671</v>
      </c>
      <c r="B24" s="129"/>
      <c r="C24" s="229" t="s">
        <v>33</v>
      </c>
      <c r="D24" s="230"/>
      <c r="E24" s="230"/>
      <c r="F24" s="230"/>
      <c r="G24" s="22"/>
      <c r="H24" s="230"/>
      <c r="I24" s="445"/>
      <c r="J24" s="440"/>
      <c r="K24" s="440"/>
      <c r="L24" s="440"/>
      <c r="M24" s="440"/>
      <c r="N24" s="440"/>
      <c r="O24" s="440"/>
      <c r="P24" s="440"/>
      <c r="Q24" s="445"/>
      <c r="R24" s="440"/>
      <c r="S24" s="440"/>
      <c r="T24" s="148" t="str">
        <f t="shared" si="1"/>
        <v xml:space="preserve"> </v>
      </c>
      <c r="U24" s="148"/>
      <c r="V24" s="330"/>
      <c r="W24" s="330"/>
      <c r="X24" s="58" t="str">
        <f>IF(B24&lt;&gt;0,VLOOKUP(B24,#REF!,4,FALSE),"")</f>
        <v/>
      </c>
      <c r="Y24" s="334" t="s">
        <v>1891</v>
      </c>
      <c r="Z24" s="58"/>
      <c r="AA24" s="58">
        <f t="shared" ref="AA24:AA88" si="3">F24*G24</f>
        <v>0</v>
      </c>
      <c r="AB24" s="58"/>
      <c r="AC24" s="58">
        <f t="shared" ref="AC24:AC88" si="4">F24*H24</f>
        <v>0</v>
      </c>
      <c r="AD24" s="58" t="str">
        <f>IF(B24&lt;&gt;0,VLOOKUP(B24,#REF!,2,FALSE),"")</f>
        <v/>
      </c>
      <c r="AE24" s="23">
        <v>974.47</v>
      </c>
      <c r="AF24" s="55">
        <f t="shared" si="0"/>
        <v>974.47</v>
      </c>
    </row>
    <row r="25" spans="1:32" s="23" customFormat="1" ht="30">
      <c r="A25" s="21" t="s">
        <v>672</v>
      </c>
      <c r="B25" s="20">
        <v>79480</v>
      </c>
      <c r="C25" s="19" t="s">
        <v>34</v>
      </c>
      <c r="D25" s="21"/>
      <c r="E25" s="21" t="s">
        <v>35</v>
      </c>
      <c r="F25" s="22">
        <v>994.79</v>
      </c>
      <c r="G25" s="22">
        <f t="shared" ref="G25:G88" si="5">Y25-(Y25*$Z$14)</f>
        <v>2.0995000000000004</v>
      </c>
      <c r="H25" s="22">
        <f>ROUND(G25*(1+$X$13),2)</f>
        <v>2.66</v>
      </c>
      <c r="I25" s="147">
        <f>ROUND(H25*F25,2)</f>
        <v>2646.14</v>
      </c>
      <c r="J25" s="148">
        <v>2.0995000000000004</v>
      </c>
      <c r="K25" s="148">
        <v>2.66</v>
      </c>
      <c r="L25" s="148">
        <v>2646.14</v>
      </c>
      <c r="M25" s="148"/>
      <c r="N25" s="148"/>
      <c r="O25" s="148"/>
      <c r="P25" s="148"/>
      <c r="Q25" s="147">
        <f>ROUND(P25*H25,2)</f>
        <v>0</v>
      </c>
      <c r="R25" s="148"/>
      <c r="S25" s="148">
        <f>ROUND(R25*P25,2)</f>
        <v>0</v>
      </c>
      <c r="T25" s="148">
        <f t="shared" si="1"/>
        <v>994.79</v>
      </c>
      <c r="U25" s="148">
        <f t="shared" si="2"/>
        <v>2646.14</v>
      </c>
      <c r="V25" s="379"/>
      <c r="W25" s="379"/>
      <c r="X25" s="57">
        <f>'COMPOSIÇÃO DE CUSTOS'!G11</f>
        <v>2.1</v>
      </c>
      <c r="Y25" s="334">
        <v>2.4700000000000002</v>
      </c>
      <c r="Z25" s="58">
        <f t="shared" ref="Z25:Z88" si="6">G25-Y25</f>
        <v>-0.37049999999999983</v>
      </c>
      <c r="AA25" s="58">
        <f t="shared" si="3"/>
        <v>2088.5616050000003</v>
      </c>
      <c r="AB25" s="58"/>
      <c r="AC25" s="58">
        <f t="shared" si="4"/>
        <v>2646.1414</v>
      </c>
      <c r="AD25" s="58" t="e">
        <f>IF(B25&lt;&gt;0,VLOOKUP(B25,#REF!,2,FALSE),"")</f>
        <v>#REF!</v>
      </c>
      <c r="AF25" s="55">
        <f t="shared" si="0"/>
        <v>-994.79</v>
      </c>
    </row>
    <row r="26" spans="1:32">
      <c r="A26" s="69" t="s">
        <v>673</v>
      </c>
      <c r="B26" s="129"/>
      <c r="C26" s="229" t="s">
        <v>36</v>
      </c>
      <c r="D26" s="230"/>
      <c r="E26" s="230"/>
      <c r="F26" s="230"/>
      <c r="G26" s="22"/>
      <c r="H26" s="230"/>
      <c r="I26" s="445"/>
      <c r="J26" s="440"/>
      <c r="K26" s="440"/>
      <c r="L26" s="440"/>
      <c r="M26" s="440"/>
      <c r="N26" s="440"/>
      <c r="O26" s="440"/>
      <c r="P26" s="440"/>
      <c r="Q26" s="445"/>
      <c r="R26" s="440"/>
      <c r="S26" s="440"/>
      <c r="T26" s="148" t="str">
        <f t="shared" si="1"/>
        <v xml:space="preserve"> </v>
      </c>
      <c r="U26" s="148"/>
      <c r="V26" s="330"/>
      <c r="W26" s="330"/>
      <c r="X26" s="58" t="str">
        <f>IF(B26&lt;&gt;0,VLOOKUP(B26,#REF!,4,FALSE),"")</f>
        <v/>
      </c>
      <c r="Y26" s="334" t="s">
        <v>1891</v>
      </c>
      <c r="Z26" s="58"/>
      <c r="AA26" s="58">
        <f t="shared" si="3"/>
        <v>0</v>
      </c>
      <c r="AB26" s="58"/>
      <c r="AC26" s="58">
        <f t="shared" si="4"/>
        <v>0</v>
      </c>
      <c r="AD26" s="58" t="str">
        <f>IF(B26&lt;&gt;0,VLOOKUP(B26,#REF!,2,FALSE),"")</f>
        <v/>
      </c>
      <c r="AE26" s="2">
        <v>693.2</v>
      </c>
      <c r="AF26" s="55">
        <f t="shared" si="0"/>
        <v>693.2</v>
      </c>
    </row>
    <row r="27" spans="1:32" ht="30">
      <c r="A27" s="21" t="s">
        <v>674</v>
      </c>
      <c r="B27" s="20">
        <v>93382</v>
      </c>
      <c r="C27" s="19" t="s">
        <v>1522</v>
      </c>
      <c r="D27" s="21"/>
      <c r="E27" s="21" t="s">
        <v>35</v>
      </c>
      <c r="F27" s="22">
        <v>838.43</v>
      </c>
      <c r="G27" s="22">
        <f t="shared" si="5"/>
        <v>20.612500000000001</v>
      </c>
      <c r="H27" s="22">
        <f>ROUND(G27*(1+$X$13),2)</f>
        <v>26.14</v>
      </c>
      <c r="I27" s="147">
        <f>ROUND(H27*F27,2)</f>
        <v>21916.560000000001</v>
      </c>
      <c r="J27" s="148">
        <v>20.612500000000001</v>
      </c>
      <c r="K27" s="148">
        <v>26.14</v>
      </c>
      <c r="L27" s="148">
        <v>21916.560000000001</v>
      </c>
      <c r="M27" s="148"/>
      <c r="N27" s="148"/>
      <c r="O27" s="148"/>
      <c r="P27" s="148"/>
      <c r="Q27" s="147">
        <f>ROUND(P27*H27,2)</f>
        <v>0</v>
      </c>
      <c r="R27" s="148"/>
      <c r="S27" s="148">
        <f>ROUND(R27*P27,2)</f>
        <v>0</v>
      </c>
      <c r="T27" s="148">
        <f t="shared" si="1"/>
        <v>838.43</v>
      </c>
      <c r="U27" s="148">
        <f t="shared" si="2"/>
        <v>21916.560000000001</v>
      </c>
      <c r="V27" s="379"/>
      <c r="W27" s="379"/>
      <c r="X27" s="58" t="e">
        <f>IF(B27&lt;&gt;0,VLOOKUP(B27,#REF!,4,FALSE),"")</f>
        <v>#REF!</v>
      </c>
      <c r="Y27" s="334" t="s">
        <v>3306</v>
      </c>
      <c r="Z27" s="58">
        <f t="shared" si="6"/>
        <v>-3.6374999999999993</v>
      </c>
      <c r="AA27" s="58">
        <f t="shared" si="3"/>
        <v>17282.138374999999</v>
      </c>
      <c r="AB27" s="58"/>
      <c r="AC27" s="58">
        <f t="shared" si="4"/>
        <v>21916.5602</v>
      </c>
      <c r="AD27" s="58" t="e">
        <f>IF(B27&lt;&gt;0,VLOOKUP(B27,#REF!,2,FALSE),"")</f>
        <v>#REF!</v>
      </c>
      <c r="AE27" s="2">
        <v>65.680999999999997</v>
      </c>
      <c r="AF27" s="55">
        <f t="shared" si="0"/>
        <v>-772.74899999999991</v>
      </c>
    </row>
    <row r="28" spans="1:32" s="38" customFormat="1" ht="51.75" customHeight="1">
      <c r="A28" s="447" t="s">
        <v>675</v>
      </c>
      <c r="B28" s="448">
        <v>97083</v>
      </c>
      <c r="C28" s="449" t="s">
        <v>1523</v>
      </c>
      <c r="D28" s="447"/>
      <c r="E28" s="447" t="s">
        <v>26</v>
      </c>
      <c r="F28" s="450">
        <v>65.680999999999997</v>
      </c>
      <c r="G28" s="450">
        <f t="shared" si="5"/>
        <v>1.87</v>
      </c>
      <c r="H28" s="450">
        <f>ROUND(G28*(1+$X$13),2)</f>
        <v>2.37</v>
      </c>
      <c r="I28" s="451">
        <f>ROUND(H28*F28,2)</f>
        <v>155.66</v>
      </c>
      <c r="J28" s="452">
        <v>1.87</v>
      </c>
      <c r="K28" s="452">
        <v>2.37</v>
      </c>
      <c r="L28" s="452">
        <v>155.66</v>
      </c>
      <c r="M28" s="452"/>
      <c r="N28" s="452"/>
      <c r="O28" s="452"/>
      <c r="P28" s="452">
        <f>P29-F28</f>
        <v>330.27670000000006</v>
      </c>
      <c r="Q28" s="451">
        <f>ROUND(P28*H28*'PLANILHA ORÇA - CORREGEDORIA'!$S$16,2)</f>
        <v>872</v>
      </c>
      <c r="R28" s="452"/>
      <c r="S28" s="452">
        <f>ROUND(R28*P28,2)</f>
        <v>0</v>
      </c>
      <c r="T28" s="452">
        <f t="shared" si="1"/>
        <v>395.95770000000005</v>
      </c>
      <c r="U28" s="452">
        <f t="shared" si="2"/>
        <v>1027.6600000000001</v>
      </c>
      <c r="V28" s="453"/>
      <c r="W28" s="453"/>
      <c r="X28" s="39" t="e">
        <f>IF(B28&lt;&gt;0,VLOOKUP(B28,#REF!,4,FALSE),"")</f>
        <v>#REF!</v>
      </c>
      <c r="Y28" s="336" t="s">
        <v>1840</v>
      </c>
      <c r="Z28" s="39">
        <f t="shared" si="6"/>
        <v>-0.33000000000000007</v>
      </c>
      <c r="AA28" s="39">
        <f t="shared" si="3"/>
        <v>122.82347</v>
      </c>
      <c r="AB28" s="39"/>
      <c r="AC28" s="39">
        <f t="shared" si="4"/>
        <v>155.66397000000001</v>
      </c>
      <c r="AD28" s="39" t="e">
        <f>IF(B28&lt;&gt;0,VLOOKUP(B28,#REF!,2,FALSE),"")</f>
        <v>#REF!</v>
      </c>
      <c r="AF28" s="38">
        <f t="shared" si="0"/>
        <v>-65.680999999999997</v>
      </c>
    </row>
    <row r="29" spans="1:32" s="38" customFormat="1">
      <c r="A29" s="447" t="s">
        <v>3789</v>
      </c>
      <c r="B29" s="448">
        <v>77</v>
      </c>
      <c r="C29" s="449" t="s">
        <v>3790</v>
      </c>
      <c r="D29" s="447" t="s">
        <v>44</v>
      </c>
      <c r="E29" s="447" t="s">
        <v>35</v>
      </c>
      <c r="F29" s="450"/>
      <c r="G29" s="450">
        <f>(W29-(W29*$Z$14))*'PLANILHA ORÇA - CORREGEDORIA'!$S$16</f>
        <v>71.624053795785713</v>
      </c>
      <c r="H29" s="450">
        <f>ROUND(G29*(1+$X$13),2)</f>
        <v>90.83</v>
      </c>
      <c r="I29" s="451"/>
      <c r="J29" s="452"/>
      <c r="K29" s="452"/>
      <c r="L29" s="452"/>
      <c r="M29" s="452"/>
      <c r="N29" s="452"/>
      <c r="O29" s="452"/>
      <c r="P29" s="452">
        <f>27.67*23.85*0.6</f>
        <v>395.95770000000005</v>
      </c>
      <c r="Q29" s="451">
        <f>ROUND(P29*H29,2)</f>
        <v>35964.839999999997</v>
      </c>
      <c r="R29" s="452"/>
      <c r="S29" s="452"/>
      <c r="T29" s="452">
        <f>P29</f>
        <v>395.95770000000005</v>
      </c>
      <c r="U29" s="452">
        <f t="shared" si="2"/>
        <v>35964.839999999997</v>
      </c>
      <c r="V29" s="453"/>
      <c r="W29" s="453">
        <f>COMP!G8</f>
        <v>75.64</v>
      </c>
      <c r="X29" s="39"/>
      <c r="Y29" s="336"/>
      <c r="Z29" s="39"/>
      <c r="AA29" s="39"/>
      <c r="AB29" s="39"/>
      <c r="AC29" s="39"/>
      <c r="AD29" s="39"/>
    </row>
    <row r="30" spans="1:32" s="23" customFormat="1">
      <c r="A30" s="69" t="s">
        <v>676</v>
      </c>
      <c r="B30" s="129"/>
      <c r="C30" s="229" t="s">
        <v>37</v>
      </c>
      <c r="D30" s="230"/>
      <c r="E30" s="230"/>
      <c r="F30" s="230"/>
      <c r="G30" s="22"/>
      <c r="H30" s="230"/>
      <c r="I30" s="445"/>
      <c r="J30" s="440"/>
      <c r="K30" s="440"/>
      <c r="L30" s="440"/>
      <c r="M30" s="440"/>
      <c r="N30" s="440"/>
      <c r="O30" s="440"/>
      <c r="P30" s="440"/>
      <c r="Q30" s="445"/>
      <c r="R30" s="440"/>
      <c r="S30" s="440"/>
      <c r="T30" s="148" t="str">
        <f t="shared" si="1"/>
        <v xml:space="preserve"> </v>
      </c>
      <c r="U30" s="148"/>
      <c r="V30" s="330"/>
      <c r="W30" s="330"/>
      <c r="X30" s="58" t="str">
        <f>IF(B30&lt;&gt;0,VLOOKUP(B30,#REF!,4,FALSE),"")</f>
        <v/>
      </c>
      <c r="Y30" s="334" t="s">
        <v>1891</v>
      </c>
      <c r="Z30" s="58"/>
      <c r="AA30" s="58">
        <f t="shared" si="3"/>
        <v>0</v>
      </c>
      <c r="AB30" s="58"/>
      <c r="AC30" s="58">
        <f t="shared" si="4"/>
        <v>0</v>
      </c>
      <c r="AD30" s="58" t="str">
        <f>IF(B30&lt;&gt;0,VLOOKUP(B30,#REF!,2,FALSE),"")</f>
        <v/>
      </c>
      <c r="AE30" s="23">
        <v>717.39850000000001</v>
      </c>
      <c r="AF30" s="55">
        <f t="shared" si="0"/>
        <v>717.39850000000001</v>
      </c>
    </row>
    <row r="31" spans="1:32" s="23" customFormat="1" ht="45">
      <c r="A31" s="21" t="s">
        <v>677</v>
      </c>
      <c r="B31" s="20">
        <v>72895</v>
      </c>
      <c r="C31" s="19" t="s">
        <v>38</v>
      </c>
      <c r="D31" s="21"/>
      <c r="E31" s="21" t="s">
        <v>35</v>
      </c>
      <c r="F31" s="22">
        <v>717.39850000000001</v>
      </c>
      <c r="G31" s="22">
        <f t="shared" si="5"/>
        <v>15.8355</v>
      </c>
      <c r="H31" s="22">
        <f>ROUND(G31*(1+$X$13),2)</f>
        <v>20.079999999999998</v>
      </c>
      <c r="I31" s="147">
        <f>ROUND(H31*F31,2)</f>
        <v>14405.36</v>
      </c>
      <c r="J31" s="148">
        <v>15.8355</v>
      </c>
      <c r="K31" s="148">
        <v>20.079999999999998</v>
      </c>
      <c r="L31" s="148">
        <v>14405.36</v>
      </c>
      <c r="M31" s="148"/>
      <c r="N31" s="148"/>
      <c r="O31" s="148"/>
      <c r="P31" s="148"/>
      <c r="Q31" s="147">
        <f>ROUND(P31*H31,2)</f>
        <v>0</v>
      </c>
      <c r="R31" s="148"/>
      <c r="S31" s="148">
        <f>ROUND(R31*P31,2)</f>
        <v>0</v>
      </c>
      <c r="T31" s="148">
        <f t="shared" si="1"/>
        <v>717.39850000000001</v>
      </c>
      <c r="U31" s="148">
        <f t="shared" si="2"/>
        <v>14405.36</v>
      </c>
      <c r="V31" s="379"/>
      <c r="W31" s="379"/>
      <c r="X31" s="57">
        <f>'COMPOSIÇÃO DE CUSTOS'!G16</f>
        <v>15.84</v>
      </c>
      <c r="Y31" s="334">
        <v>18.63</v>
      </c>
      <c r="Z31" s="58">
        <f t="shared" si="6"/>
        <v>-2.7944999999999993</v>
      </c>
      <c r="AA31" s="58">
        <f t="shared" si="3"/>
        <v>11360.36394675</v>
      </c>
      <c r="AB31" s="58"/>
      <c r="AC31" s="58">
        <f t="shared" si="4"/>
        <v>14405.361879999999</v>
      </c>
      <c r="AD31" s="58" t="e">
        <f>IF(B31&lt;&gt;0,VLOOKUP(B31,#REF!,2,FALSE),"")</f>
        <v>#REF!</v>
      </c>
      <c r="AE31" s="23">
        <v>717.39850000000001</v>
      </c>
      <c r="AF31" s="55">
        <f t="shared" si="0"/>
        <v>0</v>
      </c>
    </row>
    <row r="32" spans="1:32" ht="29.25" customHeight="1">
      <c r="A32" s="21" t="s">
        <v>678</v>
      </c>
      <c r="B32" s="20">
        <v>83344</v>
      </c>
      <c r="C32" s="19" t="s">
        <v>39</v>
      </c>
      <c r="D32" s="21" t="s">
        <v>1914</v>
      </c>
      <c r="E32" s="21" t="s">
        <v>35</v>
      </c>
      <c r="F32" s="22">
        <v>717.39850000000001</v>
      </c>
      <c r="G32" s="22">
        <f t="shared" si="5"/>
        <v>0.79049999999999998</v>
      </c>
      <c r="H32" s="22">
        <f>ROUND(G32*(1+$X$13),2)</f>
        <v>1</v>
      </c>
      <c r="I32" s="147">
        <f>ROUND(H32*F32,2)</f>
        <v>717.4</v>
      </c>
      <c r="J32" s="148">
        <v>0.79049999999999998</v>
      </c>
      <c r="K32" s="148">
        <v>1</v>
      </c>
      <c r="L32" s="148">
        <v>717.4</v>
      </c>
      <c r="M32" s="148"/>
      <c r="N32" s="148"/>
      <c r="O32" s="148"/>
      <c r="P32" s="148"/>
      <c r="Q32" s="147">
        <f>ROUND(P32*H32,2)</f>
        <v>0</v>
      </c>
      <c r="R32" s="148"/>
      <c r="S32" s="148">
        <f>ROUND(R32*P32,2)</f>
        <v>0</v>
      </c>
      <c r="T32" s="148">
        <f t="shared" si="1"/>
        <v>717.39850000000001</v>
      </c>
      <c r="U32" s="148">
        <f t="shared" si="2"/>
        <v>717.4</v>
      </c>
      <c r="V32" s="379"/>
      <c r="W32" s="379"/>
      <c r="X32" s="57">
        <f>'COMPOSIÇÃO DE CUSTOS'!G22</f>
        <v>0.79</v>
      </c>
      <c r="Y32" s="334">
        <v>0.92999999999999994</v>
      </c>
      <c r="Z32" s="58">
        <f t="shared" si="6"/>
        <v>-0.13949999999999996</v>
      </c>
      <c r="AA32" s="58">
        <f t="shared" si="3"/>
        <v>567.10351424999999</v>
      </c>
      <c r="AB32" s="58"/>
      <c r="AC32" s="58">
        <f t="shared" si="4"/>
        <v>717.39850000000001</v>
      </c>
      <c r="AD32" s="58" t="e">
        <f>IF(B32&lt;&gt;0,VLOOKUP(B32,#REF!,2,FALSE),"")</f>
        <v>#REF!</v>
      </c>
      <c r="AF32" s="55">
        <f t="shared" si="0"/>
        <v>-717.39850000000001</v>
      </c>
    </row>
    <row r="33" spans="1:32" s="23" customFormat="1" ht="15" customHeight="1">
      <c r="A33" s="21"/>
      <c r="B33" s="20"/>
      <c r="C33" s="19"/>
      <c r="D33" s="21"/>
      <c r="E33" s="21"/>
      <c r="F33" s="22"/>
      <c r="G33" s="22"/>
      <c r="H33" s="22"/>
      <c r="I33" s="147"/>
      <c r="J33" s="148"/>
      <c r="K33" s="148"/>
      <c r="L33" s="148"/>
      <c r="M33" s="148"/>
      <c r="N33" s="148"/>
      <c r="O33" s="148"/>
      <c r="P33" s="148"/>
      <c r="Q33" s="147"/>
      <c r="R33" s="148"/>
      <c r="S33" s="148"/>
      <c r="T33" s="148" t="str">
        <f t="shared" si="1"/>
        <v xml:space="preserve"> </v>
      </c>
      <c r="U33" s="440"/>
      <c r="V33" s="379"/>
      <c r="W33" s="379"/>
      <c r="X33" s="57" t="str">
        <f>IF(B33&lt;&gt;0,VLOOKUP(B33,#REF!,4,FALSE),"")</f>
        <v/>
      </c>
      <c r="Y33" s="334" t="s">
        <v>1891</v>
      </c>
      <c r="Z33" s="58"/>
      <c r="AA33" s="58">
        <f t="shared" si="3"/>
        <v>0</v>
      </c>
      <c r="AB33" s="58"/>
      <c r="AC33" s="58">
        <f t="shared" si="4"/>
        <v>0</v>
      </c>
      <c r="AD33" s="58" t="str">
        <f>IF(B33&lt;&gt;0,VLOOKUP(B33,#REF!,2,FALSE),"")</f>
        <v/>
      </c>
      <c r="AF33" s="55">
        <f t="shared" si="0"/>
        <v>0</v>
      </c>
    </row>
    <row r="34" spans="1:32" s="55" customFormat="1" ht="15" customHeight="1">
      <c r="A34" s="69" t="s">
        <v>679</v>
      </c>
      <c r="B34" s="129"/>
      <c r="C34" s="229" t="s">
        <v>40</v>
      </c>
      <c r="D34" s="230"/>
      <c r="E34" s="230"/>
      <c r="F34" s="230"/>
      <c r="G34" s="22"/>
      <c r="H34" s="230"/>
      <c r="I34" s="445">
        <f>ROUND(SUM(I36:I64),2)</f>
        <v>330536.78000000003</v>
      </c>
      <c r="J34" s="440"/>
      <c r="K34" s="440"/>
      <c r="L34" s="440">
        <v>392772.78</v>
      </c>
      <c r="M34" s="440"/>
      <c r="N34" s="440"/>
      <c r="O34" s="440"/>
      <c r="P34" s="492"/>
      <c r="Q34" s="445">
        <f>ROUND(SUM(Q36:Q64),2)</f>
        <v>0</v>
      </c>
      <c r="R34" s="440"/>
      <c r="S34" s="440">
        <f>ROUND(SUM(S36:S64),2)</f>
        <v>0</v>
      </c>
      <c r="T34" s="148" t="str">
        <f t="shared" si="1"/>
        <v xml:space="preserve"> </v>
      </c>
      <c r="U34" s="440">
        <f t="shared" ref="U34:U63" si="7">L34+Q34-S34+O34</f>
        <v>392772.78</v>
      </c>
      <c r="V34" s="330"/>
      <c r="W34" s="330"/>
      <c r="X34" s="57" t="str">
        <f>IF(B34&lt;&gt;0,VLOOKUP(B34,#REF!,4,FALSE),"")</f>
        <v/>
      </c>
      <c r="Y34" s="334" t="s">
        <v>1891</v>
      </c>
      <c r="Z34" s="58"/>
      <c r="AA34" s="58">
        <f t="shared" si="3"/>
        <v>0</v>
      </c>
      <c r="AB34" s="58"/>
      <c r="AC34" s="58">
        <f t="shared" si="4"/>
        <v>0</v>
      </c>
      <c r="AD34" s="58" t="str">
        <f>IF(B34&lt;&gt;0,VLOOKUP(B34,#REF!,2,FALSE),"")</f>
        <v/>
      </c>
      <c r="AF34" s="55">
        <f t="shared" si="0"/>
        <v>0</v>
      </c>
    </row>
    <row r="35" spans="1:32" s="55" customFormat="1">
      <c r="A35" s="69" t="s">
        <v>680</v>
      </c>
      <c r="B35" s="129"/>
      <c r="C35" s="229" t="s">
        <v>41</v>
      </c>
      <c r="D35" s="230"/>
      <c r="E35" s="230"/>
      <c r="F35" s="230"/>
      <c r="G35" s="22"/>
      <c r="H35" s="230"/>
      <c r="I35" s="445"/>
      <c r="J35" s="440"/>
      <c r="K35" s="440"/>
      <c r="L35" s="440"/>
      <c r="M35" s="440"/>
      <c r="N35" s="440"/>
      <c r="O35" s="440"/>
      <c r="P35" s="492"/>
      <c r="Q35" s="445"/>
      <c r="R35" s="440"/>
      <c r="S35" s="440"/>
      <c r="T35" s="148" t="str">
        <f t="shared" si="1"/>
        <v xml:space="preserve"> </v>
      </c>
      <c r="U35" s="148"/>
      <c r="V35" s="330"/>
      <c r="W35" s="330"/>
      <c r="X35" s="57" t="str">
        <f>IF(B35&lt;&gt;0,VLOOKUP(B35,#REF!,4,FALSE),"")</f>
        <v/>
      </c>
      <c r="Y35" s="334" t="s">
        <v>1891</v>
      </c>
      <c r="Z35" s="58"/>
      <c r="AA35" s="58">
        <f t="shared" si="3"/>
        <v>0</v>
      </c>
      <c r="AB35" s="58"/>
      <c r="AC35" s="58">
        <f t="shared" si="4"/>
        <v>0</v>
      </c>
      <c r="AD35" s="58" t="str">
        <f>IF(B35&lt;&gt;0,VLOOKUP(B35,#REF!,2,FALSE),"")</f>
        <v/>
      </c>
      <c r="AE35" s="55">
        <v>266</v>
      </c>
      <c r="AF35" s="55">
        <f t="shared" si="0"/>
        <v>266</v>
      </c>
    </row>
    <row r="36" spans="1:32" s="23" customFormat="1" ht="45">
      <c r="A36" s="21" t="s">
        <v>681</v>
      </c>
      <c r="B36" s="20">
        <v>94097</v>
      </c>
      <c r="C36" s="19" t="s">
        <v>1524</v>
      </c>
      <c r="D36" s="21" t="s">
        <v>1914</v>
      </c>
      <c r="E36" s="21" t="s">
        <v>26</v>
      </c>
      <c r="F36" s="22">
        <v>266</v>
      </c>
      <c r="G36" s="22">
        <f t="shared" si="5"/>
        <v>3.5529999999999999</v>
      </c>
      <c r="H36" s="22">
        <f t="shared" ref="H36:H42" si="8">ROUND(G36*(1+$X$13),2)</f>
        <v>4.51</v>
      </c>
      <c r="I36" s="147">
        <f t="shared" ref="I36:I42" si="9">ROUND(H36*F36,2)</f>
        <v>1199.6600000000001</v>
      </c>
      <c r="J36" s="148">
        <v>3.5529999999999999</v>
      </c>
      <c r="K36" s="148">
        <v>4.51</v>
      </c>
      <c r="L36" s="148">
        <v>1199.6600000000001</v>
      </c>
      <c r="M36" s="148"/>
      <c r="N36" s="148"/>
      <c r="O36" s="148"/>
      <c r="P36" s="494"/>
      <c r="Q36" s="147">
        <f t="shared" ref="Q36:Q42" si="10">ROUND(P36*H36,2)</f>
        <v>0</v>
      </c>
      <c r="R36" s="148"/>
      <c r="S36" s="148">
        <f t="shared" ref="S36:S42" si="11">ROUND(R36*P36,2)</f>
        <v>0</v>
      </c>
      <c r="T36" s="148">
        <f t="shared" si="1"/>
        <v>266</v>
      </c>
      <c r="U36" s="148">
        <f t="shared" si="7"/>
        <v>1199.6600000000001</v>
      </c>
      <c r="V36" s="379"/>
      <c r="W36" s="379"/>
      <c r="X36" s="57">
        <f>'COMPOSIÇÃO DE CUSTOS'!G30</f>
        <v>3.54</v>
      </c>
      <c r="Y36" s="334">
        <v>4.18</v>
      </c>
      <c r="Z36" s="58">
        <f t="shared" si="6"/>
        <v>-0.62699999999999978</v>
      </c>
      <c r="AA36" s="58">
        <f t="shared" si="3"/>
        <v>945.09799999999996</v>
      </c>
      <c r="AB36" s="58"/>
      <c r="AC36" s="58">
        <f t="shared" si="4"/>
        <v>1199.6599999999999</v>
      </c>
      <c r="AD36" s="58" t="e">
        <f>IF(B36&lt;&gt;0,VLOOKUP(B36,#REF!,2,FALSE),"")</f>
        <v>#REF!</v>
      </c>
      <c r="AE36" s="23">
        <v>13.3</v>
      </c>
      <c r="AF36" s="55">
        <f t="shared" si="0"/>
        <v>-252.7</v>
      </c>
    </row>
    <row r="37" spans="1:32" s="23" customFormat="1" ht="45">
      <c r="A37" s="21" t="s">
        <v>682</v>
      </c>
      <c r="B37" s="20">
        <v>83534</v>
      </c>
      <c r="C37" s="19" t="s">
        <v>42</v>
      </c>
      <c r="D37" s="21" t="s">
        <v>1914</v>
      </c>
      <c r="E37" s="21" t="s">
        <v>35</v>
      </c>
      <c r="F37" s="22">
        <v>13.3</v>
      </c>
      <c r="G37" s="22">
        <f t="shared" si="5"/>
        <v>477.23250000000007</v>
      </c>
      <c r="H37" s="22">
        <f t="shared" si="8"/>
        <v>605.17999999999995</v>
      </c>
      <c r="I37" s="147">
        <f t="shared" si="9"/>
        <v>8048.89</v>
      </c>
      <c r="J37" s="148">
        <v>477.23250000000007</v>
      </c>
      <c r="K37" s="148">
        <v>605.17999999999995</v>
      </c>
      <c r="L37" s="148">
        <v>8048.89</v>
      </c>
      <c r="M37" s="148"/>
      <c r="N37" s="148"/>
      <c r="O37" s="148"/>
      <c r="P37" s="494"/>
      <c r="Q37" s="147">
        <f t="shared" si="10"/>
        <v>0</v>
      </c>
      <c r="R37" s="148"/>
      <c r="S37" s="148">
        <f t="shared" si="11"/>
        <v>0</v>
      </c>
      <c r="T37" s="148">
        <f t="shared" si="1"/>
        <v>13.3</v>
      </c>
      <c r="U37" s="148">
        <f t="shared" si="7"/>
        <v>8048.89</v>
      </c>
      <c r="V37" s="379"/>
      <c r="W37" s="379"/>
      <c r="X37" s="57">
        <f>'COMPOSIÇÃO DE CUSTOS'!G38</f>
        <v>477.22999999999996</v>
      </c>
      <c r="Y37" s="334">
        <v>561.45000000000005</v>
      </c>
      <c r="Z37" s="58">
        <f t="shared" si="6"/>
        <v>-84.217499999999973</v>
      </c>
      <c r="AA37" s="58">
        <f t="shared" si="3"/>
        <v>6347.192250000001</v>
      </c>
      <c r="AB37" s="58"/>
      <c r="AC37" s="58">
        <f t="shared" si="4"/>
        <v>8048.8939999999993</v>
      </c>
      <c r="AD37" s="58" t="e">
        <f>IF(B37&lt;&gt;0,VLOOKUP(B37,#REF!,2,FALSE),"")</f>
        <v>#REF!</v>
      </c>
      <c r="AE37" s="23">
        <v>272</v>
      </c>
      <c r="AF37" s="55">
        <f t="shared" si="0"/>
        <v>258.7</v>
      </c>
    </row>
    <row r="38" spans="1:32" ht="30">
      <c r="A38" s="21" t="s">
        <v>683</v>
      </c>
      <c r="B38" s="20" t="s">
        <v>2045</v>
      </c>
      <c r="C38" s="19" t="s">
        <v>43</v>
      </c>
      <c r="D38" s="21" t="s">
        <v>1914</v>
      </c>
      <c r="E38" s="21" t="s">
        <v>26</v>
      </c>
      <c r="F38" s="22">
        <v>272</v>
      </c>
      <c r="G38" s="22">
        <f t="shared" si="5"/>
        <v>96.72999999999999</v>
      </c>
      <c r="H38" s="22">
        <f t="shared" si="8"/>
        <v>122.66</v>
      </c>
      <c r="I38" s="147">
        <f t="shared" si="9"/>
        <v>33363.519999999997</v>
      </c>
      <c r="J38" s="148">
        <v>127.2</v>
      </c>
      <c r="K38" s="148">
        <v>161.30000000000001</v>
      </c>
      <c r="L38" s="148">
        <v>43873.599999999999</v>
      </c>
      <c r="M38" s="148"/>
      <c r="N38" s="148"/>
      <c r="O38" s="148"/>
      <c r="P38" s="494"/>
      <c r="Q38" s="147">
        <f t="shared" si="10"/>
        <v>0</v>
      </c>
      <c r="R38" s="148"/>
      <c r="S38" s="148">
        <f t="shared" si="11"/>
        <v>0</v>
      </c>
      <c r="T38" s="148">
        <f t="shared" si="1"/>
        <v>272</v>
      </c>
      <c r="U38" s="148">
        <f t="shared" si="7"/>
        <v>43873.599999999999</v>
      </c>
      <c r="V38" s="379"/>
      <c r="W38" s="379"/>
      <c r="X38" s="57">
        <f>'COMPOSIÇÃO DE CUSTOS'!G47</f>
        <v>96.72999999999999</v>
      </c>
      <c r="Y38" s="334">
        <v>113.8</v>
      </c>
      <c r="Z38" s="58">
        <f t="shared" si="6"/>
        <v>-17.070000000000007</v>
      </c>
      <c r="AA38" s="58">
        <f t="shared" si="3"/>
        <v>26310.559999999998</v>
      </c>
      <c r="AB38" s="58"/>
      <c r="AC38" s="58">
        <f t="shared" si="4"/>
        <v>33363.519999999997</v>
      </c>
      <c r="AD38" s="58" t="e">
        <f>IF(B38&lt;&gt;0,VLOOKUP(B38,#REF!,2,FALSE),"")</f>
        <v>#REF!</v>
      </c>
      <c r="AE38" s="2">
        <v>35.349999999999994</v>
      </c>
      <c r="AF38" s="55">
        <f t="shared" si="0"/>
        <v>-236.65</v>
      </c>
    </row>
    <row r="39" spans="1:32" ht="45">
      <c r="A39" s="21" t="s">
        <v>3390</v>
      </c>
      <c r="B39" s="20">
        <v>96545</v>
      </c>
      <c r="C39" s="19" t="s">
        <v>1526</v>
      </c>
      <c r="D39" s="21" t="s">
        <v>12</v>
      </c>
      <c r="E39" s="21" t="s">
        <v>45</v>
      </c>
      <c r="F39" s="22">
        <v>513</v>
      </c>
      <c r="G39" s="22">
        <f t="shared" si="5"/>
        <v>14.2545</v>
      </c>
      <c r="H39" s="22">
        <f t="shared" si="8"/>
        <v>18.079999999999998</v>
      </c>
      <c r="I39" s="147">
        <f t="shared" si="9"/>
        <v>9275.0400000000009</v>
      </c>
      <c r="J39" s="148">
        <v>14.2545</v>
      </c>
      <c r="K39" s="148">
        <v>18.079999999999998</v>
      </c>
      <c r="L39" s="148">
        <v>9275.0400000000009</v>
      </c>
      <c r="M39" s="148"/>
      <c r="N39" s="148"/>
      <c r="O39" s="148"/>
      <c r="P39" s="494"/>
      <c r="Q39" s="147">
        <f t="shared" si="10"/>
        <v>0</v>
      </c>
      <c r="R39" s="148"/>
      <c r="S39" s="148">
        <f t="shared" si="11"/>
        <v>0</v>
      </c>
      <c r="T39" s="148">
        <f t="shared" si="1"/>
        <v>513</v>
      </c>
      <c r="U39" s="148">
        <f t="shared" si="7"/>
        <v>9275.0400000000009</v>
      </c>
      <c r="V39" s="379"/>
      <c r="W39" s="379"/>
      <c r="X39" s="58" t="e">
        <f>IF(B39&lt;&gt;0,VLOOKUP(B39,#REF!,4,FALSE),"")</f>
        <v>#REF!</v>
      </c>
      <c r="Y39" s="334" t="s">
        <v>2644</v>
      </c>
      <c r="Z39" s="58">
        <f t="shared" si="6"/>
        <v>-2.5154999999999994</v>
      </c>
      <c r="AA39" s="58">
        <f t="shared" si="3"/>
        <v>7312.5585000000001</v>
      </c>
      <c r="AB39" s="58"/>
      <c r="AC39" s="58">
        <f t="shared" si="4"/>
        <v>9275.0399999999991</v>
      </c>
      <c r="AD39" s="58" t="e">
        <f>IF(B39&lt;&gt;0,VLOOKUP(B39,#REF!,2,FALSE),"")</f>
        <v>#REF!</v>
      </c>
      <c r="AE39" s="2">
        <v>200</v>
      </c>
      <c r="AF39" s="55">
        <f t="shared" si="0"/>
        <v>-313</v>
      </c>
    </row>
    <row r="40" spans="1:32" ht="45">
      <c r="A40" s="21" t="s">
        <v>3391</v>
      </c>
      <c r="B40" s="20">
        <v>96548</v>
      </c>
      <c r="C40" s="19" t="s">
        <v>1528</v>
      </c>
      <c r="D40" s="21" t="s">
        <v>12</v>
      </c>
      <c r="E40" s="21" t="s">
        <v>45</v>
      </c>
      <c r="F40" s="22">
        <v>5845</v>
      </c>
      <c r="G40" s="22">
        <f t="shared" si="5"/>
        <v>10.557</v>
      </c>
      <c r="H40" s="22">
        <f t="shared" si="8"/>
        <v>13.39</v>
      </c>
      <c r="I40" s="147">
        <f t="shared" si="9"/>
        <v>78264.55</v>
      </c>
      <c r="J40" s="148">
        <v>13.55</v>
      </c>
      <c r="K40" s="148">
        <v>17.18</v>
      </c>
      <c r="L40" s="148">
        <v>100417.1</v>
      </c>
      <c r="M40" s="148"/>
      <c r="N40" s="148"/>
      <c r="O40" s="148"/>
      <c r="P40" s="494"/>
      <c r="Q40" s="147">
        <f t="shared" si="10"/>
        <v>0</v>
      </c>
      <c r="R40" s="148"/>
      <c r="S40" s="148">
        <f t="shared" si="11"/>
        <v>0</v>
      </c>
      <c r="T40" s="148">
        <f t="shared" si="1"/>
        <v>5845</v>
      </c>
      <c r="U40" s="148">
        <f t="shared" si="7"/>
        <v>100417.1</v>
      </c>
      <c r="V40" s="379"/>
      <c r="W40" s="379"/>
      <c r="X40" s="58" t="e">
        <f>IF(B40&lt;&gt;0,VLOOKUP(B40,#REF!,4,FALSE),"")</f>
        <v>#REF!</v>
      </c>
      <c r="Y40" s="334" t="s">
        <v>3031</v>
      </c>
      <c r="Z40" s="58">
        <f t="shared" si="6"/>
        <v>-1.8629999999999995</v>
      </c>
      <c r="AA40" s="58">
        <f t="shared" si="3"/>
        <v>61705.665000000001</v>
      </c>
      <c r="AB40" s="58"/>
      <c r="AC40" s="58">
        <f t="shared" si="4"/>
        <v>78264.55</v>
      </c>
      <c r="AD40" s="58" t="e">
        <f>IF(B40&lt;&gt;0,VLOOKUP(B40,#REF!,2,FALSE),"")</f>
        <v>#REF!</v>
      </c>
      <c r="AE40" s="2">
        <v>240</v>
      </c>
      <c r="AF40" s="55">
        <f t="shared" si="0"/>
        <v>-5605</v>
      </c>
    </row>
    <row r="41" spans="1:32" s="267" customFormat="1" ht="45">
      <c r="A41" s="21" t="s">
        <v>3392</v>
      </c>
      <c r="B41" s="20">
        <v>94966</v>
      </c>
      <c r="C41" s="19" t="s">
        <v>1530</v>
      </c>
      <c r="D41" s="21" t="s">
        <v>12</v>
      </c>
      <c r="E41" s="21" t="s">
        <v>35</v>
      </c>
      <c r="F41" s="22">
        <v>130.57</v>
      </c>
      <c r="G41" s="22">
        <f t="shared" si="5"/>
        <v>360.38300000000004</v>
      </c>
      <c r="H41" s="22">
        <f t="shared" si="8"/>
        <v>457</v>
      </c>
      <c r="I41" s="147">
        <f t="shared" si="9"/>
        <v>59670.49</v>
      </c>
      <c r="J41" s="148">
        <v>417.1699999999999</v>
      </c>
      <c r="K41" s="148">
        <v>529.01</v>
      </c>
      <c r="L41" s="148">
        <v>69072.84</v>
      </c>
      <c r="M41" s="148"/>
      <c r="N41" s="148"/>
      <c r="O41" s="148"/>
      <c r="P41" s="494"/>
      <c r="Q41" s="147">
        <f t="shared" si="10"/>
        <v>0</v>
      </c>
      <c r="R41" s="148"/>
      <c r="S41" s="148">
        <f t="shared" si="11"/>
        <v>0</v>
      </c>
      <c r="T41" s="148">
        <f t="shared" si="1"/>
        <v>130.57</v>
      </c>
      <c r="U41" s="148">
        <f t="shared" si="7"/>
        <v>69072.84</v>
      </c>
      <c r="V41" s="379"/>
      <c r="W41" s="379"/>
      <c r="X41" s="269" t="e">
        <f>IF(B41&lt;&gt;0,VLOOKUP(B41,#REF!,4,FALSE),"")</f>
        <v>#REF!</v>
      </c>
      <c r="Y41" s="335" t="s">
        <v>3217</v>
      </c>
      <c r="Z41" s="58">
        <f t="shared" si="6"/>
        <v>-63.59699999999998</v>
      </c>
      <c r="AA41" s="58">
        <f t="shared" si="3"/>
        <v>47055.208310000002</v>
      </c>
      <c r="AB41" s="58"/>
      <c r="AC41" s="58">
        <f t="shared" si="4"/>
        <v>59670.49</v>
      </c>
      <c r="AD41" s="269" t="e">
        <f>IF(B41&lt;&gt;0,VLOOKUP(B41,#REF!,2,FALSE),"")</f>
        <v>#REF!</v>
      </c>
      <c r="AE41" s="267">
        <v>159.61000000000001</v>
      </c>
      <c r="AF41" s="267">
        <f t="shared" si="0"/>
        <v>29.04000000000002</v>
      </c>
    </row>
    <row r="42" spans="1:32" s="267" customFormat="1" ht="51.75" customHeight="1">
      <c r="A42" s="21" t="s">
        <v>3393</v>
      </c>
      <c r="B42" s="20" t="s">
        <v>46</v>
      </c>
      <c r="C42" s="19" t="s">
        <v>47</v>
      </c>
      <c r="D42" s="21" t="s">
        <v>1914</v>
      </c>
      <c r="E42" s="21" t="s">
        <v>35</v>
      </c>
      <c r="F42" s="22">
        <v>130.57</v>
      </c>
      <c r="G42" s="22">
        <f t="shared" si="5"/>
        <v>78.472000000000008</v>
      </c>
      <c r="H42" s="22">
        <f t="shared" si="8"/>
        <v>99.51</v>
      </c>
      <c r="I42" s="147">
        <f t="shared" si="9"/>
        <v>12993.02</v>
      </c>
      <c r="J42" s="148">
        <v>78.472000000000008</v>
      </c>
      <c r="K42" s="148">
        <v>99.51</v>
      </c>
      <c r="L42" s="148">
        <v>12993.02</v>
      </c>
      <c r="M42" s="148"/>
      <c r="N42" s="148"/>
      <c r="O42" s="148"/>
      <c r="P42" s="494"/>
      <c r="Q42" s="147">
        <f t="shared" si="10"/>
        <v>0</v>
      </c>
      <c r="R42" s="148"/>
      <c r="S42" s="148">
        <f t="shared" si="11"/>
        <v>0</v>
      </c>
      <c r="T42" s="148">
        <f t="shared" si="1"/>
        <v>130.57</v>
      </c>
      <c r="U42" s="148">
        <f t="shared" si="7"/>
        <v>12993.02</v>
      </c>
      <c r="V42" s="379"/>
      <c r="W42" s="379"/>
      <c r="X42" s="269">
        <f>'COMPOSIÇÃO DE CUSTOS'!G55</f>
        <v>78.470000000000013</v>
      </c>
      <c r="Y42" s="335">
        <v>92.320000000000007</v>
      </c>
      <c r="Z42" s="58">
        <f t="shared" si="6"/>
        <v>-13.847999999999999</v>
      </c>
      <c r="AA42" s="58">
        <f t="shared" si="3"/>
        <v>10246.089040000001</v>
      </c>
      <c r="AB42" s="58"/>
      <c r="AC42" s="58">
        <f t="shared" si="4"/>
        <v>12993.020699999999</v>
      </c>
      <c r="AD42" s="269" t="e">
        <f>IF(B42&lt;&gt;0,VLOOKUP(B42,#REF!,2,FALSE),"")</f>
        <v>#REF!</v>
      </c>
      <c r="AF42" s="267">
        <f t="shared" si="0"/>
        <v>-130.57</v>
      </c>
    </row>
    <row r="43" spans="1:32" s="55" customFormat="1">
      <c r="A43" s="69" t="s">
        <v>684</v>
      </c>
      <c r="B43" s="129"/>
      <c r="C43" s="229" t="s">
        <v>48</v>
      </c>
      <c r="D43" s="230"/>
      <c r="E43" s="230"/>
      <c r="F43" s="230"/>
      <c r="G43" s="22"/>
      <c r="H43" s="230"/>
      <c r="I43" s="445"/>
      <c r="J43" s="440"/>
      <c r="K43" s="440"/>
      <c r="L43" s="440"/>
      <c r="M43" s="440"/>
      <c r="N43" s="440"/>
      <c r="O43" s="440"/>
      <c r="P43" s="492"/>
      <c r="Q43" s="445"/>
      <c r="R43" s="440"/>
      <c r="S43" s="440"/>
      <c r="T43" s="148" t="str">
        <f t="shared" si="1"/>
        <v xml:space="preserve"> </v>
      </c>
      <c r="U43" s="148">
        <f t="shared" si="7"/>
        <v>0</v>
      </c>
      <c r="V43" s="330"/>
      <c r="W43" s="330"/>
      <c r="X43" s="58" t="str">
        <f>IF(B43&lt;&gt;0,VLOOKUP(B43,#REF!,4,FALSE),"")</f>
        <v/>
      </c>
      <c r="Y43" s="334" t="s">
        <v>1891</v>
      </c>
      <c r="Z43" s="58"/>
      <c r="AA43" s="58">
        <f t="shared" si="3"/>
        <v>0</v>
      </c>
      <c r="AB43" s="58"/>
      <c r="AC43" s="58">
        <f t="shared" si="4"/>
        <v>0</v>
      </c>
      <c r="AD43" s="58" t="str">
        <f>IF(B43&lt;&gt;0,VLOOKUP(B43,#REF!,2,FALSE),"")</f>
        <v/>
      </c>
      <c r="AE43" s="55">
        <v>75.540499999999994</v>
      </c>
      <c r="AF43" s="55">
        <f t="shared" si="0"/>
        <v>75.540499999999994</v>
      </c>
    </row>
    <row r="44" spans="1:32" s="55" customFormat="1" ht="45">
      <c r="A44" s="21" t="s">
        <v>685</v>
      </c>
      <c r="B44" s="20">
        <v>94097</v>
      </c>
      <c r="C44" s="19" t="s">
        <v>1524</v>
      </c>
      <c r="D44" s="21" t="s">
        <v>1914</v>
      </c>
      <c r="E44" s="21" t="s">
        <v>26</v>
      </c>
      <c r="F44" s="22">
        <v>75.540499999999994</v>
      </c>
      <c r="G44" s="22">
        <f t="shared" si="5"/>
        <v>3.5529999999999999</v>
      </c>
      <c r="H44" s="22">
        <f t="shared" ref="H44:H53" si="12">ROUND(G44*(1+$X$13),2)</f>
        <v>4.51</v>
      </c>
      <c r="I44" s="147">
        <f t="shared" ref="I44:I53" si="13">ROUND(H44*F44,2)</f>
        <v>340.69</v>
      </c>
      <c r="J44" s="148">
        <v>3.5529999999999999</v>
      </c>
      <c r="K44" s="148">
        <v>4.51</v>
      </c>
      <c r="L44" s="148">
        <v>340.69</v>
      </c>
      <c r="M44" s="148"/>
      <c r="N44" s="148"/>
      <c r="O44" s="148"/>
      <c r="P44" s="494"/>
      <c r="Q44" s="147">
        <f t="shared" ref="Q44:Q53" si="14">ROUND(P44*H44,2)</f>
        <v>0</v>
      </c>
      <c r="R44" s="148"/>
      <c r="S44" s="148">
        <f t="shared" ref="S44:S53" si="15">ROUND(R44*P44,2)</f>
        <v>0</v>
      </c>
      <c r="T44" s="148">
        <f t="shared" si="1"/>
        <v>75.540499999999994</v>
      </c>
      <c r="U44" s="148">
        <f t="shared" si="7"/>
        <v>340.69</v>
      </c>
      <c r="V44" s="379"/>
      <c r="W44" s="379"/>
      <c r="X44" s="57">
        <f>'COMPOSIÇÃO DE CUSTOS'!G30</f>
        <v>3.54</v>
      </c>
      <c r="Y44" s="334">
        <v>4.18</v>
      </c>
      <c r="Z44" s="58">
        <f t="shared" si="6"/>
        <v>-0.62699999999999978</v>
      </c>
      <c r="AA44" s="58">
        <f t="shared" si="3"/>
        <v>268.39539649999995</v>
      </c>
      <c r="AB44" s="58"/>
      <c r="AC44" s="58">
        <f t="shared" si="4"/>
        <v>340.68765499999995</v>
      </c>
      <c r="AD44" s="58" t="e">
        <f>IF(B44&lt;&gt;0,VLOOKUP(B44,#REF!,2,FALSE),"")</f>
        <v>#REF!</v>
      </c>
      <c r="AE44" s="55">
        <v>1.9</v>
      </c>
      <c r="AF44" s="55">
        <f t="shared" si="0"/>
        <v>-73.640499999999989</v>
      </c>
    </row>
    <row r="45" spans="1:32" s="267" customFormat="1" ht="45">
      <c r="A45" s="21" t="s">
        <v>686</v>
      </c>
      <c r="B45" s="20">
        <v>83534</v>
      </c>
      <c r="C45" s="19" t="s">
        <v>49</v>
      </c>
      <c r="D45" s="21" t="s">
        <v>1914</v>
      </c>
      <c r="E45" s="21" t="s">
        <v>35</v>
      </c>
      <c r="F45" s="22">
        <v>2.15</v>
      </c>
      <c r="G45" s="22">
        <f t="shared" si="5"/>
        <v>477.23250000000007</v>
      </c>
      <c r="H45" s="22">
        <f t="shared" si="12"/>
        <v>605.17999999999995</v>
      </c>
      <c r="I45" s="147">
        <f t="shared" si="13"/>
        <v>1301.1400000000001</v>
      </c>
      <c r="J45" s="148">
        <v>477.23250000000007</v>
      </c>
      <c r="K45" s="148">
        <v>605.17999999999995</v>
      </c>
      <c r="L45" s="148">
        <v>1301.1400000000001</v>
      </c>
      <c r="M45" s="148"/>
      <c r="N45" s="148"/>
      <c r="O45" s="148"/>
      <c r="P45" s="494"/>
      <c r="Q45" s="147">
        <f t="shared" si="14"/>
        <v>0</v>
      </c>
      <c r="R45" s="148"/>
      <c r="S45" s="148">
        <f t="shared" si="15"/>
        <v>0</v>
      </c>
      <c r="T45" s="148">
        <f t="shared" si="1"/>
        <v>2.15</v>
      </c>
      <c r="U45" s="148">
        <f t="shared" si="7"/>
        <v>1301.1400000000001</v>
      </c>
      <c r="V45" s="379"/>
      <c r="W45" s="379"/>
      <c r="X45" s="268">
        <f>'COMPOSIÇÃO DE CUSTOS'!G38</f>
        <v>477.22999999999996</v>
      </c>
      <c r="Y45" s="335">
        <v>561.45000000000005</v>
      </c>
      <c r="Z45" s="58">
        <f t="shared" si="6"/>
        <v>-84.217499999999973</v>
      </c>
      <c r="AA45" s="58">
        <f t="shared" si="3"/>
        <v>1026.0498750000002</v>
      </c>
      <c r="AB45" s="58"/>
      <c r="AC45" s="58">
        <f t="shared" si="4"/>
        <v>1301.1369999999999</v>
      </c>
      <c r="AD45" s="269" t="e">
        <f>IF(B45&lt;&gt;0,VLOOKUP(B45,#REF!,2,FALSE),"")</f>
        <v>#REF!</v>
      </c>
      <c r="AE45" s="267">
        <v>227.46</v>
      </c>
      <c r="AF45" s="267">
        <f t="shared" si="0"/>
        <v>225.31</v>
      </c>
    </row>
    <row r="46" spans="1:32" s="267" customFormat="1" ht="30">
      <c r="A46" s="21" t="s">
        <v>687</v>
      </c>
      <c r="B46" s="20" t="s">
        <v>2045</v>
      </c>
      <c r="C46" s="19" t="s">
        <v>43</v>
      </c>
      <c r="D46" s="21" t="s">
        <v>1914</v>
      </c>
      <c r="E46" s="21" t="s">
        <v>26</v>
      </c>
      <c r="F46" s="22">
        <v>257.95</v>
      </c>
      <c r="G46" s="22">
        <f t="shared" si="5"/>
        <v>96.72999999999999</v>
      </c>
      <c r="H46" s="22">
        <f t="shared" si="12"/>
        <v>122.66</v>
      </c>
      <c r="I46" s="147">
        <f t="shared" si="13"/>
        <v>31640.15</v>
      </c>
      <c r="J46" s="148">
        <v>127.2</v>
      </c>
      <c r="K46" s="148">
        <v>161.30000000000001</v>
      </c>
      <c r="L46" s="148">
        <v>41607.339999999997</v>
      </c>
      <c r="M46" s="148"/>
      <c r="N46" s="148"/>
      <c r="O46" s="148"/>
      <c r="P46" s="494"/>
      <c r="Q46" s="147">
        <f t="shared" si="14"/>
        <v>0</v>
      </c>
      <c r="R46" s="148"/>
      <c r="S46" s="148">
        <f t="shared" si="15"/>
        <v>0</v>
      </c>
      <c r="T46" s="148">
        <f t="shared" si="1"/>
        <v>257.95</v>
      </c>
      <c r="U46" s="148">
        <f t="shared" si="7"/>
        <v>41607.339999999997</v>
      </c>
      <c r="V46" s="379"/>
      <c r="W46" s="379"/>
      <c r="X46" s="268">
        <f>'COMPOSIÇÃO DE CUSTOS'!G47</f>
        <v>96.72999999999999</v>
      </c>
      <c r="Y46" s="335">
        <v>113.8</v>
      </c>
      <c r="Z46" s="58">
        <f t="shared" si="6"/>
        <v>-17.070000000000007</v>
      </c>
      <c r="AA46" s="58">
        <f t="shared" si="3"/>
        <v>24951.503499999995</v>
      </c>
      <c r="AB46" s="58"/>
      <c r="AC46" s="58">
        <f t="shared" si="4"/>
        <v>31640.146999999997</v>
      </c>
      <c r="AD46" s="269" t="e">
        <f>IF(B46&lt;&gt;0,VLOOKUP(B46,#REF!,2,FALSE),"")</f>
        <v>#REF!</v>
      </c>
      <c r="AE46" s="267">
        <v>318</v>
      </c>
      <c r="AF46" s="267">
        <f t="shared" si="0"/>
        <v>60.050000000000011</v>
      </c>
    </row>
    <row r="47" spans="1:32" ht="30">
      <c r="A47" s="21" t="s">
        <v>688</v>
      </c>
      <c r="B47" s="20">
        <v>96543</v>
      </c>
      <c r="C47" s="19" t="s">
        <v>1531</v>
      </c>
      <c r="D47" s="21" t="s">
        <v>12</v>
      </c>
      <c r="E47" s="21" t="s">
        <v>45</v>
      </c>
      <c r="F47" s="22">
        <v>318</v>
      </c>
      <c r="G47" s="22">
        <f t="shared" si="5"/>
        <v>15.308500000000002</v>
      </c>
      <c r="H47" s="22">
        <f t="shared" si="12"/>
        <v>19.41</v>
      </c>
      <c r="I47" s="147">
        <f t="shared" si="13"/>
        <v>6172.38</v>
      </c>
      <c r="J47" s="148">
        <v>15.308500000000002</v>
      </c>
      <c r="K47" s="148">
        <v>19.41</v>
      </c>
      <c r="L47" s="148">
        <v>6172.38</v>
      </c>
      <c r="M47" s="148"/>
      <c r="N47" s="148"/>
      <c r="O47" s="148"/>
      <c r="P47" s="494"/>
      <c r="Q47" s="147">
        <f t="shared" si="14"/>
        <v>0</v>
      </c>
      <c r="R47" s="148"/>
      <c r="S47" s="148">
        <f t="shared" si="15"/>
        <v>0</v>
      </c>
      <c r="T47" s="148">
        <f t="shared" si="1"/>
        <v>318</v>
      </c>
      <c r="U47" s="148">
        <f t="shared" si="7"/>
        <v>6172.38</v>
      </c>
      <c r="V47" s="379"/>
      <c r="W47" s="379"/>
      <c r="X47" s="58" t="e">
        <f>IF(B47&lt;&gt;0,VLOOKUP(B47,#REF!,4,FALSE),"")</f>
        <v>#REF!</v>
      </c>
      <c r="Y47" s="334" t="s">
        <v>3100</v>
      </c>
      <c r="Z47" s="58">
        <f t="shared" si="6"/>
        <v>-2.7014999999999993</v>
      </c>
      <c r="AA47" s="58">
        <f t="shared" si="3"/>
        <v>4868.103000000001</v>
      </c>
      <c r="AB47" s="58"/>
      <c r="AC47" s="58">
        <f t="shared" si="4"/>
        <v>6172.38</v>
      </c>
      <c r="AD47" s="58" t="e">
        <f>IF(B47&lt;&gt;0,VLOOKUP(B47,#REF!,2,FALSE),"")</f>
        <v>#REF!</v>
      </c>
      <c r="AE47" s="2">
        <v>411</v>
      </c>
      <c r="AF47" s="55">
        <f t="shared" si="0"/>
        <v>93</v>
      </c>
    </row>
    <row r="48" spans="1:32" ht="45">
      <c r="A48" s="21" t="s">
        <v>3403</v>
      </c>
      <c r="B48" s="20">
        <v>96544</v>
      </c>
      <c r="C48" s="19" t="s">
        <v>1525</v>
      </c>
      <c r="D48" s="21" t="s">
        <v>12</v>
      </c>
      <c r="E48" s="21" t="s">
        <v>45</v>
      </c>
      <c r="F48" s="22">
        <v>411</v>
      </c>
      <c r="G48" s="22">
        <f t="shared" si="5"/>
        <v>14.866499999999998</v>
      </c>
      <c r="H48" s="22">
        <f t="shared" si="12"/>
        <v>18.850000000000001</v>
      </c>
      <c r="I48" s="147">
        <f t="shared" si="13"/>
        <v>7747.35</v>
      </c>
      <c r="J48" s="148">
        <v>14.866499999999998</v>
      </c>
      <c r="K48" s="148">
        <v>18.850000000000001</v>
      </c>
      <c r="L48" s="148">
        <v>7747.35</v>
      </c>
      <c r="M48" s="148"/>
      <c r="N48" s="148"/>
      <c r="O48" s="148"/>
      <c r="P48" s="494"/>
      <c r="Q48" s="147">
        <f t="shared" si="14"/>
        <v>0</v>
      </c>
      <c r="R48" s="148"/>
      <c r="S48" s="148">
        <f t="shared" si="15"/>
        <v>0</v>
      </c>
      <c r="T48" s="148">
        <f t="shared" si="1"/>
        <v>411</v>
      </c>
      <c r="U48" s="148">
        <f t="shared" si="7"/>
        <v>7747.35</v>
      </c>
      <c r="V48" s="379"/>
      <c r="W48" s="379"/>
      <c r="X48" s="58" t="e">
        <f>IF(B48&lt;&gt;0,VLOOKUP(B48,#REF!,4,FALSE),"")</f>
        <v>#REF!</v>
      </c>
      <c r="Y48" s="334" t="s">
        <v>3106</v>
      </c>
      <c r="Z48" s="58">
        <f t="shared" si="6"/>
        <v>-2.6234999999999999</v>
      </c>
      <c r="AA48" s="58">
        <f t="shared" si="3"/>
        <v>6110.1314999999995</v>
      </c>
      <c r="AB48" s="58"/>
      <c r="AC48" s="58">
        <f t="shared" si="4"/>
        <v>7747.35</v>
      </c>
      <c r="AD48" s="58" t="e">
        <f>IF(B48&lt;&gt;0,VLOOKUP(B48,#REF!,2,FALSE),"")</f>
        <v>#REF!</v>
      </c>
      <c r="AE48" s="2">
        <v>15.749999999999998</v>
      </c>
      <c r="AF48" s="55">
        <f t="shared" si="0"/>
        <v>-395.25</v>
      </c>
    </row>
    <row r="49" spans="1:32" ht="45">
      <c r="A49" s="21" t="s">
        <v>3404</v>
      </c>
      <c r="B49" s="20">
        <v>96546</v>
      </c>
      <c r="C49" s="19" t="s">
        <v>1532</v>
      </c>
      <c r="D49" s="21" t="s">
        <v>12</v>
      </c>
      <c r="E49" s="21" t="s">
        <v>45</v>
      </c>
      <c r="F49" s="22">
        <v>648</v>
      </c>
      <c r="G49" s="22">
        <f t="shared" si="5"/>
        <v>12.894500000000001</v>
      </c>
      <c r="H49" s="22">
        <f t="shared" si="12"/>
        <v>16.350000000000001</v>
      </c>
      <c r="I49" s="147">
        <f t="shared" si="13"/>
        <v>10594.8</v>
      </c>
      <c r="J49" s="148">
        <v>12.894500000000001</v>
      </c>
      <c r="K49" s="148">
        <v>16.350000000000001</v>
      </c>
      <c r="L49" s="148">
        <v>10594.8</v>
      </c>
      <c r="M49" s="148"/>
      <c r="N49" s="148"/>
      <c r="O49" s="148"/>
      <c r="P49" s="494"/>
      <c r="Q49" s="147">
        <f t="shared" si="14"/>
        <v>0</v>
      </c>
      <c r="R49" s="148"/>
      <c r="S49" s="148">
        <f t="shared" si="15"/>
        <v>0</v>
      </c>
      <c r="T49" s="148">
        <f t="shared" si="1"/>
        <v>648</v>
      </c>
      <c r="U49" s="148">
        <f t="shared" si="7"/>
        <v>10594.8</v>
      </c>
      <c r="V49" s="379"/>
      <c r="W49" s="379"/>
      <c r="X49" s="58" t="e">
        <f>IF(B49&lt;&gt;0,VLOOKUP(B49,#REF!,4,FALSE),"")</f>
        <v>#REF!</v>
      </c>
      <c r="Y49" s="334" t="s">
        <v>3168</v>
      </c>
      <c r="Z49" s="58">
        <f t="shared" si="6"/>
        <v>-2.2754999999999992</v>
      </c>
      <c r="AA49" s="58">
        <f t="shared" si="3"/>
        <v>8355.6360000000004</v>
      </c>
      <c r="AB49" s="58"/>
      <c r="AC49" s="58">
        <f t="shared" si="4"/>
        <v>10594.800000000001</v>
      </c>
      <c r="AD49" s="58" t="e">
        <f>IF(B49&lt;&gt;0,VLOOKUP(B49,#REF!,2,FALSE),"")</f>
        <v>#REF!</v>
      </c>
      <c r="AE49" s="2">
        <v>32</v>
      </c>
      <c r="AF49" s="55">
        <f t="shared" si="0"/>
        <v>-616</v>
      </c>
    </row>
    <row r="50" spans="1:32" ht="45">
      <c r="A50" s="21" t="s">
        <v>3405</v>
      </c>
      <c r="B50" s="20">
        <v>96547</v>
      </c>
      <c r="C50" s="19" t="s">
        <v>1527</v>
      </c>
      <c r="D50" s="21" t="s">
        <v>12</v>
      </c>
      <c r="E50" s="21" t="s">
        <v>45</v>
      </c>
      <c r="F50" s="22">
        <v>32</v>
      </c>
      <c r="G50" s="22">
        <f t="shared" si="5"/>
        <v>10.981999999999999</v>
      </c>
      <c r="H50" s="22">
        <f t="shared" si="12"/>
        <v>13.93</v>
      </c>
      <c r="I50" s="147">
        <f t="shared" si="13"/>
        <v>445.76</v>
      </c>
      <c r="J50" s="148">
        <v>13.969999999999999</v>
      </c>
      <c r="K50" s="148">
        <v>17.72</v>
      </c>
      <c r="L50" s="148">
        <v>567.04</v>
      </c>
      <c r="M50" s="148"/>
      <c r="N50" s="148"/>
      <c r="O50" s="148"/>
      <c r="P50" s="494"/>
      <c r="Q50" s="147">
        <f t="shared" si="14"/>
        <v>0</v>
      </c>
      <c r="R50" s="148"/>
      <c r="S50" s="148">
        <f t="shared" si="15"/>
        <v>0</v>
      </c>
      <c r="T50" s="148">
        <f t="shared" si="1"/>
        <v>32</v>
      </c>
      <c r="U50" s="148">
        <f t="shared" si="7"/>
        <v>567.04</v>
      </c>
      <c r="V50" s="379"/>
      <c r="W50" s="379"/>
      <c r="X50" s="58" t="e">
        <f>IF(B50&lt;&gt;0,VLOOKUP(B50,#REF!,4,FALSE),"")</f>
        <v>#REF!</v>
      </c>
      <c r="Y50" s="334" t="s">
        <v>3216</v>
      </c>
      <c r="Z50" s="58">
        <f t="shared" si="6"/>
        <v>-1.9380000000000006</v>
      </c>
      <c r="AA50" s="58">
        <f t="shared" si="3"/>
        <v>351.42399999999998</v>
      </c>
      <c r="AB50" s="58"/>
      <c r="AC50" s="58">
        <f t="shared" si="4"/>
        <v>445.76</v>
      </c>
      <c r="AD50" s="58" t="e">
        <f>IF(B50&lt;&gt;0,VLOOKUP(B50,#REF!,2,FALSE),"")</f>
        <v>#REF!</v>
      </c>
      <c r="AE50" s="2">
        <v>15</v>
      </c>
      <c r="AF50" s="55">
        <f t="shared" si="0"/>
        <v>-17</v>
      </c>
    </row>
    <row r="51" spans="1:32" ht="45">
      <c r="A51" s="21" t="s">
        <v>3406</v>
      </c>
      <c r="B51" s="20">
        <v>96548</v>
      </c>
      <c r="C51" s="19" t="s">
        <v>1528</v>
      </c>
      <c r="D51" s="21" t="s">
        <v>12</v>
      </c>
      <c r="E51" s="21" t="s">
        <v>45</v>
      </c>
      <c r="F51" s="22">
        <v>9</v>
      </c>
      <c r="G51" s="22">
        <f t="shared" si="5"/>
        <v>10.557</v>
      </c>
      <c r="H51" s="22">
        <f t="shared" si="12"/>
        <v>13.39</v>
      </c>
      <c r="I51" s="147">
        <f t="shared" si="13"/>
        <v>120.51</v>
      </c>
      <c r="J51" s="148">
        <v>13.55</v>
      </c>
      <c r="K51" s="148">
        <v>17.18</v>
      </c>
      <c r="L51" s="148">
        <v>154.62</v>
      </c>
      <c r="M51" s="148"/>
      <c r="N51" s="148"/>
      <c r="O51" s="148"/>
      <c r="P51" s="494"/>
      <c r="Q51" s="147">
        <f t="shared" si="14"/>
        <v>0</v>
      </c>
      <c r="R51" s="148"/>
      <c r="S51" s="148">
        <f t="shared" si="15"/>
        <v>0</v>
      </c>
      <c r="T51" s="148">
        <f t="shared" si="1"/>
        <v>9</v>
      </c>
      <c r="U51" s="148">
        <f t="shared" si="7"/>
        <v>154.62</v>
      </c>
      <c r="V51" s="379"/>
      <c r="W51" s="379"/>
      <c r="X51" s="58" t="e">
        <f>IF(B51&lt;&gt;0,VLOOKUP(B51,#REF!,4,FALSE),"")</f>
        <v>#REF!</v>
      </c>
      <c r="Y51" s="334" t="s">
        <v>3031</v>
      </c>
      <c r="Z51" s="58">
        <f t="shared" si="6"/>
        <v>-1.8629999999999995</v>
      </c>
      <c r="AA51" s="58">
        <f t="shared" si="3"/>
        <v>95.013000000000005</v>
      </c>
      <c r="AB51" s="58"/>
      <c r="AC51" s="58">
        <f t="shared" si="4"/>
        <v>120.51</v>
      </c>
      <c r="AD51" s="58" t="e">
        <f>IF(B51&lt;&gt;0,VLOOKUP(B51,#REF!,2,FALSE),"")</f>
        <v>#REF!</v>
      </c>
      <c r="AE51" s="2">
        <v>9.1</v>
      </c>
      <c r="AF51" s="55">
        <f t="shared" si="0"/>
        <v>9.9999999999999645E-2</v>
      </c>
    </row>
    <row r="52" spans="1:32" s="267" customFormat="1" ht="45">
      <c r="A52" s="21" t="s">
        <v>3407</v>
      </c>
      <c r="B52" s="20">
        <v>94966</v>
      </c>
      <c r="C52" s="19" t="s">
        <v>1530</v>
      </c>
      <c r="D52" s="21" t="s">
        <v>12</v>
      </c>
      <c r="E52" s="21" t="s">
        <v>35</v>
      </c>
      <c r="F52" s="22">
        <v>25.8</v>
      </c>
      <c r="G52" s="22">
        <f t="shared" si="5"/>
        <v>360.38300000000004</v>
      </c>
      <c r="H52" s="22">
        <f t="shared" si="12"/>
        <v>457</v>
      </c>
      <c r="I52" s="147">
        <f t="shared" si="13"/>
        <v>11790.6</v>
      </c>
      <c r="J52" s="148">
        <v>417.1699999999999</v>
      </c>
      <c r="K52" s="148">
        <v>529.01</v>
      </c>
      <c r="L52" s="148">
        <v>13648.46</v>
      </c>
      <c r="M52" s="148"/>
      <c r="N52" s="148"/>
      <c r="O52" s="148"/>
      <c r="P52" s="494"/>
      <c r="Q52" s="147">
        <f t="shared" si="14"/>
        <v>0</v>
      </c>
      <c r="R52" s="148"/>
      <c r="S52" s="148">
        <f t="shared" si="15"/>
        <v>0</v>
      </c>
      <c r="T52" s="148">
        <f t="shared" si="1"/>
        <v>25.8</v>
      </c>
      <c r="U52" s="148">
        <f t="shared" si="7"/>
        <v>13648.46</v>
      </c>
      <c r="V52" s="379"/>
      <c r="W52" s="379"/>
      <c r="X52" s="269" t="e">
        <f>IF(B52&lt;&gt;0,VLOOKUP(B52,#REF!,4,FALSE),"")</f>
        <v>#REF!</v>
      </c>
      <c r="Y52" s="335" t="s">
        <v>3217</v>
      </c>
      <c r="Z52" s="58">
        <f t="shared" si="6"/>
        <v>-63.59699999999998</v>
      </c>
      <c r="AA52" s="58">
        <f t="shared" si="3"/>
        <v>9297.881400000002</v>
      </c>
      <c r="AB52" s="58"/>
      <c r="AC52" s="58">
        <f t="shared" si="4"/>
        <v>11790.6</v>
      </c>
      <c r="AD52" s="269" t="e">
        <f>IF(B52&lt;&gt;0,VLOOKUP(B52,#REF!,2,FALSE),"")</f>
        <v>#REF!</v>
      </c>
      <c r="AE52" s="267">
        <v>40.956999999999994</v>
      </c>
      <c r="AF52" s="267">
        <f t="shared" si="0"/>
        <v>15.156999999999993</v>
      </c>
    </row>
    <row r="53" spans="1:32" s="267" customFormat="1" ht="30">
      <c r="A53" s="21" t="s">
        <v>3408</v>
      </c>
      <c r="B53" s="20" t="s">
        <v>46</v>
      </c>
      <c r="C53" s="19" t="s">
        <v>47</v>
      </c>
      <c r="D53" s="21" t="s">
        <v>1914</v>
      </c>
      <c r="E53" s="21" t="s">
        <v>35</v>
      </c>
      <c r="F53" s="22">
        <v>25.8</v>
      </c>
      <c r="G53" s="22">
        <f t="shared" si="5"/>
        <v>78.472000000000008</v>
      </c>
      <c r="H53" s="22">
        <f t="shared" si="12"/>
        <v>99.51</v>
      </c>
      <c r="I53" s="147">
        <f t="shared" si="13"/>
        <v>2567.36</v>
      </c>
      <c r="J53" s="148">
        <v>78.472000000000008</v>
      </c>
      <c r="K53" s="148">
        <v>99.51</v>
      </c>
      <c r="L53" s="148">
        <v>2567.36</v>
      </c>
      <c r="M53" s="148"/>
      <c r="N53" s="148"/>
      <c r="O53" s="148"/>
      <c r="P53" s="494"/>
      <c r="Q53" s="147">
        <f t="shared" si="14"/>
        <v>0</v>
      </c>
      <c r="R53" s="148"/>
      <c r="S53" s="148">
        <f t="shared" si="15"/>
        <v>0</v>
      </c>
      <c r="T53" s="148">
        <f t="shared" si="1"/>
        <v>25.8</v>
      </c>
      <c r="U53" s="148">
        <f t="shared" si="7"/>
        <v>2567.36</v>
      </c>
      <c r="V53" s="379"/>
      <c r="W53" s="379"/>
      <c r="X53" s="268">
        <f>'COMPOSIÇÃO DE CUSTOS'!G55</f>
        <v>78.470000000000013</v>
      </c>
      <c r="Y53" s="335">
        <v>92.320000000000007</v>
      </c>
      <c r="Z53" s="58">
        <f t="shared" si="6"/>
        <v>-13.847999999999999</v>
      </c>
      <c r="AA53" s="58">
        <f t="shared" si="3"/>
        <v>2024.5776000000003</v>
      </c>
      <c r="AB53" s="58"/>
      <c r="AC53" s="58">
        <f t="shared" si="4"/>
        <v>2567.3580000000002</v>
      </c>
      <c r="AD53" s="269" t="e">
        <f>IF(B53&lt;&gt;0,VLOOKUP(B53,#REF!,2,FALSE),"")</f>
        <v>#REF!</v>
      </c>
      <c r="AF53" s="267">
        <f t="shared" si="0"/>
        <v>-25.8</v>
      </c>
    </row>
    <row r="54" spans="1:32">
      <c r="A54" s="69" t="s">
        <v>697</v>
      </c>
      <c r="B54" s="129"/>
      <c r="C54" s="229" t="s">
        <v>50</v>
      </c>
      <c r="D54" s="230"/>
      <c r="E54" s="230"/>
      <c r="F54" s="230"/>
      <c r="G54" s="22"/>
      <c r="H54" s="230"/>
      <c r="I54" s="445"/>
      <c r="J54" s="440"/>
      <c r="K54" s="440"/>
      <c r="L54" s="440"/>
      <c r="M54" s="440"/>
      <c r="N54" s="440"/>
      <c r="O54" s="440"/>
      <c r="P54" s="492"/>
      <c r="Q54" s="445"/>
      <c r="R54" s="440"/>
      <c r="S54" s="440"/>
      <c r="T54" s="148" t="str">
        <f t="shared" si="1"/>
        <v xml:space="preserve"> </v>
      </c>
      <c r="U54" s="148">
        <f t="shared" si="7"/>
        <v>0</v>
      </c>
      <c r="V54" s="330"/>
      <c r="W54" s="330"/>
      <c r="X54" s="58" t="str">
        <f>IF(B54&lt;&gt;0,VLOOKUP(B54,#REF!,4,FALSE),"")</f>
        <v/>
      </c>
      <c r="Y54" s="334" t="s">
        <v>1891</v>
      </c>
      <c r="Z54" s="58"/>
      <c r="AA54" s="58">
        <f t="shared" si="3"/>
        <v>0</v>
      </c>
      <c r="AB54" s="58"/>
      <c r="AC54" s="58">
        <f t="shared" si="4"/>
        <v>0</v>
      </c>
      <c r="AD54" s="58" t="str">
        <f>IF(B54&lt;&gt;0,VLOOKUP(B54,#REF!,2,FALSE),"")</f>
        <v/>
      </c>
      <c r="AE54" s="2">
        <v>95.44</v>
      </c>
      <c r="AF54" s="55">
        <f t="shared" si="0"/>
        <v>95.44</v>
      </c>
    </row>
    <row r="55" spans="1:32" s="267" customFormat="1" ht="45">
      <c r="A55" s="21" t="s">
        <v>698</v>
      </c>
      <c r="B55" s="20">
        <v>97086</v>
      </c>
      <c r="C55" s="19" t="s">
        <v>1533</v>
      </c>
      <c r="D55" s="21" t="s">
        <v>12</v>
      </c>
      <c r="E55" s="21" t="s">
        <v>26</v>
      </c>
      <c r="F55" s="22">
        <v>6.56</v>
      </c>
      <c r="G55" s="22">
        <f t="shared" si="5"/>
        <v>73.618499999999997</v>
      </c>
      <c r="H55" s="22">
        <f t="shared" ref="H55:H64" si="16">ROUND(G55*(1+$X$13),2)</f>
        <v>93.36</v>
      </c>
      <c r="I55" s="147">
        <f t="shared" ref="I55:I64" si="17">ROUND(H55*F55,2)</f>
        <v>612.44000000000005</v>
      </c>
      <c r="J55" s="148">
        <v>73.618499999999997</v>
      </c>
      <c r="K55" s="148">
        <v>93.36</v>
      </c>
      <c r="L55" s="148">
        <v>612.44000000000005</v>
      </c>
      <c r="M55" s="148"/>
      <c r="N55" s="148"/>
      <c r="O55" s="148"/>
      <c r="P55" s="494"/>
      <c r="Q55" s="147">
        <f t="shared" ref="Q55:Q64" si="18">ROUND(P55*H55,2)</f>
        <v>0</v>
      </c>
      <c r="R55" s="148"/>
      <c r="S55" s="148">
        <f t="shared" ref="S55:S64" si="19">ROUND(R55*P55,2)</f>
        <v>0</v>
      </c>
      <c r="T55" s="148">
        <f t="shared" si="1"/>
        <v>6.56</v>
      </c>
      <c r="U55" s="148">
        <f t="shared" si="7"/>
        <v>612.44000000000005</v>
      </c>
      <c r="V55" s="379"/>
      <c r="W55" s="379"/>
      <c r="X55" s="269" t="e">
        <f>IF(B55&lt;&gt;0,VLOOKUP(B55,#REF!,4,FALSE),"")</f>
        <v>#REF!</v>
      </c>
      <c r="Y55" s="335" t="s">
        <v>3211</v>
      </c>
      <c r="Z55" s="58">
        <f t="shared" si="6"/>
        <v>-12.991500000000002</v>
      </c>
      <c r="AA55" s="58">
        <f t="shared" si="3"/>
        <v>482.93735999999996</v>
      </c>
      <c r="AB55" s="58"/>
      <c r="AC55" s="58">
        <f t="shared" si="4"/>
        <v>612.44159999999999</v>
      </c>
      <c r="AD55" s="269" t="e">
        <f>IF(B55&lt;&gt;0,VLOOKUP(B55,#REF!,2,FALSE),"")</f>
        <v>#REF!</v>
      </c>
      <c r="AE55" s="267">
        <v>137.04</v>
      </c>
      <c r="AF55" s="267">
        <f t="shared" si="0"/>
        <v>130.47999999999999</v>
      </c>
    </row>
    <row r="56" spans="1:32" s="267" customFormat="1" ht="45">
      <c r="A56" s="21" t="s">
        <v>699</v>
      </c>
      <c r="B56" s="20">
        <v>91005</v>
      </c>
      <c r="C56" s="19" t="s">
        <v>1534</v>
      </c>
      <c r="D56" s="21" t="s">
        <v>12</v>
      </c>
      <c r="E56" s="21" t="s">
        <v>26</v>
      </c>
      <c r="F56" s="22">
        <v>161.01</v>
      </c>
      <c r="G56" s="22">
        <f t="shared" si="5"/>
        <v>12.7075</v>
      </c>
      <c r="H56" s="22">
        <f t="shared" si="16"/>
        <v>16.11</v>
      </c>
      <c r="I56" s="147">
        <f t="shared" si="17"/>
        <v>2593.87</v>
      </c>
      <c r="J56" s="148">
        <v>12.7075</v>
      </c>
      <c r="K56" s="148">
        <v>16.11</v>
      </c>
      <c r="L56" s="148">
        <v>2593.87</v>
      </c>
      <c r="M56" s="148"/>
      <c r="N56" s="148"/>
      <c r="O56" s="148"/>
      <c r="P56" s="494"/>
      <c r="Q56" s="147">
        <f t="shared" si="18"/>
        <v>0</v>
      </c>
      <c r="R56" s="148"/>
      <c r="S56" s="148">
        <f t="shared" si="19"/>
        <v>0</v>
      </c>
      <c r="T56" s="148">
        <f t="shared" si="1"/>
        <v>161.01</v>
      </c>
      <c r="U56" s="148">
        <f t="shared" si="7"/>
        <v>2593.87</v>
      </c>
      <c r="V56" s="379"/>
      <c r="W56" s="379"/>
      <c r="X56" s="269" t="e">
        <f>IF(B56&lt;&gt;0,VLOOKUP(B56,#REF!,4,FALSE),"")</f>
        <v>#REF!</v>
      </c>
      <c r="Y56" s="335" t="s">
        <v>3147</v>
      </c>
      <c r="Z56" s="58">
        <f t="shared" si="6"/>
        <v>-2.2424999999999997</v>
      </c>
      <c r="AA56" s="58">
        <f t="shared" si="3"/>
        <v>2046.0345749999999</v>
      </c>
      <c r="AB56" s="58"/>
      <c r="AC56" s="58">
        <f t="shared" si="4"/>
        <v>2593.8710999999998</v>
      </c>
      <c r="AD56" s="269" t="e">
        <f>IF(B56&lt;&gt;0,VLOOKUP(B56,#REF!,2,FALSE),"")</f>
        <v>#REF!</v>
      </c>
      <c r="AE56" s="267">
        <v>95.44</v>
      </c>
      <c r="AF56" s="267">
        <f t="shared" si="0"/>
        <v>-65.569999999999993</v>
      </c>
    </row>
    <row r="57" spans="1:32" s="267" customFormat="1" ht="60">
      <c r="A57" s="21" t="s">
        <v>700</v>
      </c>
      <c r="B57" s="20">
        <v>92481</v>
      </c>
      <c r="C57" s="19" t="s">
        <v>1535</v>
      </c>
      <c r="D57" s="21" t="s">
        <v>1914</v>
      </c>
      <c r="E57" s="21" t="s">
        <v>26</v>
      </c>
      <c r="F57" s="22">
        <v>39.4</v>
      </c>
      <c r="G57" s="22">
        <f t="shared" si="5"/>
        <v>197.89700000000002</v>
      </c>
      <c r="H57" s="22">
        <f t="shared" si="16"/>
        <v>250.95</v>
      </c>
      <c r="I57" s="147">
        <f t="shared" si="17"/>
        <v>9887.43</v>
      </c>
      <c r="J57" s="148">
        <v>234.24</v>
      </c>
      <c r="K57" s="148">
        <v>297.04000000000002</v>
      </c>
      <c r="L57" s="148">
        <v>11703.38</v>
      </c>
      <c r="M57" s="148"/>
      <c r="N57" s="148"/>
      <c r="O57" s="148"/>
      <c r="P57" s="494"/>
      <c r="Q57" s="147">
        <f t="shared" si="18"/>
        <v>0</v>
      </c>
      <c r="R57" s="148"/>
      <c r="S57" s="148">
        <f t="shared" si="19"/>
        <v>0</v>
      </c>
      <c r="T57" s="148">
        <f t="shared" si="1"/>
        <v>39.4</v>
      </c>
      <c r="U57" s="148">
        <f t="shared" si="7"/>
        <v>11703.38</v>
      </c>
      <c r="V57" s="379"/>
      <c r="W57" s="379"/>
      <c r="X57" s="268">
        <f>'COMPOSIÇÃO DE CUSTOS'!G67</f>
        <v>197.9</v>
      </c>
      <c r="Y57" s="335">
        <v>232.82000000000002</v>
      </c>
      <c r="Z57" s="58">
        <f t="shared" si="6"/>
        <v>-34.923000000000002</v>
      </c>
      <c r="AA57" s="58">
        <f t="shared" si="3"/>
        <v>7797.1418000000003</v>
      </c>
      <c r="AB57" s="58"/>
      <c r="AC57" s="58">
        <f t="shared" si="4"/>
        <v>9887.4299999999985</v>
      </c>
      <c r="AD57" s="269" t="e">
        <f>IF(B57&lt;&gt;0,VLOOKUP(B57,#REF!,2,FALSE),"")</f>
        <v>#REF!</v>
      </c>
      <c r="AE57" s="267">
        <v>116</v>
      </c>
      <c r="AF57" s="267">
        <f t="shared" si="0"/>
        <v>76.599999999999994</v>
      </c>
    </row>
    <row r="58" spans="1:32" ht="75">
      <c r="A58" s="21" t="s">
        <v>701</v>
      </c>
      <c r="B58" s="20">
        <v>92759</v>
      </c>
      <c r="C58" s="19" t="s">
        <v>1536</v>
      </c>
      <c r="D58" s="21" t="s">
        <v>12</v>
      </c>
      <c r="E58" s="21" t="s">
        <v>45</v>
      </c>
      <c r="F58" s="22">
        <v>116</v>
      </c>
      <c r="G58" s="22">
        <f t="shared" si="5"/>
        <v>13.5915</v>
      </c>
      <c r="H58" s="22">
        <f t="shared" si="16"/>
        <v>17.239999999999998</v>
      </c>
      <c r="I58" s="147">
        <f t="shared" si="17"/>
        <v>1999.84</v>
      </c>
      <c r="J58" s="148">
        <v>13.5915</v>
      </c>
      <c r="K58" s="148">
        <v>17.239999999999998</v>
      </c>
      <c r="L58" s="148">
        <v>1999.84</v>
      </c>
      <c r="M58" s="148"/>
      <c r="N58" s="148"/>
      <c r="O58" s="148"/>
      <c r="P58" s="494"/>
      <c r="Q58" s="147">
        <f t="shared" si="18"/>
        <v>0</v>
      </c>
      <c r="R58" s="148"/>
      <c r="S58" s="148">
        <f t="shared" si="19"/>
        <v>0</v>
      </c>
      <c r="T58" s="148">
        <f t="shared" si="1"/>
        <v>116</v>
      </c>
      <c r="U58" s="148">
        <f t="shared" si="7"/>
        <v>1999.84</v>
      </c>
      <c r="V58" s="379"/>
      <c r="W58" s="379"/>
      <c r="X58" s="58" t="e">
        <f>IF(B58&lt;&gt;0,VLOOKUP(B58,#REF!,4,FALSE),"")</f>
        <v>#REF!</v>
      </c>
      <c r="Y58" s="334" t="s">
        <v>1853</v>
      </c>
      <c r="Z58" s="58">
        <f t="shared" si="6"/>
        <v>-2.3985000000000003</v>
      </c>
      <c r="AA58" s="58">
        <f t="shared" si="3"/>
        <v>1576.614</v>
      </c>
      <c r="AB58" s="58"/>
      <c r="AC58" s="58">
        <f t="shared" si="4"/>
        <v>1999.84</v>
      </c>
      <c r="AD58" s="58" t="e">
        <f>IF(B58&lt;&gt;0,VLOOKUP(B58,#REF!,2,FALSE),"")</f>
        <v>#REF!</v>
      </c>
      <c r="AE58" s="2">
        <v>716</v>
      </c>
      <c r="AF58" s="55">
        <f t="shared" si="0"/>
        <v>600</v>
      </c>
    </row>
    <row r="59" spans="1:32" ht="75">
      <c r="A59" s="21" t="s">
        <v>702</v>
      </c>
      <c r="B59" s="20">
        <v>92760</v>
      </c>
      <c r="C59" s="19" t="s">
        <v>1537</v>
      </c>
      <c r="D59" s="21" t="s">
        <v>12</v>
      </c>
      <c r="E59" s="21" t="s">
        <v>45</v>
      </c>
      <c r="F59" s="22">
        <v>716</v>
      </c>
      <c r="G59" s="22">
        <f t="shared" si="5"/>
        <v>13.5915</v>
      </c>
      <c r="H59" s="22">
        <f t="shared" si="16"/>
        <v>17.239999999999998</v>
      </c>
      <c r="I59" s="147">
        <f t="shared" si="17"/>
        <v>12343.84</v>
      </c>
      <c r="J59" s="148">
        <v>14.78</v>
      </c>
      <c r="K59" s="148">
        <v>18.739999999999998</v>
      </c>
      <c r="L59" s="148">
        <v>13417.84</v>
      </c>
      <c r="M59" s="148"/>
      <c r="N59" s="148"/>
      <c r="O59" s="148"/>
      <c r="P59" s="494"/>
      <c r="Q59" s="147">
        <f t="shared" si="18"/>
        <v>0</v>
      </c>
      <c r="R59" s="148"/>
      <c r="S59" s="148">
        <f t="shared" si="19"/>
        <v>0</v>
      </c>
      <c r="T59" s="148">
        <f t="shared" si="1"/>
        <v>716</v>
      </c>
      <c r="U59" s="148">
        <f t="shared" si="7"/>
        <v>13417.84</v>
      </c>
      <c r="V59" s="379"/>
      <c r="W59" s="379"/>
      <c r="X59" s="58" t="e">
        <f>IF(B59&lt;&gt;0,VLOOKUP(B59,#REF!,4,FALSE),"")</f>
        <v>#REF!</v>
      </c>
      <c r="Y59" s="334" t="s">
        <v>1853</v>
      </c>
      <c r="Z59" s="58">
        <f t="shared" si="6"/>
        <v>-2.3985000000000003</v>
      </c>
      <c r="AA59" s="58">
        <f t="shared" si="3"/>
        <v>9731.5139999999992</v>
      </c>
      <c r="AB59" s="58"/>
      <c r="AC59" s="58">
        <f t="shared" si="4"/>
        <v>12343.839999999998</v>
      </c>
      <c r="AD59" s="58" t="e">
        <f>IF(B59&lt;&gt;0,VLOOKUP(B59,#REF!,2,FALSE),"")</f>
        <v>#REF!</v>
      </c>
      <c r="AE59" s="2">
        <v>20</v>
      </c>
      <c r="AF59" s="55">
        <f t="shared" si="0"/>
        <v>-696</v>
      </c>
    </row>
    <row r="60" spans="1:32" ht="75">
      <c r="A60" s="21" t="s">
        <v>3409</v>
      </c>
      <c r="B60" s="20">
        <v>92762</v>
      </c>
      <c r="C60" s="19" t="s">
        <v>1539</v>
      </c>
      <c r="D60" s="21" t="s">
        <v>12</v>
      </c>
      <c r="E60" s="21" t="s">
        <v>45</v>
      </c>
      <c r="F60" s="22">
        <v>135</v>
      </c>
      <c r="G60" s="22">
        <f t="shared" si="5"/>
        <v>12.1295</v>
      </c>
      <c r="H60" s="22">
        <f t="shared" si="16"/>
        <v>15.38</v>
      </c>
      <c r="I60" s="147">
        <f t="shared" si="17"/>
        <v>2076.3000000000002</v>
      </c>
      <c r="J60" s="148">
        <v>14.259999999999998</v>
      </c>
      <c r="K60" s="148">
        <v>18.079999999999998</v>
      </c>
      <c r="L60" s="148">
        <v>2440.8000000000002</v>
      </c>
      <c r="M60" s="148"/>
      <c r="N60" s="148"/>
      <c r="O60" s="148"/>
      <c r="P60" s="494"/>
      <c r="Q60" s="147">
        <f t="shared" si="18"/>
        <v>0</v>
      </c>
      <c r="R60" s="148"/>
      <c r="S60" s="148">
        <f t="shared" si="19"/>
        <v>0</v>
      </c>
      <c r="T60" s="148">
        <f t="shared" si="1"/>
        <v>135</v>
      </c>
      <c r="U60" s="148">
        <f t="shared" si="7"/>
        <v>2440.8000000000002</v>
      </c>
      <c r="V60" s="379"/>
      <c r="W60" s="379"/>
      <c r="X60" s="58" t="e">
        <f>IF(B60&lt;&gt;0,VLOOKUP(B60,#REF!,4,FALSE),"")</f>
        <v>#REF!</v>
      </c>
      <c r="Y60" s="334" t="s">
        <v>3151</v>
      </c>
      <c r="Z60" s="58">
        <f t="shared" si="6"/>
        <v>-2.1404999999999994</v>
      </c>
      <c r="AA60" s="58">
        <f t="shared" si="3"/>
        <v>1637.4825000000001</v>
      </c>
      <c r="AB60" s="58"/>
      <c r="AC60" s="58">
        <f t="shared" si="4"/>
        <v>2076.3000000000002</v>
      </c>
      <c r="AD60" s="58" t="e">
        <f>IF(B60&lt;&gt;0,VLOOKUP(B60,#REF!,2,FALSE),"")</f>
        <v>#REF!</v>
      </c>
      <c r="AE60" s="2">
        <v>453</v>
      </c>
      <c r="AF60" s="55">
        <f t="shared" si="0"/>
        <v>318</v>
      </c>
    </row>
    <row r="61" spans="1:32" ht="75">
      <c r="A61" s="21" t="s">
        <v>3410</v>
      </c>
      <c r="B61" s="20">
        <v>92763</v>
      </c>
      <c r="C61" s="19" t="s">
        <v>1540</v>
      </c>
      <c r="D61" s="21" t="s">
        <v>12</v>
      </c>
      <c r="E61" s="21" t="s">
        <v>45</v>
      </c>
      <c r="F61" s="22">
        <v>453</v>
      </c>
      <c r="G61" s="22">
        <f t="shared" si="5"/>
        <v>10.361499999999999</v>
      </c>
      <c r="H61" s="22">
        <f t="shared" si="16"/>
        <v>13.14</v>
      </c>
      <c r="I61" s="147">
        <f t="shared" si="17"/>
        <v>5952.42</v>
      </c>
      <c r="J61" s="148">
        <v>13.25121</v>
      </c>
      <c r="K61" s="148">
        <v>16.8</v>
      </c>
      <c r="L61" s="148">
        <v>7610.4</v>
      </c>
      <c r="M61" s="148"/>
      <c r="N61" s="148"/>
      <c r="O61" s="148"/>
      <c r="P61" s="494"/>
      <c r="Q61" s="147">
        <f t="shared" si="18"/>
        <v>0</v>
      </c>
      <c r="R61" s="148"/>
      <c r="S61" s="148">
        <f t="shared" si="19"/>
        <v>0</v>
      </c>
      <c r="T61" s="148">
        <f t="shared" si="1"/>
        <v>453</v>
      </c>
      <c r="U61" s="148">
        <f t="shared" si="7"/>
        <v>7610.4</v>
      </c>
      <c r="V61" s="379"/>
      <c r="W61" s="379"/>
      <c r="X61" s="58" t="e">
        <f>IF(B61&lt;&gt;0,VLOOKUP(B61,#REF!,4,FALSE),"")</f>
        <v>#REF!</v>
      </c>
      <c r="Y61" s="334" t="s">
        <v>3131</v>
      </c>
      <c r="Z61" s="58">
        <f t="shared" si="6"/>
        <v>-1.8285</v>
      </c>
      <c r="AA61" s="58">
        <f t="shared" si="3"/>
        <v>4693.7595000000001</v>
      </c>
      <c r="AB61" s="58"/>
      <c r="AC61" s="58">
        <f t="shared" si="4"/>
        <v>5952.42</v>
      </c>
      <c r="AD61" s="58" t="e">
        <f>IF(B61&lt;&gt;0,VLOOKUP(B61,#REF!,2,FALSE),"")</f>
        <v>#REF!</v>
      </c>
      <c r="AE61" s="2">
        <v>279</v>
      </c>
      <c r="AF61" s="55">
        <f t="shared" si="0"/>
        <v>-174</v>
      </c>
    </row>
    <row r="62" spans="1:32" s="55" customFormat="1" ht="75">
      <c r="A62" s="21" t="s">
        <v>3411</v>
      </c>
      <c r="B62" s="20">
        <v>92764</v>
      </c>
      <c r="C62" s="19" t="s">
        <v>1541</v>
      </c>
      <c r="D62" s="21" t="s">
        <v>12</v>
      </c>
      <c r="E62" s="21" t="s">
        <v>45</v>
      </c>
      <c r="F62" s="22">
        <v>279</v>
      </c>
      <c r="G62" s="22">
        <f t="shared" si="5"/>
        <v>10.064</v>
      </c>
      <c r="H62" s="22">
        <f t="shared" si="16"/>
        <v>12.76</v>
      </c>
      <c r="I62" s="147">
        <f t="shared" si="17"/>
        <v>3560.04</v>
      </c>
      <c r="J62" s="148">
        <v>13.06</v>
      </c>
      <c r="K62" s="148">
        <v>16.559999999999999</v>
      </c>
      <c r="L62" s="148">
        <v>4620.24</v>
      </c>
      <c r="M62" s="148"/>
      <c r="N62" s="148"/>
      <c r="O62" s="148"/>
      <c r="P62" s="494"/>
      <c r="Q62" s="147">
        <f t="shared" si="18"/>
        <v>0</v>
      </c>
      <c r="R62" s="148"/>
      <c r="S62" s="148">
        <f t="shared" si="19"/>
        <v>0</v>
      </c>
      <c r="T62" s="148">
        <f t="shared" si="1"/>
        <v>279</v>
      </c>
      <c r="U62" s="148">
        <f t="shared" si="7"/>
        <v>4620.24</v>
      </c>
      <c r="V62" s="379"/>
      <c r="W62" s="379"/>
      <c r="X62" s="58" t="e">
        <f>IF(B62&lt;&gt;0,VLOOKUP(B62,#REF!,4,FALSE),"")</f>
        <v>#REF!</v>
      </c>
      <c r="Y62" s="334" t="s">
        <v>3041</v>
      </c>
      <c r="Z62" s="58">
        <f t="shared" si="6"/>
        <v>-1.7759999999999998</v>
      </c>
      <c r="AA62" s="58">
        <f t="shared" si="3"/>
        <v>2807.8560000000002</v>
      </c>
      <c r="AB62" s="58"/>
      <c r="AC62" s="58">
        <f t="shared" si="4"/>
        <v>3560.04</v>
      </c>
      <c r="AD62" s="58" t="e">
        <f>IF(B62&lt;&gt;0,VLOOKUP(B62,#REF!,2,FALSE),"")</f>
        <v>#REF!</v>
      </c>
      <c r="AE62" s="55">
        <v>31.27</v>
      </c>
      <c r="AF62" s="55">
        <f t="shared" si="0"/>
        <v>-247.73</v>
      </c>
    </row>
    <row r="63" spans="1:32" s="55" customFormat="1" ht="60">
      <c r="A63" s="235" t="s">
        <v>3544</v>
      </c>
      <c r="B63" s="20">
        <v>97094</v>
      </c>
      <c r="C63" s="439" t="s">
        <v>3736</v>
      </c>
      <c r="D63" s="21" t="s">
        <v>12</v>
      </c>
      <c r="E63" s="21" t="s">
        <v>35</v>
      </c>
      <c r="F63" s="22">
        <v>13.45</v>
      </c>
      <c r="G63" s="22">
        <f t="shared" si="5"/>
        <v>410.89850000000001</v>
      </c>
      <c r="H63" s="22">
        <f t="shared" si="16"/>
        <v>521.05999999999995</v>
      </c>
      <c r="I63" s="147">
        <f t="shared" si="17"/>
        <v>7008.26</v>
      </c>
      <c r="J63" s="148">
        <v>410.89850000000001</v>
      </c>
      <c r="K63" s="148">
        <v>521.05999999999995</v>
      </c>
      <c r="L63" s="148">
        <v>7008.26</v>
      </c>
      <c r="M63" s="148"/>
      <c r="N63" s="148"/>
      <c r="O63" s="148"/>
      <c r="P63" s="494"/>
      <c r="Q63" s="147">
        <f t="shared" si="18"/>
        <v>0</v>
      </c>
      <c r="R63" s="148"/>
      <c r="S63" s="148">
        <f t="shared" si="19"/>
        <v>0</v>
      </c>
      <c r="T63" s="148">
        <f t="shared" si="1"/>
        <v>13.45</v>
      </c>
      <c r="U63" s="148">
        <f t="shared" si="7"/>
        <v>7008.26</v>
      </c>
      <c r="V63" s="379"/>
      <c r="W63" s="379"/>
      <c r="X63" s="58" t="e">
        <f>IF(B63&lt;&gt;0,VLOOKUP(B63,#REF!,4,FALSE),"")</f>
        <v>#REF!</v>
      </c>
      <c r="Y63" s="334" t="s">
        <v>3212</v>
      </c>
      <c r="Z63" s="58">
        <f t="shared" si="6"/>
        <v>-72.511500000000012</v>
      </c>
      <c r="AA63" s="58">
        <f t="shared" si="3"/>
        <v>5526.5848249999999</v>
      </c>
      <c r="AB63" s="58"/>
      <c r="AC63" s="58">
        <f t="shared" si="4"/>
        <v>7008.2569999999987</v>
      </c>
      <c r="AD63" s="58" t="e">
        <f>IF(B63&lt;&gt;0,VLOOKUP(B63,#REF!,2,FALSE),"")</f>
        <v>#REF!</v>
      </c>
    </row>
    <row r="64" spans="1:32" s="267" customFormat="1" ht="78.75" customHeight="1">
      <c r="A64" s="21" t="s">
        <v>2496</v>
      </c>
      <c r="B64" s="20" t="s">
        <v>2050</v>
      </c>
      <c r="C64" s="19" t="s">
        <v>1542</v>
      </c>
      <c r="D64" s="21" t="s">
        <v>1914</v>
      </c>
      <c r="E64" s="21" t="s">
        <v>35</v>
      </c>
      <c r="F64" s="22">
        <v>17.93</v>
      </c>
      <c r="G64" s="22">
        <f t="shared" si="5"/>
        <v>394.35750000000007</v>
      </c>
      <c r="H64" s="22">
        <f t="shared" si="16"/>
        <v>500.08</v>
      </c>
      <c r="I64" s="147">
        <f t="shared" si="17"/>
        <v>8966.43</v>
      </c>
      <c r="J64" s="148">
        <v>491.9</v>
      </c>
      <c r="K64" s="148">
        <v>623.78</v>
      </c>
      <c r="L64" s="148">
        <v>11184.38</v>
      </c>
      <c r="M64" s="148"/>
      <c r="N64" s="148"/>
      <c r="O64" s="148"/>
      <c r="P64" s="494"/>
      <c r="Q64" s="147">
        <f t="shared" si="18"/>
        <v>0</v>
      </c>
      <c r="R64" s="148"/>
      <c r="S64" s="148">
        <f t="shared" si="19"/>
        <v>0</v>
      </c>
      <c r="T64" s="148">
        <f t="shared" si="1"/>
        <v>17.93</v>
      </c>
      <c r="U64" s="148">
        <f>L64+Q64-S64+O64</f>
        <v>11184.38</v>
      </c>
      <c r="V64" s="379"/>
      <c r="W64" s="379"/>
      <c r="X64" s="268">
        <f>'COMPOSIÇÃO DE CUSTOS'!G78</f>
        <v>394.36</v>
      </c>
      <c r="Y64" s="335">
        <v>463.95000000000005</v>
      </c>
      <c r="Z64" s="58">
        <f t="shared" si="6"/>
        <v>-69.592499999999973</v>
      </c>
      <c r="AA64" s="58">
        <f t="shared" si="3"/>
        <v>7070.8299750000015</v>
      </c>
      <c r="AB64" s="58"/>
      <c r="AC64" s="58">
        <f t="shared" si="4"/>
        <v>8966.4344000000001</v>
      </c>
      <c r="AD64" s="269" t="e">
        <f>IF(B64&lt;&gt;0,VLOOKUP(B64,#REF!,2,FALSE),"")</f>
        <v>#REF!</v>
      </c>
      <c r="AF64" s="267">
        <f t="shared" ref="AF64:AF95" si="20">AE64-F64</f>
        <v>-17.93</v>
      </c>
    </row>
    <row r="65" spans="1:32" s="23" customFormat="1" ht="18.75" customHeight="1">
      <c r="A65" s="21"/>
      <c r="B65" s="20"/>
      <c r="C65" s="19"/>
      <c r="D65" s="21"/>
      <c r="E65" s="21"/>
      <c r="F65" s="22"/>
      <c r="G65" s="22"/>
      <c r="H65" s="22"/>
      <c r="I65" s="147"/>
      <c r="J65" s="148"/>
      <c r="K65" s="148"/>
      <c r="L65" s="148"/>
      <c r="M65" s="148"/>
      <c r="N65" s="148"/>
      <c r="O65" s="148"/>
      <c r="P65" s="494"/>
      <c r="Q65" s="147"/>
      <c r="R65" s="148"/>
      <c r="S65" s="148"/>
      <c r="T65" s="148" t="str">
        <f t="shared" si="1"/>
        <v xml:space="preserve"> </v>
      </c>
      <c r="U65" s="148"/>
      <c r="V65" s="379"/>
      <c r="W65" s="379"/>
      <c r="X65" s="58" t="str">
        <f>IF(B65&lt;&gt;0,VLOOKUP(B65,#REF!,4,FALSE),"")</f>
        <v/>
      </c>
      <c r="Y65" s="334" t="s">
        <v>1891</v>
      </c>
      <c r="Z65" s="58"/>
      <c r="AA65" s="58">
        <f t="shared" si="3"/>
        <v>0</v>
      </c>
      <c r="AB65" s="58"/>
      <c r="AC65" s="58">
        <f t="shared" si="4"/>
        <v>0</v>
      </c>
      <c r="AD65" s="58" t="str">
        <f>IF(B65&lt;&gt;0,VLOOKUP(B65,#REF!,2,FALSE),"")</f>
        <v/>
      </c>
      <c r="AF65" s="55">
        <f t="shared" si="20"/>
        <v>0</v>
      </c>
    </row>
    <row r="66" spans="1:32" ht="21.75" customHeight="1">
      <c r="A66" s="69" t="s">
        <v>707</v>
      </c>
      <c r="B66" s="129"/>
      <c r="C66" s="229" t="s">
        <v>51</v>
      </c>
      <c r="D66" s="230"/>
      <c r="E66" s="230"/>
      <c r="F66" s="230"/>
      <c r="G66" s="22"/>
      <c r="H66" s="230"/>
      <c r="I66" s="445">
        <f>ROUND(SUM(I67:I80),2)</f>
        <v>341722.6</v>
      </c>
      <c r="J66" s="440"/>
      <c r="K66" s="440"/>
      <c r="L66" s="440">
        <v>163129.51999999999</v>
      </c>
      <c r="M66" s="440"/>
      <c r="N66" s="440"/>
      <c r="O66" s="440">
        <v>255514.02</v>
      </c>
      <c r="P66" s="492"/>
      <c r="Q66" s="445">
        <f>ROUND(SUM(Q67:Q80),2)</f>
        <v>17036.89</v>
      </c>
      <c r="R66" s="440"/>
      <c r="S66" s="440">
        <f>ROUND(SUM(S67:S80),2)</f>
        <v>165250.26</v>
      </c>
      <c r="T66" s="148" t="str">
        <f t="shared" si="1"/>
        <v xml:space="preserve"> </v>
      </c>
      <c r="U66" s="440">
        <f>L66+Q66-S66+O66</f>
        <v>270430.16999999993</v>
      </c>
      <c r="V66" s="330"/>
      <c r="W66" s="330"/>
      <c r="X66" s="58" t="str">
        <f>IF(B66&lt;&gt;0,VLOOKUP(B66,#REF!,4,FALSE),"")</f>
        <v/>
      </c>
      <c r="Y66" s="334" t="s">
        <v>1891</v>
      </c>
      <c r="Z66" s="58"/>
      <c r="AA66" s="58">
        <f t="shared" si="3"/>
        <v>0</v>
      </c>
      <c r="AB66" s="58"/>
      <c r="AC66" s="58">
        <f t="shared" si="4"/>
        <v>0</v>
      </c>
      <c r="AD66" s="58" t="str">
        <f>IF(B66&lt;&gt;0,VLOOKUP(B66,#REF!,2,FALSE),"")</f>
        <v/>
      </c>
      <c r="AE66" s="2">
        <v>2087.2800000000002</v>
      </c>
      <c r="AF66" s="55">
        <f t="shared" si="20"/>
        <v>2087.2800000000002</v>
      </c>
    </row>
    <row r="67" spans="1:32" s="38" customFormat="1" ht="90">
      <c r="A67" s="447" t="s">
        <v>708</v>
      </c>
      <c r="B67" s="448">
        <v>87508</v>
      </c>
      <c r="C67" s="449" t="s">
        <v>1543</v>
      </c>
      <c r="D67" s="447" t="s">
        <v>12</v>
      </c>
      <c r="E67" s="447" t="s">
        <v>26</v>
      </c>
      <c r="F67" s="450">
        <v>2087.2800000000002</v>
      </c>
      <c r="G67" s="450">
        <f t="shared" si="5"/>
        <v>60.987499999999997</v>
      </c>
      <c r="H67" s="450">
        <f t="shared" ref="H67:H80" si="21">ROUND(G67*(1+$X$13),2)</f>
        <v>77.34</v>
      </c>
      <c r="I67" s="451">
        <f t="shared" ref="I67:I80" si="22">ROUND(H67*F67,2)</f>
        <v>161430.24</v>
      </c>
      <c r="J67" s="452">
        <v>60.987499999999997</v>
      </c>
      <c r="K67" s="452">
        <v>77.34</v>
      </c>
      <c r="L67" s="452">
        <v>121072.68</v>
      </c>
      <c r="M67" s="452">
        <v>76.849999999999994</v>
      </c>
      <c r="N67" s="452">
        <v>97.45</v>
      </c>
      <c r="O67" s="452">
        <v>50851.360000000001</v>
      </c>
      <c r="P67" s="493"/>
      <c r="Q67" s="451">
        <f>ROUND(P67*N67,2)</f>
        <v>0</v>
      </c>
      <c r="R67" s="452">
        <f>2087.28-1186.86</f>
        <v>900.4200000000003</v>
      </c>
      <c r="S67" s="452">
        <f>ROUND(R67*N67,2)</f>
        <v>87745.93</v>
      </c>
      <c r="T67" s="452">
        <f t="shared" si="1"/>
        <v>1186.8599999999999</v>
      </c>
      <c r="U67" s="452">
        <f>L67+Q67-S67+O67</f>
        <v>84178.11</v>
      </c>
      <c r="V67" s="453"/>
      <c r="W67" s="453"/>
      <c r="X67" s="39" t="e">
        <f>IF(B67&lt;&gt;0,VLOOKUP(B67,#REF!,4,FALSE),"")</f>
        <v>#REF!</v>
      </c>
      <c r="Y67" s="336" t="s">
        <v>3179</v>
      </c>
      <c r="Z67" s="39">
        <f t="shared" si="6"/>
        <v>-10.762500000000003</v>
      </c>
      <c r="AA67" s="39">
        <f t="shared" si="3"/>
        <v>127297.989</v>
      </c>
      <c r="AB67" s="39"/>
      <c r="AC67" s="39">
        <f t="shared" si="4"/>
        <v>161430.23520000002</v>
      </c>
      <c r="AD67" s="39" t="e">
        <f>IF(B67&lt;&gt;0,VLOOKUP(B67,#REF!,2,FALSE),"")</f>
        <v>#REF!</v>
      </c>
      <c r="AE67" s="38">
        <v>575.76</v>
      </c>
      <c r="AF67" s="38">
        <f t="shared" si="20"/>
        <v>-1511.5200000000002</v>
      </c>
    </row>
    <row r="68" spans="1:32" s="38" customFormat="1" ht="33.75" customHeight="1">
      <c r="A68" s="447" t="s">
        <v>709</v>
      </c>
      <c r="B68" s="448">
        <v>93202</v>
      </c>
      <c r="C68" s="449" t="s">
        <v>1544</v>
      </c>
      <c r="D68" s="447" t="s">
        <v>12</v>
      </c>
      <c r="E68" s="447" t="s">
        <v>52</v>
      </c>
      <c r="F68" s="450">
        <v>575.76</v>
      </c>
      <c r="G68" s="450">
        <f t="shared" si="5"/>
        <v>17.713999999999999</v>
      </c>
      <c r="H68" s="450">
        <f t="shared" si="21"/>
        <v>22.46</v>
      </c>
      <c r="I68" s="451">
        <f t="shared" si="22"/>
        <v>12931.57</v>
      </c>
      <c r="J68" s="452">
        <v>17.713999999999999</v>
      </c>
      <c r="K68" s="452">
        <v>22.46</v>
      </c>
      <c r="L68" s="452">
        <v>9698.68</v>
      </c>
      <c r="M68" s="452">
        <v>19.73</v>
      </c>
      <c r="N68" s="452">
        <v>25.02</v>
      </c>
      <c r="O68" s="452">
        <v>3601.38</v>
      </c>
      <c r="P68" s="493">
        <f>-(F68-586.85)</f>
        <v>11.090000000000032</v>
      </c>
      <c r="Q68" s="451">
        <f t="shared" ref="Q68:Q80" si="23">ROUND(P68*N68,2)</f>
        <v>277.47000000000003</v>
      </c>
      <c r="R68" s="452"/>
      <c r="S68" s="452">
        <f t="shared" ref="S68:S80" si="24">ROUND(R68*N68,2)</f>
        <v>0</v>
      </c>
      <c r="T68" s="452">
        <f t="shared" si="1"/>
        <v>586.85</v>
      </c>
      <c r="U68" s="452">
        <f t="shared" ref="U68:U80" si="25">L68+Q68-S68+O68</f>
        <v>13577.529999999999</v>
      </c>
      <c r="V68" s="453"/>
      <c r="W68" s="453"/>
      <c r="X68" s="39" t="e">
        <f>IF(B68&lt;&gt;0,VLOOKUP(B68,#REF!,4,FALSE),"")</f>
        <v>#REF!</v>
      </c>
      <c r="Y68" s="336" t="s">
        <v>3137</v>
      </c>
      <c r="Z68" s="39">
        <f t="shared" si="6"/>
        <v>-3.1260000000000012</v>
      </c>
      <c r="AA68" s="39">
        <f t="shared" si="3"/>
        <v>10199.012639999999</v>
      </c>
      <c r="AB68" s="39"/>
      <c r="AC68" s="39">
        <f t="shared" si="4"/>
        <v>12931.569600000001</v>
      </c>
      <c r="AD68" s="39" t="e">
        <f>IF(B68&lt;&gt;0,VLOOKUP(B68,#REF!,2,FALSE),"")</f>
        <v>#REF!</v>
      </c>
      <c r="AE68" s="38">
        <v>124.32</v>
      </c>
      <c r="AF68" s="38">
        <f t="shared" si="20"/>
        <v>-451.44</v>
      </c>
    </row>
    <row r="69" spans="1:32" s="38" customFormat="1" ht="75">
      <c r="A69" s="454" t="s">
        <v>3548</v>
      </c>
      <c r="B69" s="448">
        <v>96363</v>
      </c>
      <c r="C69" s="449" t="s">
        <v>3737</v>
      </c>
      <c r="D69" s="447" t="s">
        <v>12</v>
      </c>
      <c r="E69" s="447" t="s">
        <v>26</v>
      </c>
      <c r="F69" s="450">
        <v>124.32</v>
      </c>
      <c r="G69" s="450">
        <f t="shared" si="5"/>
        <v>86.674499999999995</v>
      </c>
      <c r="H69" s="450">
        <f t="shared" si="21"/>
        <v>109.91</v>
      </c>
      <c r="I69" s="451">
        <f t="shared" si="22"/>
        <v>13664.01</v>
      </c>
      <c r="J69" s="452"/>
      <c r="K69" s="452"/>
      <c r="L69" s="452"/>
      <c r="M69" s="452">
        <v>96.56</v>
      </c>
      <c r="N69" s="452">
        <v>122.45</v>
      </c>
      <c r="O69" s="452">
        <v>15222.98</v>
      </c>
      <c r="P69" s="493"/>
      <c r="Q69" s="451">
        <f t="shared" si="23"/>
        <v>0</v>
      </c>
      <c r="R69" s="452">
        <f>F69</f>
        <v>124.32</v>
      </c>
      <c r="S69" s="452">
        <f t="shared" si="24"/>
        <v>15222.98</v>
      </c>
      <c r="T69" s="452">
        <f t="shared" si="1"/>
        <v>0</v>
      </c>
      <c r="U69" s="452">
        <f t="shared" si="25"/>
        <v>0</v>
      </c>
      <c r="V69" s="453"/>
      <c r="W69" s="453"/>
      <c r="X69" s="39" t="e">
        <f>IF(B69&lt;&gt;0,VLOOKUP(B69,#REF!,4,FALSE),"")</f>
        <v>#REF!</v>
      </c>
      <c r="Y69" s="336" t="s">
        <v>3307</v>
      </c>
      <c r="Z69" s="39">
        <f t="shared" si="6"/>
        <v>-15.295500000000004</v>
      </c>
      <c r="AA69" s="39">
        <f t="shared" si="3"/>
        <v>10775.373839999998</v>
      </c>
      <c r="AB69" s="39"/>
      <c r="AC69" s="39">
        <f t="shared" si="4"/>
        <v>13664.011199999999</v>
      </c>
      <c r="AD69" s="39" t="e">
        <f>IF(B69&lt;&gt;0,VLOOKUP(B69,#REF!,2,FALSE),"")</f>
        <v>#REF!</v>
      </c>
      <c r="AE69" s="38">
        <v>850.18</v>
      </c>
      <c r="AF69" s="38">
        <f t="shared" si="20"/>
        <v>725.8599999999999</v>
      </c>
    </row>
    <row r="70" spans="1:32" s="38" customFormat="1" ht="75">
      <c r="A70" s="454" t="s">
        <v>3549</v>
      </c>
      <c r="B70" s="448">
        <v>96359</v>
      </c>
      <c r="C70" s="449" t="s">
        <v>3767</v>
      </c>
      <c r="D70" s="447" t="s">
        <v>12</v>
      </c>
      <c r="E70" s="447" t="s">
        <v>26</v>
      </c>
      <c r="F70" s="450">
        <v>850.18</v>
      </c>
      <c r="G70" s="450">
        <f t="shared" si="5"/>
        <v>72.658000000000001</v>
      </c>
      <c r="H70" s="450">
        <f t="shared" si="21"/>
        <v>92.14</v>
      </c>
      <c r="I70" s="451">
        <f t="shared" si="22"/>
        <v>78335.59</v>
      </c>
      <c r="J70" s="452"/>
      <c r="K70" s="452"/>
      <c r="L70" s="452"/>
      <c r="M70" s="452">
        <v>127.94</v>
      </c>
      <c r="N70" s="452">
        <v>162.24</v>
      </c>
      <c r="O70" s="452">
        <v>137933.20000000001</v>
      </c>
      <c r="P70" s="493"/>
      <c r="Q70" s="451">
        <f t="shared" si="23"/>
        <v>0</v>
      </c>
      <c r="R70" s="452">
        <f>F70-480.96</f>
        <v>369.21999999999997</v>
      </c>
      <c r="S70" s="452">
        <f t="shared" si="24"/>
        <v>59902.25</v>
      </c>
      <c r="T70" s="452">
        <f t="shared" si="1"/>
        <v>480.96</v>
      </c>
      <c r="U70" s="452">
        <f t="shared" si="25"/>
        <v>78030.950000000012</v>
      </c>
      <c r="V70" s="453"/>
      <c r="W70" s="453"/>
      <c r="X70" s="39" t="e">
        <f>IF(B70&lt;&gt;0,VLOOKUP(B70,#REF!,4,FALSE),"")</f>
        <v>#REF!</v>
      </c>
      <c r="Y70" s="336" t="s">
        <v>3301</v>
      </c>
      <c r="Z70" s="39">
        <f t="shared" si="6"/>
        <v>-12.822000000000003</v>
      </c>
      <c r="AA70" s="39">
        <f t="shared" si="3"/>
        <v>61772.37844</v>
      </c>
      <c r="AB70" s="39"/>
      <c r="AC70" s="39">
        <f t="shared" si="4"/>
        <v>78335.585200000001</v>
      </c>
      <c r="AD70" s="39" t="e">
        <f>IF(B70&lt;&gt;0,VLOOKUP(B70,#REF!,2,FALSE),"")</f>
        <v>#REF!</v>
      </c>
      <c r="AE70" s="38">
        <v>55.005999999999993</v>
      </c>
      <c r="AF70" s="38">
        <f t="shared" si="20"/>
        <v>-795.17399999999998</v>
      </c>
    </row>
    <row r="71" spans="1:32" s="38" customFormat="1" ht="30">
      <c r="A71" s="21" t="s">
        <v>711</v>
      </c>
      <c r="B71" s="20">
        <v>93188</v>
      </c>
      <c r="C71" s="19" t="s">
        <v>1545</v>
      </c>
      <c r="D71" s="21" t="s">
        <v>12</v>
      </c>
      <c r="E71" s="21" t="s">
        <v>52</v>
      </c>
      <c r="F71" s="22">
        <v>55.005999999999993</v>
      </c>
      <c r="G71" s="22">
        <f t="shared" si="5"/>
        <v>55.173499999999997</v>
      </c>
      <c r="H71" s="22">
        <f t="shared" si="21"/>
        <v>69.97</v>
      </c>
      <c r="I71" s="147">
        <f t="shared" si="22"/>
        <v>3848.77</v>
      </c>
      <c r="J71" s="148">
        <v>55.173499999999997</v>
      </c>
      <c r="K71" s="148">
        <v>69.97</v>
      </c>
      <c r="L71" s="148">
        <v>3079.02</v>
      </c>
      <c r="M71" s="148">
        <v>61.46</v>
      </c>
      <c r="N71" s="148">
        <v>77.94</v>
      </c>
      <c r="O71" s="148">
        <v>857.43</v>
      </c>
      <c r="P71" s="494"/>
      <c r="Q71" s="147">
        <f t="shared" si="23"/>
        <v>0</v>
      </c>
      <c r="R71" s="148"/>
      <c r="S71" s="148">
        <f t="shared" si="24"/>
        <v>0</v>
      </c>
      <c r="T71" s="148">
        <f t="shared" si="1"/>
        <v>55.005999999999993</v>
      </c>
      <c r="U71" s="148">
        <f t="shared" si="25"/>
        <v>3936.45</v>
      </c>
      <c r="V71" s="453"/>
      <c r="W71" s="453"/>
      <c r="X71" s="39" t="e">
        <f>IF(B71&lt;&gt;0,VLOOKUP(B71,#REF!,4,FALSE),"")</f>
        <v>#REF!</v>
      </c>
      <c r="Y71" s="336" t="s">
        <v>3170</v>
      </c>
      <c r="Z71" s="39">
        <f t="shared" si="6"/>
        <v>-9.7364999999999995</v>
      </c>
      <c r="AA71" s="39">
        <f t="shared" si="3"/>
        <v>3034.8735409999995</v>
      </c>
      <c r="AB71" s="39"/>
      <c r="AC71" s="39">
        <f t="shared" si="4"/>
        <v>3848.7698199999995</v>
      </c>
      <c r="AD71" s="39" t="e">
        <f>IF(B71&lt;&gt;0,VLOOKUP(B71,#REF!,2,FALSE),"")</f>
        <v>#REF!</v>
      </c>
      <c r="AE71" s="38">
        <v>29.175999999999998</v>
      </c>
      <c r="AF71" s="38">
        <f t="shared" si="20"/>
        <v>-25.829999999999995</v>
      </c>
    </row>
    <row r="72" spans="1:32" s="38" customFormat="1" ht="30">
      <c r="A72" s="21" t="s">
        <v>712</v>
      </c>
      <c r="B72" s="20">
        <v>93189</v>
      </c>
      <c r="C72" s="19" t="s">
        <v>1546</v>
      </c>
      <c r="D72" s="21" t="s">
        <v>12</v>
      </c>
      <c r="E72" s="21" t="s">
        <v>52</v>
      </c>
      <c r="F72" s="22">
        <v>29.175999999999998</v>
      </c>
      <c r="G72" s="22">
        <f t="shared" si="5"/>
        <v>70.133499999999998</v>
      </c>
      <c r="H72" s="22">
        <f t="shared" si="21"/>
        <v>88.94</v>
      </c>
      <c r="I72" s="147">
        <f t="shared" si="22"/>
        <v>2594.91</v>
      </c>
      <c r="J72" s="148">
        <v>70.133499999999998</v>
      </c>
      <c r="K72" s="148">
        <v>88.94</v>
      </c>
      <c r="L72" s="148">
        <v>2075.9299999999998</v>
      </c>
      <c r="M72" s="148">
        <v>78.13</v>
      </c>
      <c r="N72" s="148">
        <v>99.08</v>
      </c>
      <c r="O72" s="148">
        <v>578.15</v>
      </c>
      <c r="P72" s="494"/>
      <c r="Q72" s="147">
        <f t="shared" si="23"/>
        <v>0</v>
      </c>
      <c r="R72" s="148"/>
      <c r="S72" s="148">
        <f t="shared" si="24"/>
        <v>0</v>
      </c>
      <c r="T72" s="148">
        <f t="shared" si="1"/>
        <v>29.175999999999998</v>
      </c>
      <c r="U72" s="148">
        <f t="shared" si="25"/>
        <v>2654.08</v>
      </c>
      <c r="V72" s="453"/>
      <c r="W72" s="453"/>
      <c r="X72" s="39" t="e">
        <f>IF(B72&lt;&gt;0,VLOOKUP(B72,#REF!,4,FALSE),"")</f>
        <v>#REF!</v>
      </c>
      <c r="Y72" s="336" t="s">
        <v>3218</v>
      </c>
      <c r="Z72" s="39">
        <f t="shared" si="6"/>
        <v>-12.376500000000007</v>
      </c>
      <c r="AA72" s="39">
        <f t="shared" si="3"/>
        <v>2046.2149959999999</v>
      </c>
      <c r="AB72" s="39"/>
      <c r="AC72" s="39">
        <f t="shared" si="4"/>
        <v>2594.9134399999998</v>
      </c>
      <c r="AD72" s="39" t="e">
        <f>IF(B72&lt;&gt;0,VLOOKUP(B72,#REF!,2,FALSE),"")</f>
        <v>#REF!</v>
      </c>
      <c r="AE72" s="38">
        <v>39.039000000000001</v>
      </c>
      <c r="AF72" s="38">
        <f t="shared" si="20"/>
        <v>9.8630000000000031</v>
      </c>
    </row>
    <row r="73" spans="1:32" ht="30">
      <c r="A73" s="21" t="s">
        <v>713</v>
      </c>
      <c r="B73" s="20">
        <v>93186</v>
      </c>
      <c r="C73" s="19" t="s">
        <v>1547</v>
      </c>
      <c r="D73" s="21" t="s">
        <v>12</v>
      </c>
      <c r="E73" s="21" t="s">
        <v>52</v>
      </c>
      <c r="F73" s="22">
        <v>39.039000000000001</v>
      </c>
      <c r="G73" s="22">
        <f t="shared" si="5"/>
        <v>59.729499999999994</v>
      </c>
      <c r="H73" s="22">
        <f t="shared" si="21"/>
        <v>75.739999999999995</v>
      </c>
      <c r="I73" s="147">
        <f t="shared" si="22"/>
        <v>2956.81</v>
      </c>
      <c r="J73" s="148">
        <v>59.729499999999994</v>
      </c>
      <c r="K73" s="148">
        <v>75.739999999999995</v>
      </c>
      <c r="L73" s="148">
        <v>2365.4499999999998</v>
      </c>
      <c r="M73" s="148">
        <v>66.540000000000006</v>
      </c>
      <c r="N73" s="148">
        <v>84.38</v>
      </c>
      <c r="O73" s="148">
        <v>658.82</v>
      </c>
      <c r="P73" s="494"/>
      <c r="Q73" s="147">
        <f t="shared" si="23"/>
        <v>0</v>
      </c>
      <c r="R73" s="148"/>
      <c r="S73" s="148">
        <f t="shared" si="24"/>
        <v>0</v>
      </c>
      <c r="T73" s="148">
        <f t="shared" si="1"/>
        <v>39.039000000000001</v>
      </c>
      <c r="U73" s="148">
        <f t="shared" si="25"/>
        <v>3024.27</v>
      </c>
      <c r="V73" s="379"/>
      <c r="W73" s="379"/>
      <c r="X73" s="58" t="e">
        <f>IF(B73&lt;&gt;0,VLOOKUP(B73,#REF!,4,FALSE),"")</f>
        <v>#REF!</v>
      </c>
      <c r="Y73" s="334" t="s">
        <v>3136</v>
      </c>
      <c r="Z73" s="58">
        <f t="shared" si="6"/>
        <v>-10.540500000000002</v>
      </c>
      <c r="AA73" s="58">
        <f t="shared" si="3"/>
        <v>2331.7799504999998</v>
      </c>
      <c r="AB73" s="58"/>
      <c r="AC73" s="58">
        <f t="shared" si="4"/>
        <v>2956.8138599999997</v>
      </c>
      <c r="AD73" s="58" t="e">
        <f>IF(B73&lt;&gt;0,VLOOKUP(B73,#REF!,2,FALSE),"")</f>
        <v>#REF!</v>
      </c>
      <c r="AE73" s="2">
        <v>37.17</v>
      </c>
      <c r="AF73" s="55">
        <f t="shared" si="20"/>
        <v>-1.8689999999999998</v>
      </c>
    </row>
    <row r="74" spans="1:32" ht="45">
      <c r="A74" s="21" t="s">
        <v>714</v>
      </c>
      <c r="B74" s="20">
        <v>93196</v>
      </c>
      <c r="C74" s="19" t="s">
        <v>1548</v>
      </c>
      <c r="D74" s="21" t="s">
        <v>12</v>
      </c>
      <c r="E74" s="21" t="s">
        <v>52</v>
      </c>
      <c r="F74" s="22">
        <v>37.17</v>
      </c>
      <c r="G74" s="22">
        <f t="shared" si="5"/>
        <v>57.808500000000002</v>
      </c>
      <c r="H74" s="22">
        <f t="shared" si="21"/>
        <v>73.31</v>
      </c>
      <c r="I74" s="147">
        <f t="shared" si="22"/>
        <v>2724.93</v>
      </c>
      <c r="J74" s="148">
        <v>57.808500000000002</v>
      </c>
      <c r="K74" s="148">
        <v>73.31</v>
      </c>
      <c r="L74" s="148">
        <v>2179.9499999999998</v>
      </c>
      <c r="M74" s="148">
        <v>64.400000000000006</v>
      </c>
      <c r="N74" s="148">
        <v>81.67</v>
      </c>
      <c r="O74" s="148">
        <v>607.13</v>
      </c>
      <c r="P74" s="494"/>
      <c r="Q74" s="147">
        <f t="shared" si="23"/>
        <v>0</v>
      </c>
      <c r="R74" s="148"/>
      <c r="S74" s="148">
        <f t="shared" si="24"/>
        <v>0</v>
      </c>
      <c r="T74" s="148">
        <f t="shared" si="1"/>
        <v>37.17</v>
      </c>
      <c r="U74" s="148">
        <f t="shared" si="25"/>
        <v>2787.08</v>
      </c>
      <c r="V74" s="379"/>
      <c r="W74" s="379"/>
      <c r="X74" s="58" t="e">
        <f>IF(B74&lt;&gt;0,VLOOKUP(B74,#REF!,4,FALSE),"")</f>
        <v>#REF!</v>
      </c>
      <c r="Y74" s="334" t="s">
        <v>3219</v>
      </c>
      <c r="Z74" s="58">
        <f t="shared" si="6"/>
        <v>-10.201500000000003</v>
      </c>
      <c r="AA74" s="58">
        <f t="shared" si="3"/>
        <v>2148.7419450000002</v>
      </c>
      <c r="AB74" s="58"/>
      <c r="AC74" s="58">
        <f t="shared" si="4"/>
        <v>2724.9327000000003</v>
      </c>
      <c r="AD74" s="58" t="e">
        <f>IF(B74&lt;&gt;0,VLOOKUP(B74,#REF!,2,FALSE),"")</f>
        <v>#REF!</v>
      </c>
      <c r="AE74" s="2">
        <v>184.09299999999999</v>
      </c>
      <c r="AF74" s="55">
        <f t="shared" si="20"/>
        <v>146.923</v>
      </c>
    </row>
    <row r="75" spans="1:32" s="55" customFormat="1" ht="30">
      <c r="A75" s="21" t="s">
        <v>715</v>
      </c>
      <c r="B75" s="20">
        <v>93187</v>
      </c>
      <c r="C75" s="19" t="s">
        <v>1549</v>
      </c>
      <c r="D75" s="21" t="s">
        <v>12</v>
      </c>
      <c r="E75" s="21" t="s">
        <v>52</v>
      </c>
      <c r="F75" s="22">
        <v>184.09299999999999</v>
      </c>
      <c r="G75" s="22">
        <f t="shared" si="5"/>
        <v>69.478999999999999</v>
      </c>
      <c r="H75" s="22">
        <f t="shared" si="21"/>
        <v>88.11</v>
      </c>
      <c r="I75" s="147">
        <f t="shared" si="22"/>
        <v>16220.43</v>
      </c>
      <c r="J75" s="148">
        <v>69.478999999999999</v>
      </c>
      <c r="K75" s="148">
        <v>88.11</v>
      </c>
      <c r="L75" s="148">
        <v>12976.35</v>
      </c>
      <c r="M75" s="148">
        <v>77.400000000000006</v>
      </c>
      <c r="N75" s="148">
        <v>98.15</v>
      </c>
      <c r="O75" s="148">
        <v>3613.75</v>
      </c>
      <c r="P75" s="494"/>
      <c r="Q75" s="147">
        <f t="shared" si="23"/>
        <v>0</v>
      </c>
      <c r="R75" s="148"/>
      <c r="S75" s="148">
        <f t="shared" si="24"/>
        <v>0</v>
      </c>
      <c r="T75" s="148">
        <f t="shared" si="1"/>
        <v>184.09299999999999</v>
      </c>
      <c r="U75" s="148">
        <f t="shared" si="25"/>
        <v>16590.099999999999</v>
      </c>
      <c r="V75" s="379"/>
      <c r="W75" s="379"/>
      <c r="X75" s="58" t="e">
        <f>IF(B75&lt;&gt;0,VLOOKUP(B75,#REF!,4,FALSE),"")</f>
        <v>#REF!</v>
      </c>
      <c r="Y75" s="334" t="s">
        <v>3164</v>
      </c>
      <c r="Z75" s="58">
        <f t="shared" si="6"/>
        <v>-12.260999999999996</v>
      </c>
      <c r="AA75" s="58">
        <f t="shared" si="3"/>
        <v>12790.597546999999</v>
      </c>
      <c r="AB75" s="58"/>
      <c r="AC75" s="58">
        <f t="shared" si="4"/>
        <v>16220.434229999999</v>
      </c>
      <c r="AD75" s="58" t="e">
        <f>IF(B75&lt;&gt;0,VLOOKUP(B75,#REF!,2,FALSE),"")</f>
        <v>#REF!</v>
      </c>
      <c r="AE75" s="55">
        <v>147.36750000000001</v>
      </c>
      <c r="AF75" s="55">
        <f t="shared" si="20"/>
        <v>-36.725499999999982</v>
      </c>
    </row>
    <row r="76" spans="1:32" s="55" customFormat="1" ht="45">
      <c r="A76" s="21" t="s">
        <v>716</v>
      </c>
      <c r="B76" s="20">
        <v>93197</v>
      </c>
      <c r="C76" s="19" t="s">
        <v>1550</v>
      </c>
      <c r="D76" s="21" t="s">
        <v>12</v>
      </c>
      <c r="E76" s="21" t="s">
        <v>52</v>
      </c>
      <c r="F76" s="22">
        <v>147.36750000000001</v>
      </c>
      <c r="G76" s="22">
        <f t="shared" si="5"/>
        <v>64.761499999999998</v>
      </c>
      <c r="H76" s="22">
        <f t="shared" si="21"/>
        <v>82.12</v>
      </c>
      <c r="I76" s="147">
        <f t="shared" si="22"/>
        <v>12101.82</v>
      </c>
      <c r="J76" s="148">
        <v>64.761499999999998</v>
      </c>
      <c r="K76" s="148">
        <v>82.12</v>
      </c>
      <c r="L76" s="148">
        <v>9681.4599999999991</v>
      </c>
      <c r="M76" s="148">
        <v>72.14</v>
      </c>
      <c r="N76" s="148">
        <v>91.48</v>
      </c>
      <c r="O76" s="148">
        <v>2696.24</v>
      </c>
      <c r="P76" s="494"/>
      <c r="Q76" s="147">
        <f t="shared" si="23"/>
        <v>0</v>
      </c>
      <c r="R76" s="148"/>
      <c r="S76" s="148">
        <f t="shared" si="24"/>
        <v>0</v>
      </c>
      <c r="T76" s="148">
        <f t="shared" si="1"/>
        <v>147.36750000000001</v>
      </c>
      <c r="U76" s="148">
        <f t="shared" si="25"/>
        <v>12377.699999999999</v>
      </c>
      <c r="V76" s="379"/>
      <c r="W76" s="379"/>
      <c r="X76" s="58" t="e">
        <f>IF(B76&lt;&gt;0,VLOOKUP(B76,#REF!,4,FALSE),"")</f>
        <v>#REF!</v>
      </c>
      <c r="Y76" s="334" t="s">
        <v>3220</v>
      </c>
      <c r="Z76" s="58">
        <f t="shared" si="6"/>
        <v>-11.4285</v>
      </c>
      <c r="AA76" s="58">
        <f t="shared" si="3"/>
        <v>9543.7403512500005</v>
      </c>
      <c r="AB76" s="58"/>
      <c r="AC76" s="58">
        <f t="shared" si="4"/>
        <v>12101.819100000001</v>
      </c>
      <c r="AD76" s="58" t="e">
        <f>IF(B76&lt;&gt;0,VLOOKUP(B76,#REF!,2,FALSE),"")</f>
        <v>#REF!</v>
      </c>
      <c r="AE76" s="55">
        <v>238.90299999999999</v>
      </c>
      <c r="AF76" s="55">
        <f t="shared" si="20"/>
        <v>91.535499999999985</v>
      </c>
    </row>
    <row r="77" spans="1:32" s="38" customFormat="1" ht="30">
      <c r="A77" s="447" t="s">
        <v>717</v>
      </c>
      <c r="B77" s="448" t="s">
        <v>2052</v>
      </c>
      <c r="C77" s="449" t="s">
        <v>53</v>
      </c>
      <c r="D77" s="447" t="s">
        <v>1914</v>
      </c>
      <c r="E77" s="447" t="s">
        <v>52</v>
      </c>
      <c r="F77" s="450">
        <v>238.90299999999999</v>
      </c>
      <c r="G77" s="450">
        <f t="shared" si="5"/>
        <v>33.073499999999996</v>
      </c>
      <c r="H77" s="450">
        <f t="shared" si="21"/>
        <v>41.94</v>
      </c>
      <c r="I77" s="451">
        <f t="shared" si="22"/>
        <v>10019.59</v>
      </c>
      <c r="J77" s="452"/>
      <c r="K77" s="452"/>
      <c r="L77" s="452"/>
      <c r="M77" s="452">
        <v>36.840000000000003</v>
      </c>
      <c r="N77" s="452">
        <v>46.72</v>
      </c>
      <c r="O77" s="452">
        <v>11161.55</v>
      </c>
      <c r="P77" s="493">
        <f>347.16-F77</f>
        <v>108.25700000000003</v>
      </c>
      <c r="Q77" s="451">
        <f t="shared" si="23"/>
        <v>5057.7700000000004</v>
      </c>
      <c r="R77" s="452"/>
      <c r="S77" s="452">
        <f t="shared" si="24"/>
        <v>0</v>
      </c>
      <c r="T77" s="452">
        <f t="shared" si="1"/>
        <v>347.16</v>
      </c>
      <c r="U77" s="452">
        <f t="shared" si="25"/>
        <v>16219.32</v>
      </c>
      <c r="V77" s="453"/>
      <c r="W77" s="453"/>
      <c r="X77" s="42">
        <f>'COMPOSIÇÃO DE CUSTOS'!G88</f>
        <v>33.08</v>
      </c>
      <c r="Y77" s="336">
        <v>38.909999999999997</v>
      </c>
      <c r="Z77" s="39">
        <f t="shared" si="6"/>
        <v>-5.8365000000000009</v>
      </c>
      <c r="AA77" s="39">
        <f t="shared" si="3"/>
        <v>7901.3583704999983</v>
      </c>
      <c r="AB77" s="39"/>
      <c r="AC77" s="39">
        <f t="shared" si="4"/>
        <v>10019.59182</v>
      </c>
      <c r="AD77" s="39" t="e">
        <f>IF(B77&lt;&gt;0,VLOOKUP(B77,#REF!,2,FALSE),"")</f>
        <v>#REF!</v>
      </c>
      <c r="AE77" s="38">
        <v>17.399999999999999</v>
      </c>
      <c r="AF77" s="38">
        <f t="shared" si="20"/>
        <v>-221.50299999999999</v>
      </c>
    </row>
    <row r="78" spans="1:32" s="38" customFormat="1" ht="45">
      <c r="A78" s="447" t="s">
        <v>718</v>
      </c>
      <c r="B78" s="448" t="s">
        <v>2039</v>
      </c>
      <c r="C78" s="449" t="s">
        <v>54</v>
      </c>
      <c r="D78" s="447" t="s">
        <v>1914</v>
      </c>
      <c r="E78" s="447" t="s">
        <v>26</v>
      </c>
      <c r="F78" s="450">
        <v>17.399999999999999</v>
      </c>
      <c r="G78" s="450">
        <f t="shared" si="5"/>
        <v>96.789500000000004</v>
      </c>
      <c r="H78" s="450">
        <f t="shared" si="21"/>
        <v>122.74</v>
      </c>
      <c r="I78" s="451">
        <f t="shared" si="22"/>
        <v>2135.6799999999998</v>
      </c>
      <c r="J78" s="452"/>
      <c r="K78" s="452"/>
      <c r="L78" s="452"/>
      <c r="M78" s="452">
        <v>107.82</v>
      </c>
      <c r="N78" s="452">
        <v>136.72999999999999</v>
      </c>
      <c r="O78" s="452">
        <v>2379.1</v>
      </c>
      <c r="P78" s="493"/>
      <c r="Q78" s="451">
        <f t="shared" si="23"/>
        <v>0</v>
      </c>
      <c r="R78" s="452">
        <f>F78</f>
        <v>17.399999999999999</v>
      </c>
      <c r="S78" s="452">
        <f t="shared" si="24"/>
        <v>2379.1</v>
      </c>
      <c r="T78" s="452">
        <f t="shared" si="1"/>
        <v>0</v>
      </c>
      <c r="U78" s="452">
        <f t="shared" si="25"/>
        <v>0</v>
      </c>
      <c r="V78" s="453"/>
      <c r="W78" s="453"/>
      <c r="X78" s="42">
        <f>'COMPOSIÇÃO DE CUSTOS'!G2188</f>
        <v>96.79</v>
      </c>
      <c r="Y78" s="336">
        <v>113.87</v>
      </c>
      <c r="Z78" s="39">
        <f t="shared" si="6"/>
        <v>-17.080500000000001</v>
      </c>
      <c r="AA78" s="39">
        <f t="shared" si="3"/>
        <v>1684.1372999999999</v>
      </c>
      <c r="AB78" s="39"/>
      <c r="AC78" s="39">
        <f t="shared" si="4"/>
        <v>2135.6759999999999</v>
      </c>
      <c r="AD78" s="39" t="e">
        <f>IF(B78&lt;&gt;0,VLOOKUP(B78,#REF!,2,FALSE),"")</f>
        <v>#REF!</v>
      </c>
      <c r="AE78" s="38">
        <v>0.26249999999999996</v>
      </c>
      <c r="AF78" s="38">
        <f t="shared" si="20"/>
        <v>-17.137499999999999</v>
      </c>
    </row>
    <row r="79" spans="1:32" s="38" customFormat="1" ht="84" customHeight="1">
      <c r="A79" s="447" t="s">
        <v>719</v>
      </c>
      <c r="B79" s="448">
        <v>72175</v>
      </c>
      <c r="C79" s="449" t="s">
        <v>55</v>
      </c>
      <c r="D79" s="447" t="s">
        <v>1914</v>
      </c>
      <c r="E79" s="447" t="s">
        <v>26</v>
      </c>
      <c r="F79" s="450">
        <v>0.26249999999999996</v>
      </c>
      <c r="G79" s="450">
        <f t="shared" si="5"/>
        <v>483.27600000000007</v>
      </c>
      <c r="H79" s="450">
        <f t="shared" si="21"/>
        <v>612.84</v>
      </c>
      <c r="I79" s="451">
        <f t="shared" si="22"/>
        <v>160.87</v>
      </c>
      <c r="J79" s="452"/>
      <c r="K79" s="452"/>
      <c r="L79" s="452"/>
      <c r="M79" s="452">
        <v>538.37</v>
      </c>
      <c r="N79" s="452">
        <v>682.71</v>
      </c>
      <c r="O79" s="452">
        <v>179.21</v>
      </c>
      <c r="P79" s="493">
        <f>17.4-0.26</f>
        <v>17.139999999999997</v>
      </c>
      <c r="Q79" s="451">
        <f t="shared" si="23"/>
        <v>11701.65</v>
      </c>
      <c r="R79" s="452"/>
      <c r="S79" s="452">
        <f t="shared" si="24"/>
        <v>0</v>
      </c>
      <c r="T79" s="452">
        <f t="shared" si="1"/>
        <v>17.402499999999996</v>
      </c>
      <c r="U79" s="452">
        <f t="shared" si="25"/>
        <v>11880.859999999999</v>
      </c>
      <c r="V79" s="453"/>
      <c r="W79" s="453"/>
      <c r="X79" s="42">
        <f>'COMPOSIÇÃO DE CUSTOS'!G99</f>
        <v>483.28000000000003</v>
      </c>
      <c r="Y79" s="336">
        <v>568.56000000000006</v>
      </c>
      <c r="Z79" s="39">
        <f t="shared" si="6"/>
        <v>-85.283999999999992</v>
      </c>
      <c r="AA79" s="39">
        <f t="shared" si="3"/>
        <v>126.85995</v>
      </c>
      <c r="AB79" s="39"/>
      <c r="AC79" s="39">
        <f t="shared" si="4"/>
        <v>160.87049999999999</v>
      </c>
      <c r="AD79" s="39" t="e">
        <f>IF(B79&lt;&gt;0,VLOOKUP(B79,#REF!,2,FALSE),"")</f>
        <v>#REF!</v>
      </c>
      <c r="AE79" s="38">
        <v>78</v>
      </c>
      <c r="AF79" s="38">
        <f t="shared" si="20"/>
        <v>77.737499999999997</v>
      </c>
    </row>
    <row r="80" spans="1:32" ht="15" customHeight="1">
      <c r="A80" s="21" t="s">
        <v>2688</v>
      </c>
      <c r="B80" s="20" t="s">
        <v>2689</v>
      </c>
      <c r="C80" s="19" t="s">
        <v>2690</v>
      </c>
      <c r="D80" s="21" t="s">
        <v>1914</v>
      </c>
      <c r="E80" s="21" t="s">
        <v>26</v>
      </c>
      <c r="F80" s="22">
        <v>78</v>
      </c>
      <c r="G80" s="22">
        <f t="shared" si="5"/>
        <v>228.46299999999997</v>
      </c>
      <c r="H80" s="22">
        <f t="shared" si="21"/>
        <v>289.70999999999998</v>
      </c>
      <c r="I80" s="147">
        <f t="shared" si="22"/>
        <v>22597.38</v>
      </c>
      <c r="J80" s="148"/>
      <c r="K80" s="148"/>
      <c r="L80" s="148"/>
      <c r="M80" s="148">
        <v>254.51</v>
      </c>
      <c r="N80" s="148">
        <v>322.74</v>
      </c>
      <c r="O80" s="148">
        <v>25173.72</v>
      </c>
      <c r="P80" s="494"/>
      <c r="Q80" s="147">
        <f t="shared" si="23"/>
        <v>0</v>
      </c>
      <c r="R80" s="148"/>
      <c r="S80" s="148">
        <f t="shared" si="24"/>
        <v>0</v>
      </c>
      <c r="T80" s="148">
        <f t="shared" si="1"/>
        <v>78</v>
      </c>
      <c r="U80" s="148">
        <f t="shared" si="25"/>
        <v>25173.72</v>
      </c>
      <c r="V80" s="379"/>
      <c r="W80" s="379"/>
      <c r="X80" s="57">
        <f>'COMPOSIÇÃO DE CUSTOS'!G2346</f>
        <v>228.47</v>
      </c>
      <c r="Y80" s="334">
        <v>268.77999999999997</v>
      </c>
      <c r="Z80" s="58">
        <f t="shared" si="6"/>
        <v>-40.317000000000007</v>
      </c>
      <c r="AA80" s="58">
        <f t="shared" si="3"/>
        <v>17820.113999999998</v>
      </c>
      <c r="AB80" s="58"/>
      <c r="AC80" s="58">
        <f t="shared" si="4"/>
        <v>22597.379999999997</v>
      </c>
      <c r="AD80" s="58" t="e">
        <f>IF(B80&lt;&gt;0,VLOOKUP(B80,#REF!,2,FALSE),"")</f>
        <v>#REF!</v>
      </c>
      <c r="AF80" s="55">
        <f t="shared" si="20"/>
        <v>-78</v>
      </c>
    </row>
    <row r="81" spans="1:32" ht="26.25" customHeight="1">
      <c r="A81" s="21"/>
      <c r="B81" s="20"/>
      <c r="C81" s="19"/>
      <c r="D81" s="21"/>
      <c r="E81" s="21"/>
      <c r="F81" s="22"/>
      <c r="G81" s="22"/>
      <c r="H81" s="22"/>
      <c r="I81" s="147"/>
      <c r="J81" s="148"/>
      <c r="K81" s="148"/>
      <c r="L81" s="148"/>
      <c r="M81" s="148"/>
      <c r="N81" s="148"/>
      <c r="O81" s="148"/>
      <c r="P81" s="494"/>
      <c r="Q81" s="147"/>
      <c r="R81" s="148"/>
      <c r="S81" s="148"/>
      <c r="T81" s="148" t="str">
        <f t="shared" si="1"/>
        <v xml:space="preserve"> </v>
      </c>
      <c r="U81" s="148"/>
      <c r="V81" s="379"/>
      <c r="W81" s="379"/>
      <c r="X81" s="58" t="str">
        <f>IF(B81&lt;&gt;0,VLOOKUP(B81,#REF!,4,FALSE),"")</f>
        <v/>
      </c>
      <c r="Y81" s="334" t="s">
        <v>1891</v>
      </c>
      <c r="Z81" s="58"/>
      <c r="AA81" s="58">
        <f t="shared" si="3"/>
        <v>0</v>
      </c>
      <c r="AB81" s="58"/>
      <c r="AC81" s="58">
        <f t="shared" si="4"/>
        <v>0</v>
      </c>
      <c r="AD81" s="58" t="str">
        <f>IF(B81&lt;&gt;0,VLOOKUP(B81,#REF!,2,FALSE),"")</f>
        <v/>
      </c>
      <c r="AF81" s="55">
        <f t="shared" si="20"/>
        <v>0</v>
      </c>
    </row>
    <row r="82" spans="1:32" ht="20.25" customHeight="1">
      <c r="A82" s="69" t="s">
        <v>720</v>
      </c>
      <c r="B82" s="129"/>
      <c r="C82" s="229" t="s">
        <v>56</v>
      </c>
      <c r="D82" s="230"/>
      <c r="E82" s="230"/>
      <c r="F82" s="230"/>
      <c r="G82" s="22"/>
      <c r="H82" s="230"/>
      <c r="I82" s="445">
        <f>ROUND(SUM(I85:I139),2)</f>
        <v>684924.06</v>
      </c>
      <c r="J82" s="440"/>
      <c r="K82" s="440"/>
      <c r="L82" s="440">
        <v>625385.43999999994</v>
      </c>
      <c r="M82" s="440"/>
      <c r="N82" s="440"/>
      <c r="O82" s="440">
        <v>262221.40999999997</v>
      </c>
      <c r="P82" s="492"/>
      <c r="Q82" s="445">
        <f>ROUND(SUM(Q85:Q139),2)</f>
        <v>368242.72</v>
      </c>
      <c r="R82" s="440"/>
      <c r="S82" s="440">
        <f>ROUND(SUM(S85:S139),2)</f>
        <v>52334.400000000001</v>
      </c>
      <c r="T82" s="148" t="str">
        <f t="shared" ref="T82:T149" si="26">IF(F82&gt;0,F82+P82-R82," ")</f>
        <v xml:space="preserve"> </v>
      </c>
      <c r="U82" s="440">
        <f>L82+Q82-S82+O82</f>
        <v>1203515.17</v>
      </c>
      <c r="V82" s="330"/>
      <c r="W82" s="330"/>
      <c r="X82" s="58" t="str">
        <f>IF(B82&lt;&gt;0,VLOOKUP(B82,#REF!,4,FALSE),"")</f>
        <v/>
      </c>
      <c r="Y82" s="334" t="s">
        <v>1891</v>
      </c>
      <c r="Z82" s="58"/>
      <c r="AA82" s="58">
        <f t="shared" si="3"/>
        <v>0</v>
      </c>
      <c r="AB82" s="58"/>
      <c r="AC82" s="58">
        <f t="shared" si="4"/>
        <v>0</v>
      </c>
      <c r="AD82" s="58" t="str">
        <f>IF(B82&lt;&gt;0,VLOOKUP(B82,#REF!,2,FALSE),"")</f>
        <v/>
      </c>
      <c r="AF82" s="55">
        <f t="shared" si="20"/>
        <v>0</v>
      </c>
    </row>
    <row r="83" spans="1:32" s="55" customFormat="1" ht="17.25" customHeight="1">
      <c r="A83" s="69" t="s">
        <v>721</v>
      </c>
      <c r="B83" s="129"/>
      <c r="C83" s="229" t="s">
        <v>57</v>
      </c>
      <c r="D83" s="230"/>
      <c r="E83" s="230"/>
      <c r="F83" s="230"/>
      <c r="G83" s="22"/>
      <c r="H83" s="230"/>
      <c r="I83" s="445"/>
      <c r="J83" s="440"/>
      <c r="K83" s="440"/>
      <c r="L83" s="440"/>
      <c r="M83" s="440"/>
      <c r="N83" s="440"/>
      <c r="O83" s="440"/>
      <c r="P83" s="492"/>
      <c r="Q83" s="445"/>
      <c r="R83" s="440"/>
      <c r="S83" s="440"/>
      <c r="T83" s="148" t="str">
        <f t="shared" si="26"/>
        <v xml:space="preserve"> </v>
      </c>
      <c r="U83" s="148"/>
      <c r="V83" s="330"/>
      <c r="W83" s="330"/>
      <c r="X83" s="58" t="str">
        <f>IF(B83&lt;&gt;0,VLOOKUP(B83,#REF!,4,FALSE),"")</f>
        <v/>
      </c>
      <c r="Y83" s="334" t="s">
        <v>1891</v>
      </c>
      <c r="Z83" s="58"/>
      <c r="AA83" s="58">
        <f t="shared" si="3"/>
        <v>0</v>
      </c>
      <c r="AB83" s="58"/>
      <c r="AC83" s="58">
        <f t="shared" si="4"/>
        <v>0</v>
      </c>
      <c r="AD83" s="58" t="str">
        <f>IF(B83&lt;&gt;0,VLOOKUP(B83,#REF!,2,FALSE),"")</f>
        <v/>
      </c>
      <c r="AF83" s="55">
        <f t="shared" si="20"/>
        <v>0</v>
      </c>
    </row>
    <row r="84" spans="1:32" ht="16.5" customHeight="1">
      <c r="A84" s="69" t="s">
        <v>722</v>
      </c>
      <c r="B84" s="129"/>
      <c r="C84" s="229" t="s">
        <v>58</v>
      </c>
      <c r="D84" s="230"/>
      <c r="E84" s="230"/>
      <c r="F84" s="230"/>
      <c r="G84" s="22"/>
      <c r="H84" s="230"/>
      <c r="I84" s="445"/>
      <c r="J84" s="440"/>
      <c r="K84" s="440"/>
      <c r="L84" s="440"/>
      <c r="M84" s="440"/>
      <c r="N84" s="440"/>
      <c r="O84" s="440"/>
      <c r="P84" s="492"/>
      <c r="Q84" s="445"/>
      <c r="R84" s="440"/>
      <c r="S84" s="440"/>
      <c r="T84" s="148" t="str">
        <f t="shared" si="26"/>
        <v xml:space="preserve"> </v>
      </c>
      <c r="U84" s="148"/>
      <c r="V84" s="330"/>
      <c r="W84" s="330"/>
      <c r="X84" s="58" t="str">
        <f>IF(B84&lt;&gt;0,VLOOKUP(B84,#REF!,4,FALSE),"")</f>
        <v/>
      </c>
      <c r="Y84" s="334" t="s">
        <v>1891</v>
      </c>
      <c r="Z84" s="58"/>
      <c r="AA84" s="58">
        <f t="shared" si="3"/>
        <v>0</v>
      </c>
      <c r="AB84" s="58"/>
      <c r="AC84" s="58">
        <f t="shared" si="4"/>
        <v>0</v>
      </c>
      <c r="AD84" s="58" t="str">
        <f>IF(B84&lt;&gt;0,VLOOKUP(B84,#REF!,2,FALSE),"")</f>
        <v/>
      </c>
      <c r="AE84" s="2">
        <v>543.9</v>
      </c>
      <c r="AF84" s="55">
        <f t="shared" si="20"/>
        <v>543.9</v>
      </c>
    </row>
    <row r="85" spans="1:32" s="267" customFormat="1" ht="75">
      <c r="A85" s="21" t="s">
        <v>723</v>
      </c>
      <c r="B85" s="20">
        <v>92408</v>
      </c>
      <c r="C85" s="19" t="s">
        <v>1551</v>
      </c>
      <c r="D85" s="21" t="s">
        <v>1914</v>
      </c>
      <c r="E85" s="21" t="s">
        <v>26</v>
      </c>
      <c r="F85" s="22">
        <v>264.22000000000003</v>
      </c>
      <c r="G85" s="22">
        <f t="shared" si="5"/>
        <v>202.05349999999999</v>
      </c>
      <c r="H85" s="22">
        <f t="shared" ref="H85:H94" si="27">ROUND(G85*(1+$X$13),2)</f>
        <v>256.22000000000003</v>
      </c>
      <c r="I85" s="147">
        <f t="shared" ref="I85:I94" si="28">ROUND(H85*F85,2)</f>
        <v>67698.45</v>
      </c>
      <c r="J85" s="148">
        <v>198.69000000000003</v>
      </c>
      <c r="K85" s="148">
        <v>251.96</v>
      </c>
      <c r="L85" s="148">
        <v>66572.87</v>
      </c>
      <c r="M85" s="148">
        <v>300.26</v>
      </c>
      <c r="N85" s="148">
        <v>380.76</v>
      </c>
      <c r="O85" s="148">
        <v>10060.44</v>
      </c>
      <c r="P85" s="494"/>
      <c r="Q85" s="147">
        <f>ROUND(P85*N85,2)</f>
        <v>0</v>
      </c>
      <c r="R85" s="148"/>
      <c r="S85" s="148">
        <f t="shared" ref="S85:S94" si="29">ROUND(R85*P85,2)</f>
        <v>0</v>
      </c>
      <c r="T85" s="148">
        <f t="shared" si="26"/>
        <v>264.22000000000003</v>
      </c>
      <c r="U85" s="148">
        <f t="shared" ref="U85:U148" si="30">L85+Q85-S85+O85</f>
        <v>76633.31</v>
      </c>
      <c r="V85" s="379"/>
      <c r="W85" s="379"/>
      <c r="X85" s="268">
        <f>'COMPOSIÇÃO DE CUSTOS'!G108</f>
        <v>202.05</v>
      </c>
      <c r="Y85" s="335">
        <v>237.70999999999998</v>
      </c>
      <c r="Z85" s="58">
        <f t="shared" si="6"/>
        <v>-35.656499999999994</v>
      </c>
      <c r="AA85" s="58">
        <f t="shared" si="3"/>
        <v>53386.575770000003</v>
      </c>
      <c r="AB85" s="58"/>
      <c r="AC85" s="58">
        <f t="shared" si="4"/>
        <v>67698.448400000008</v>
      </c>
      <c r="AD85" s="269" t="e">
        <f>IF(B85&lt;&gt;0,VLOOKUP(B85,#REF!,2,FALSE),"")</f>
        <v>#REF!</v>
      </c>
      <c r="AE85" s="267">
        <v>572</v>
      </c>
      <c r="AF85" s="267">
        <f t="shared" si="20"/>
        <v>307.77999999999997</v>
      </c>
    </row>
    <row r="86" spans="1:32" s="267" customFormat="1" ht="75">
      <c r="A86" s="21" t="s">
        <v>724</v>
      </c>
      <c r="B86" s="20">
        <v>92759</v>
      </c>
      <c r="C86" s="19" t="s">
        <v>1536</v>
      </c>
      <c r="D86" s="21" t="s">
        <v>12</v>
      </c>
      <c r="E86" s="21" t="s">
        <v>45</v>
      </c>
      <c r="F86" s="22">
        <v>442</v>
      </c>
      <c r="G86" s="22">
        <f t="shared" si="5"/>
        <v>13.5915</v>
      </c>
      <c r="H86" s="22">
        <f t="shared" si="27"/>
        <v>17.239999999999998</v>
      </c>
      <c r="I86" s="147">
        <f t="shared" si="28"/>
        <v>7620.08</v>
      </c>
      <c r="J86" s="148">
        <v>13.5915</v>
      </c>
      <c r="K86" s="148">
        <v>17.239999999999998</v>
      </c>
      <c r="L86" s="148">
        <v>7620.08</v>
      </c>
      <c r="M86" s="148">
        <v>15.14</v>
      </c>
      <c r="N86" s="148">
        <v>19.2</v>
      </c>
      <c r="O86" s="148">
        <v>848.64</v>
      </c>
      <c r="P86" s="494"/>
      <c r="Q86" s="147">
        <f t="shared" ref="Q86:Q105" si="31">ROUND(P86*N86,2)</f>
        <v>0</v>
      </c>
      <c r="R86" s="148"/>
      <c r="S86" s="148">
        <f t="shared" si="29"/>
        <v>0</v>
      </c>
      <c r="T86" s="148">
        <f t="shared" si="26"/>
        <v>442</v>
      </c>
      <c r="U86" s="148">
        <f t="shared" si="30"/>
        <v>8468.7199999999993</v>
      </c>
      <c r="V86" s="379"/>
      <c r="W86" s="379"/>
      <c r="X86" s="269" t="e">
        <f>IF(B86&lt;&gt;0,VLOOKUP(B86,#REF!,4,FALSE),"")</f>
        <v>#REF!</v>
      </c>
      <c r="Y86" s="335" t="s">
        <v>1853</v>
      </c>
      <c r="Z86" s="58">
        <f t="shared" si="6"/>
        <v>-2.3985000000000003</v>
      </c>
      <c r="AA86" s="58">
        <f t="shared" si="3"/>
        <v>6007.4430000000002</v>
      </c>
      <c r="AB86" s="58"/>
      <c r="AC86" s="58">
        <f t="shared" si="4"/>
        <v>7620.079999999999</v>
      </c>
      <c r="AD86" s="269" t="e">
        <f>IF(B86&lt;&gt;0,VLOOKUP(B86,#REF!,2,FALSE),"")</f>
        <v>#REF!</v>
      </c>
      <c r="AE86" s="267">
        <v>535</v>
      </c>
      <c r="AF86" s="267">
        <f t="shared" si="20"/>
        <v>93</v>
      </c>
    </row>
    <row r="87" spans="1:32" s="267" customFormat="1" ht="75">
      <c r="A87" s="21" t="s">
        <v>725</v>
      </c>
      <c r="B87" s="20">
        <v>92760</v>
      </c>
      <c r="C87" s="19" t="s">
        <v>1537</v>
      </c>
      <c r="D87" s="21" t="s">
        <v>12</v>
      </c>
      <c r="E87" s="21" t="s">
        <v>45</v>
      </c>
      <c r="F87" s="22">
        <v>282</v>
      </c>
      <c r="G87" s="22">
        <f t="shared" si="5"/>
        <v>13.5915</v>
      </c>
      <c r="H87" s="22">
        <f t="shared" si="27"/>
        <v>17.239999999999998</v>
      </c>
      <c r="I87" s="147">
        <f t="shared" si="28"/>
        <v>4861.68</v>
      </c>
      <c r="J87" s="148">
        <v>14.78</v>
      </c>
      <c r="K87" s="148">
        <v>18.739999999999998</v>
      </c>
      <c r="L87" s="148">
        <v>5284.68</v>
      </c>
      <c r="M87" s="148">
        <v>13.069999999999999</v>
      </c>
      <c r="N87" s="148">
        <v>16.57</v>
      </c>
      <c r="O87" s="148">
        <v>467.27</v>
      </c>
      <c r="P87" s="494"/>
      <c r="Q87" s="147">
        <f t="shared" si="31"/>
        <v>0</v>
      </c>
      <c r="R87" s="148"/>
      <c r="S87" s="148">
        <f t="shared" si="29"/>
        <v>0</v>
      </c>
      <c r="T87" s="148">
        <f t="shared" si="26"/>
        <v>282</v>
      </c>
      <c r="U87" s="148">
        <f t="shared" si="30"/>
        <v>5751.9500000000007</v>
      </c>
      <c r="V87" s="379"/>
      <c r="W87" s="379"/>
      <c r="X87" s="269" t="e">
        <f>IF(B87&lt;&gt;0,VLOOKUP(B87,#REF!,4,FALSE),"")</f>
        <v>#REF!</v>
      </c>
      <c r="Y87" s="335" t="s">
        <v>1853</v>
      </c>
      <c r="Z87" s="58">
        <f t="shared" si="6"/>
        <v>-2.3985000000000003</v>
      </c>
      <c r="AA87" s="58">
        <f t="shared" si="3"/>
        <v>3832.8029999999999</v>
      </c>
      <c r="AB87" s="58"/>
      <c r="AC87" s="58">
        <f t="shared" si="4"/>
        <v>4861.6799999999994</v>
      </c>
      <c r="AD87" s="269" t="e">
        <f>IF(B87&lt;&gt;0,VLOOKUP(B87,#REF!,2,FALSE),"")</f>
        <v>#REF!</v>
      </c>
      <c r="AE87" s="267">
        <v>171</v>
      </c>
      <c r="AF87" s="267">
        <f t="shared" si="20"/>
        <v>-111</v>
      </c>
    </row>
    <row r="88" spans="1:32" s="267" customFormat="1" ht="75">
      <c r="A88" s="21" t="s">
        <v>726</v>
      </c>
      <c r="B88" s="20">
        <v>92761</v>
      </c>
      <c r="C88" s="19" t="s">
        <v>1538</v>
      </c>
      <c r="D88" s="21" t="s">
        <v>12</v>
      </c>
      <c r="E88" s="21" t="s">
        <v>45</v>
      </c>
      <c r="F88" s="22">
        <v>111</v>
      </c>
      <c r="G88" s="22">
        <f t="shared" si="5"/>
        <v>13.276999999999999</v>
      </c>
      <c r="H88" s="22">
        <f t="shared" si="27"/>
        <v>16.84</v>
      </c>
      <c r="I88" s="147">
        <f t="shared" si="28"/>
        <v>1869.24</v>
      </c>
      <c r="J88" s="148">
        <v>13.276999999999999</v>
      </c>
      <c r="K88" s="148">
        <v>16.84</v>
      </c>
      <c r="L88" s="148">
        <v>1869.24</v>
      </c>
      <c r="M88" s="148">
        <v>14.79</v>
      </c>
      <c r="N88" s="148">
        <v>18.760000000000002</v>
      </c>
      <c r="O88" s="148">
        <v>208.24</v>
      </c>
      <c r="P88" s="494"/>
      <c r="Q88" s="147">
        <f t="shared" si="31"/>
        <v>0</v>
      </c>
      <c r="R88" s="148"/>
      <c r="S88" s="148">
        <f t="shared" si="29"/>
        <v>0</v>
      </c>
      <c r="T88" s="148">
        <f t="shared" si="26"/>
        <v>111</v>
      </c>
      <c r="U88" s="148">
        <f t="shared" si="30"/>
        <v>2077.48</v>
      </c>
      <c r="V88" s="379"/>
      <c r="W88" s="379"/>
      <c r="X88" s="269" t="e">
        <f>IF(B88&lt;&gt;0,VLOOKUP(B88,#REF!,4,FALSE),"")</f>
        <v>#REF!</v>
      </c>
      <c r="Y88" s="335" t="s">
        <v>3214</v>
      </c>
      <c r="Z88" s="58">
        <f t="shared" si="6"/>
        <v>-2.343</v>
      </c>
      <c r="AA88" s="58">
        <f t="shared" si="3"/>
        <v>1473.7469999999998</v>
      </c>
      <c r="AB88" s="58"/>
      <c r="AC88" s="58">
        <f t="shared" si="4"/>
        <v>1869.24</v>
      </c>
      <c r="AD88" s="269" t="e">
        <f>IF(B88&lt;&gt;0,VLOOKUP(B88,#REF!,2,FALSE),"")</f>
        <v>#REF!</v>
      </c>
      <c r="AE88" s="267">
        <v>1442.7070000000001</v>
      </c>
      <c r="AF88" s="267">
        <f t="shared" si="20"/>
        <v>1331.7070000000001</v>
      </c>
    </row>
    <row r="89" spans="1:32" s="267" customFormat="1" ht="75">
      <c r="A89" s="21" t="s">
        <v>727</v>
      </c>
      <c r="B89" s="20">
        <v>92762</v>
      </c>
      <c r="C89" s="19" t="s">
        <v>1539</v>
      </c>
      <c r="D89" s="21" t="s">
        <v>12</v>
      </c>
      <c r="E89" s="21" t="s">
        <v>45</v>
      </c>
      <c r="F89" s="22">
        <v>1040</v>
      </c>
      <c r="G89" s="22">
        <f t="shared" ref="G89:G156" si="32">Y89-(Y89*$Z$14)</f>
        <v>12.1295</v>
      </c>
      <c r="H89" s="22">
        <f t="shared" si="27"/>
        <v>15.38</v>
      </c>
      <c r="I89" s="147">
        <f t="shared" si="28"/>
        <v>15995.2</v>
      </c>
      <c r="J89" s="148">
        <v>14.259999999999998</v>
      </c>
      <c r="K89" s="148">
        <v>18.079999999999998</v>
      </c>
      <c r="L89" s="148">
        <v>18803.2</v>
      </c>
      <c r="M89" s="148">
        <v>11.49</v>
      </c>
      <c r="N89" s="148">
        <v>14.57</v>
      </c>
      <c r="O89" s="148">
        <v>1515.28</v>
      </c>
      <c r="P89" s="494"/>
      <c r="Q89" s="147">
        <f t="shared" si="31"/>
        <v>0</v>
      </c>
      <c r="R89" s="148"/>
      <c r="S89" s="148">
        <f t="shared" si="29"/>
        <v>0</v>
      </c>
      <c r="T89" s="148">
        <f t="shared" si="26"/>
        <v>1040</v>
      </c>
      <c r="U89" s="148">
        <f t="shared" si="30"/>
        <v>20318.48</v>
      </c>
      <c r="V89" s="379"/>
      <c r="W89" s="379"/>
      <c r="X89" s="269" t="e">
        <f>IF(B89&lt;&gt;0,VLOOKUP(B89,#REF!,4,FALSE),"")</f>
        <v>#REF!</v>
      </c>
      <c r="Y89" s="335" t="s">
        <v>3151</v>
      </c>
      <c r="Z89" s="58">
        <f t="shared" ref="Z89:Z156" si="33">G89-Y89</f>
        <v>-2.1404999999999994</v>
      </c>
      <c r="AA89" s="58">
        <f t="shared" ref="AA89:AA158" si="34">F89*G89</f>
        <v>12614.68</v>
      </c>
      <c r="AB89" s="58"/>
      <c r="AC89" s="58">
        <f t="shared" ref="AC89:AC158" si="35">F89*H89</f>
        <v>15995.2</v>
      </c>
      <c r="AD89" s="269" t="e">
        <f>IF(B89&lt;&gt;0,VLOOKUP(B89,#REF!,2,FALSE),"")</f>
        <v>#REF!</v>
      </c>
      <c r="AE89" s="267">
        <v>706</v>
      </c>
      <c r="AF89" s="267">
        <f t="shared" si="20"/>
        <v>-334</v>
      </c>
    </row>
    <row r="90" spans="1:32" s="267" customFormat="1" ht="75">
      <c r="A90" s="21" t="s">
        <v>728</v>
      </c>
      <c r="B90" s="20">
        <v>92763</v>
      </c>
      <c r="C90" s="19" t="s">
        <v>1540</v>
      </c>
      <c r="D90" s="21" t="s">
        <v>12</v>
      </c>
      <c r="E90" s="21" t="s">
        <v>45</v>
      </c>
      <c r="F90" s="22">
        <v>397</v>
      </c>
      <c r="G90" s="22">
        <f t="shared" si="32"/>
        <v>10.361499999999999</v>
      </c>
      <c r="H90" s="22">
        <f t="shared" si="27"/>
        <v>13.14</v>
      </c>
      <c r="I90" s="147">
        <f t="shared" si="28"/>
        <v>5216.58</v>
      </c>
      <c r="J90" s="148">
        <v>13.25121</v>
      </c>
      <c r="K90" s="148">
        <v>16.8</v>
      </c>
      <c r="L90" s="148">
        <v>6669.6</v>
      </c>
      <c r="M90" s="148">
        <v>10.50122</v>
      </c>
      <c r="N90" s="148">
        <v>13.32</v>
      </c>
      <c r="O90" s="148">
        <v>528.79999999999995</v>
      </c>
      <c r="P90" s="494"/>
      <c r="Q90" s="147">
        <f t="shared" si="31"/>
        <v>0</v>
      </c>
      <c r="R90" s="148"/>
      <c r="S90" s="148">
        <f t="shared" si="29"/>
        <v>0</v>
      </c>
      <c r="T90" s="148">
        <f t="shared" si="26"/>
        <v>397</v>
      </c>
      <c r="U90" s="148">
        <f t="shared" si="30"/>
        <v>7198.4000000000005</v>
      </c>
      <c r="V90" s="379"/>
      <c r="W90" s="379"/>
      <c r="X90" s="269" t="e">
        <f>IF(B90&lt;&gt;0,VLOOKUP(B90,#REF!,4,FALSE),"")</f>
        <v>#REF!</v>
      </c>
      <c r="Y90" s="335" t="s">
        <v>3131</v>
      </c>
      <c r="Z90" s="58">
        <f t="shared" si="33"/>
        <v>-1.8285</v>
      </c>
      <c r="AA90" s="58">
        <f t="shared" si="34"/>
        <v>4113.5154999999995</v>
      </c>
      <c r="AB90" s="58"/>
      <c r="AC90" s="58">
        <f t="shared" si="35"/>
        <v>5216.58</v>
      </c>
      <c r="AD90" s="269" t="e">
        <f>IF(B90&lt;&gt;0,VLOOKUP(B90,#REF!,2,FALSE),"")</f>
        <v>#REF!</v>
      </c>
      <c r="AE90" s="267">
        <v>762</v>
      </c>
      <c r="AF90" s="267">
        <f t="shared" si="20"/>
        <v>365</v>
      </c>
    </row>
    <row r="91" spans="1:32" s="267" customFormat="1" ht="75">
      <c r="A91" s="21" t="s">
        <v>729</v>
      </c>
      <c r="B91" s="20">
        <v>92764</v>
      </c>
      <c r="C91" s="19" t="s">
        <v>1541</v>
      </c>
      <c r="D91" s="21" t="s">
        <v>12</v>
      </c>
      <c r="E91" s="21" t="s">
        <v>45</v>
      </c>
      <c r="F91" s="22">
        <v>490</v>
      </c>
      <c r="G91" s="22">
        <f t="shared" si="32"/>
        <v>10.064</v>
      </c>
      <c r="H91" s="22">
        <f t="shared" si="27"/>
        <v>12.76</v>
      </c>
      <c r="I91" s="147">
        <f t="shared" si="28"/>
        <v>6252.4</v>
      </c>
      <c r="J91" s="148">
        <v>13.06</v>
      </c>
      <c r="K91" s="148">
        <v>16.559999999999999</v>
      </c>
      <c r="L91" s="148">
        <v>8114.4</v>
      </c>
      <c r="M91" s="148">
        <v>10.28</v>
      </c>
      <c r="N91" s="148">
        <v>13.04</v>
      </c>
      <c r="O91" s="148">
        <v>638.96</v>
      </c>
      <c r="P91" s="494"/>
      <c r="Q91" s="147">
        <f t="shared" si="31"/>
        <v>0</v>
      </c>
      <c r="R91" s="148"/>
      <c r="S91" s="148">
        <f t="shared" si="29"/>
        <v>0</v>
      </c>
      <c r="T91" s="148">
        <f t="shared" si="26"/>
        <v>490</v>
      </c>
      <c r="U91" s="148">
        <f t="shared" si="30"/>
        <v>8753.36</v>
      </c>
      <c r="V91" s="379"/>
      <c r="W91" s="379"/>
      <c r="X91" s="269" t="e">
        <f>IF(B91&lt;&gt;0,VLOOKUP(B91,#REF!,4,FALSE),"")</f>
        <v>#REF!</v>
      </c>
      <c r="Y91" s="335" t="s">
        <v>3041</v>
      </c>
      <c r="Z91" s="58">
        <f t="shared" si="33"/>
        <v>-1.7759999999999998</v>
      </c>
      <c r="AA91" s="58">
        <f t="shared" si="34"/>
        <v>4931.3599999999997</v>
      </c>
      <c r="AB91" s="58"/>
      <c r="AC91" s="58">
        <f t="shared" si="35"/>
        <v>6252.4</v>
      </c>
      <c r="AD91" s="269" t="e">
        <f>IF(B91&lt;&gt;0,VLOOKUP(B91,#REF!,2,FALSE),"")</f>
        <v>#REF!</v>
      </c>
      <c r="AE91" s="267">
        <v>737</v>
      </c>
      <c r="AF91" s="267">
        <f t="shared" si="20"/>
        <v>247</v>
      </c>
    </row>
    <row r="92" spans="1:32" s="267" customFormat="1" ht="75">
      <c r="A92" s="21" t="s">
        <v>730</v>
      </c>
      <c r="B92" s="20">
        <v>92765</v>
      </c>
      <c r="C92" s="19" t="s">
        <v>1552</v>
      </c>
      <c r="D92" s="21" t="s">
        <v>12</v>
      </c>
      <c r="E92" s="21" t="s">
        <v>45</v>
      </c>
      <c r="F92" s="22">
        <v>537</v>
      </c>
      <c r="G92" s="22">
        <f t="shared" si="32"/>
        <v>11.542999999999999</v>
      </c>
      <c r="H92" s="22">
        <f t="shared" si="27"/>
        <v>14.64</v>
      </c>
      <c r="I92" s="147">
        <f t="shared" si="28"/>
        <v>7861.68</v>
      </c>
      <c r="J92" s="148">
        <v>13.18</v>
      </c>
      <c r="K92" s="148">
        <v>16.71</v>
      </c>
      <c r="L92" s="148">
        <v>8973.27</v>
      </c>
      <c r="M92" s="148">
        <v>10.6</v>
      </c>
      <c r="N92" s="148">
        <v>13.44</v>
      </c>
      <c r="O92" s="148">
        <v>721.73</v>
      </c>
      <c r="P92" s="494"/>
      <c r="Q92" s="147">
        <f t="shared" si="31"/>
        <v>0</v>
      </c>
      <c r="R92" s="148"/>
      <c r="S92" s="148">
        <f t="shared" si="29"/>
        <v>0</v>
      </c>
      <c r="T92" s="148">
        <f t="shared" si="26"/>
        <v>537</v>
      </c>
      <c r="U92" s="148">
        <f t="shared" si="30"/>
        <v>9695</v>
      </c>
      <c r="V92" s="379"/>
      <c r="W92" s="379"/>
      <c r="X92" s="269" t="e">
        <f>IF(B92&lt;&gt;0,VLOOKUP(B92,#REF!,4,FALSE),"")</f>
        <v>#REF!</v>
      </c>
      <c r="Y92" s="335" t="s">
        <v>1871</v>
      </c>
      <c r="Z92" s="58">
        <f t="shared" si="33"/>
        <v>-2.0370000000000008</v>
      </c>
      <c r="AA92" s="58">
        <f t="shared" si="34"/>
        <v>6198.5909999999994</v>
      </c>
      <c r="AB92" s="58"/>
      <c r="AC92" s="58">
        <f t="shared" si="35"/>
        <v>7861.68</v>
      </c>
      <c r="AD92" s="269" t="e">
        <f>IF(B92&lt;&gt;0,VLOOKUP(B92,#REF!,2,FALSE),"")</f>
        <v>#REF!</v>
      </c>
      <c r="AE92" s="267">
        <v>1604</v>
      </c>
      <c r="AF92" s="267">
        <f t="shared" si="20"/>
        <v>1067</v>
      </c>
    </row>
    <row r="93" spans="1:32" s="267" customFormat="1" ht="69.75" customHeight="1">
      <c r="A93" s="21" t="s">
        <v>731</v>
      </c>
      <c r="B93" s="20">
        <v>92766</v>
      </c>
      <c r="C93" s="19" t="s">
        <v>1553</v>
      </c>
      <c r="D93" s="21" t="s">
        <v>12</v>
      </c>
      <c r="E93" s="21" t="s">
        <v>45</v>
      </c>
      <c r="F93" s="22">
        <v>1304</v>
      </c>
      <c r="G93" s="22">
        <f t="shared" si="32"/>
        <v>11.39</v>
      </c>
      <c r="H93" s="22">
        <f t="shared" si="27"/>
        <v>14.44</v>
      </c>
      <c r="I93" s="147">
        <f t="shared" si="28"/>
        <v>18829.759999999998</v>
      </c>
      <c r="J93" s="148">
        <v>11.39</v>
      </c>
      <c r="K93" s="148">
        <v>14.44</v>
      </c>
      <c r="L93" s="148">
        <v>18829.759999999998</v>
      </c>
      <c r="M93" s="148">
        <v>12.69</v>
      </c>
      <c r="N93" s="148">
        <v>16.09</v>
      </c>
      <c r="O93" s="148">
        <v>2098.14</v>
      </c>
      <c r="P93" s="494"/>
      <c r="Q93" s="147">
        <f t="shared" si="31"/>
        <v>0</v>
      </c>
      <c r="R93" s="148"/>
      <c r="S93" s="148">
        <f t="shared" si="29"/>
        <v>0</v>
      </c>
      <c r="T93" s="148">
        <f t="shared" si="26"/>
        <v>1304</v>
      </c>
      <c r="U93" s="148">
        <f t="shared" si="30"/>
        <v>20927.899999999998</v>
      </c>
      <c r="V93" s="379"/>
      <c r="W93" s="379"/>
      <c r="X93" s="269" t="e">
        <f>IF(B93&lt;&gt;0,VLOOKUP(B93,#REF!,4,FALSE),"")</f>
        <v>#REF!</v>
      </c>
      <c r="Y93" s="335" t="s">
        <v>3189</v>
      </c>
      <c r="Z93" s="58">
        <f t="shared" si="33"/>
        <v>-2.0099999999999998</v>
      </c>
      <c r="AA93" s="58">
        <f t="shared" si="34"/>
        <v>14852.560000000001</v>
      </c>
      <c r="AB93" s="58"/>
      <c r="AC93" s="58">
        <f t="shared" si="35"/>
        <v>18829.759999999998</v>
      </c>
      <c r="AD93" s="269" t="e">
        <f>IF(B93&lt;&gt;0,VLOOKUP(B93,#REF!,2,FALSE),"")</f>
        <v>#REF!</v>
      </c>
      <c r="AE93" s="267">
        <v>58.03</v>
      </c>
      <c r="AF93" s="267">
        <f t="shared" si="20"/>
        <v>-1245.97</v>
      </c>
    </row>
    <row r="94" spans="1:32" s="267" customFormat="1" ht="60">
      <c r="A94" s="21" t="s">
        <v>732</v>
      </c>
      <c r="B94" s="20">
        <v>92720</v>
      </c>
      <c r="C94" s="19" t="s">
        <v>1554</v>
      </c>
      <c r="D94" s="21" t="s">
        <v>1914</v>
      </c>
      <c r="E94" s="21" t="s">
        <v>35</v>
      </c>
      <c r="F94" s="22">
        <v>29.09</v>
      </c>
      <c r="G94" s="22">
        <f t="shared" si="32"/>
        <v>396.94150000000002</v>
      </c>
      <c r="H94" s="22">
        <f t="shared" si="27"/>
        <v>503.36</v>
      </c>
      <c r="I94" s="147">
        <f t="shared" si="28"/>
        <v>14642.74</v>
      </c>
      <c r="J94" s="148">
        <v>396.94150000000002</v>
      </c>
      <c r="K94" s="148">
        <v>503.36</v>
      </c>
      <c r="L94" s="148">
        <v>14642.74</v>
      </c>
      <c r="M94" s="148">
        <v>442.2</v>
      </c>
      <c r="N94" s="148">
        <v>560.75</v>
      </c>
      <c r="O94" s="148">
        <v>1631.22</v>
      </c>
      <c r="P94" s="494"/>
      <c r="Q94" s="147">
        <f t="shared" si="31"/>
        <v>0</v>
      </c>
      <c r="R94" s="148"/>
      <c r="S94" s="148">
        <f t="shared" si="29"/>
        <v>0</v>
      </c>
      <c r="T94" s="148">
        <f t="shared" si="26"/>
        <v>29.09</v>
      </c>
      <c r="U94" s="148">
        <f t="shared" si="30"/>
        <v>16273.96</v>
      </c>
      <c r="V94" s="379"/>
      <c r="W94" s="379"/>
      <c r="X94" s="268">
        <f>'COMPOSIÇÃO DE CUSTOS'!G119</f>
        <v>396.95</v>
      </c>
      <c r="Y94" s="335">
        <v>466.99</v>
      </c>
      <c r="Z94" s="58">
        <f t="shared" si="33"/>
        <v>-70.04849999999999</v>
      </c>
      <c r="AA94" s="58">
        <f t="shared" si="34"/>
        <v>11547.028235</v>
      </c>
      <c r="AB94" s="58"/>
      <c r="AC94" s="58">
        <f t="shared" si="35"/>
        <v>14642.742400000001</v>
      </c>
      <c r="AD94" s="269"/>
      <c r="AF94" s="267">
        <f t="shared" si="20"/>
        <v>-29.09</v>
      </c>
    </row>
    <row r="95" spans="1:32" ht="23.25" customHeight="1">
      <c r="A95" s="69" t="s">
        <v>733</v>
      </c>
      <c r="B95" s="129"/>
      <c r="C95" s="229" t="s">
        <v>59</v>
      </c>
      <c r="D95" s="230"/>
      <c r="E95" s="230"/>
      <c r="F95" s="230"/>
      <c r="G95" s="22"/>
      <c r="H95" s="230"/>
      <c r="I95" s="445"/>
      <c r="J95" s="440"/>
      <c r="K95" s="440"/>
      <c r="L95" s="440"/>
      <c r="M95" s="440"/>
      <c r="N95" s="440"/>
      <c r="O95" s="440"/>
      <c r="P95" s="492"/>
      <c r="Q95" s="147">
        <f t="shared" si="31"/>
        <v>0</v>
      </c>
      <c r="R95" s="440"/>
      <c r="S95" s="440"/>
      <c r="T95" s="148" t="str">
        <f t="shared" si="26"/>
        <v xml:space="preserve"> </v>
      </c>
      <c r="U95" s="148"/>
      <c r="V95" s="330"/>
      <c r="W95" s="330"/>
      <c r="X95" s="58" t="str">
        <f>IF(B95&lt;&gt;0,VLOOKUP(B95,#REF!,4,FALSE),"")</f>
        <v/>
      </c>
      <c r="Y95" s="334" t="s">
        <v>1891</v>
      </c>
      <c r="Z95" s="58"/>
      <c r="AA95" s="58"/>
      <c r="AB95" s="58"/>
      <c r="AC95" s="58">
        <f t="shared" si="35"/>
        <v>0</v>
      </c>
      <c r="AD95" s="58" t="str">
        <f>IF(B95&lt;&gt;0,VLOOKUP(B95,#REF!,2,FALSE),"")</f>
        <v/>
      </c>
      <c r="AE95" s="2">
        <v>655.73</v>
      </c>
      <c r="AF95" s="55">
        <f t="shared" si="20"/>
        <v>655.73</v>
      </c>
    </row>
    <row r="96" spans="1:32" s="267" customFormat="1" ht="60">
      <c r="A96" s="21" t="s">
        <v>734</v>
      </c>
      <c r="B96" s="20">
        <v>92452</v>
      </c>
      <c r="C96" s="19" t="s">
        <v>2691</v>
      </c>
      <c r="D96" s="21" t="s">
        <v>12</v>
      </c>
      <c r="E96" s="21" t="s">
        <v>26</v>
      </c>
      <c r="F96" s="22">
        <v>645.29999999999995</v>
      </c>
      <c r="G96" s="22">
        <f t="shared" si="32"/>
        <v>86.716999999999999</v>
      </c>
      <c r="H96" s="22">
        <f t="shared" ref="H96:H105" si="36">ROUND(G96*(1+$X$13),2)</f>
        <v>109.97</v>
      </c>
      <c r="I96" s="147">
        <f t="shared" ref="I96:I105" si="37">ROUND(H96*F96,2)</f>
        <v>70963.64</v>
      </c>
      <c r="J96" s="148">
        <v>86.716999999999999</v>
      </c>
      <c r="K96" s="148">
        <v>109.97</v>
      </c>
      <c r="L96" s="148">
        <v>70963.64</v>
      </c>
      <c r="M96" s="148">
        <v>124.60000000000001</v>
      </c>
      <c r="N96" s="148">
        <v>158.01</v>
      </c>
      <c r="O96" s="148">
        <v>30589.16</v>
      </c>
      <c r="P96" s="494"/>
      <c r="Q96" s="147">
        <f t="shared" si="31"/>
        <v>0</v>
      </c>
      <c r="R96" s="148"/>
      <c r="S96" s="148">
        <f t="shared" ref="S96:S105" si="38">ROUND(R96*P96,2)</f>
        <v>0</v>
      </c>
      <c r="T96" s="148">
        <f t="shared" si="26"/>
        <v>645.29999999999995</v>
      </c>
      <c r="U96" s="148">
        <f t="shared" si="30"/>
        <v>101552.8</v>
      </c>
      <c r="V96" s="379"/>
      <c r="W96" s="379"/>
      <c r="X96" s="269" t="e">
        <f>IF(B96&lt;&gt;0,VLOOKUP(B96,#REF!,4,FALSE),"")</f>
        <v>#REF!</v>
      </c>
      <c r="Y96" s="335" t="s">
        <v>3213</v>
      </c>
      <c r="Z96" s="58">
        <f t="shared" si="33"/>
        <v>-15.302999999999997</v>
      </c>
      <c r="AA96" s="58">
        <f t="shared" si="34"/>
        <v>55958.480099999993</v>
      </c>
      <c r="AB96" s="58"/>
      <c r="AC96" s="58">
        <f t="shared" si="35"/>
        <v>70963.640999999989</v>
      </c>
      <c r="AD96" s="269" t="e">
        <f>IF(B96&lt;&gt;0,VLOOKUP(B96,#REF!,2,FALSE),"")</f>
        <v>#REF!</v>
      </c>
      <c r="AE96" s="267">
        <v>342.29999999999995</v>
      </c>
      <c r="AF96" s="267">
        <f t="shared" ref="AF96:AF131" si="39">AE96-F96</f>
        <v>-303</v>
      </c>
    </row>
    <row r="97" spans="1:32" s="267" customFormat="1" ht="75">
      <c r="A97" s="21" t="s">
        <v>735</v>
      </c>
      <c r="B97" s="20">
        <v>92759</v>
      </c>
      <c r="C97" s="19" t="s">
        <v>1536</v>
      </c>
      <c r="D97" s="21" t="s">
        <v>12</v>
      </c>
      <c r="E97" s="21" t="s">
        <v>45</v>
      </c>
      <c r="F97" s="22">
        <v>121</v>
      </c>
      <c r="G97" s="22">
        <f t="shared" si="32"/>
        <v>13.5915</v>
      </c>
      <c r="H97" s="22">
        <f t="shared" si="36"/>
        <v>17.239999999999998</v>
      </c>
      <c r="I97" s="147">
        <f t="shared" si="37"/>
        <v>2086.04</v>
      </c>
      <c r="J97" s="148">
        <v>13.5915</v>
      </c>
      <c r="K97" s="148">
        <v>17.239999999999998</v>
      </c>
      <c r="L97" s="148">
        <v>2086.04</v>
      </c>
      <c r="M97" s="148">
        <v>15.14</v>
      </c>
      <c r="N97" s="148">
        <v>19.2</v>
      </c>
      <c r="O97" s="148">
        <v>696.96</v>
      </c>
      <c r="P97" s="494"/>
      <c r="Q97" s="147">
        <f t="shared" si="31"/>
        <v>0</v>
      </c>
      <c r="R97" s="148"/>
      <c r="S97" s="148">
        <f t="shared" si="38"/>
        <v>0</v>
      </c>
      <c r="T97" s="148">
        <f t="shared" si="26"/>
        <v>121</v>
      </c>
      <c r="U97" s="148">
        <f t="shared" si="30"/>
        <v>2783</v>
      </c>
      <c r="V97" s="379"/>
      <c r="W97" s="379"/>
      <c r="X97" s="269" t="e">
        <f>IF(B97&lt;&gt;0,VLOOKUP(B97,#REF!,4,FALSE),"")</f>
        <v>#REF!</v>
      </c>
      <c r="Y97" s="335" t="s">
        <v>1853</v>
      </c>
      <c r="Z97" s="58">
        <f t="shared" si="33"/>
        <v>-2.3985000000000003</v>
      </c>
      <c r="AA97" s="58">
        <f t="shared" si="34"/>
        <v>1644.5715</v>
      </c>
      <c r="AB97" s="58"/>
      <c r="AC97" s="58">
        <f t="shared" si="35"/>
        <v>2086.04</v>
      </c>
      <c r="AD97" s="269" t="e">
        <f>IF(B97&lt;&gt;0,VLOOKUP(B97,#REF!,2,FALSE),"")</f>
        <v>#REF!</v>
      </c>
      <c r="AE97" s="267">
        <v>3613.7499999999995</v>
      </c>
      <c r="AF97" s="267">
        <f t="shared" si="39"/>
        <v>3492.7499999999995</v>
      </c>
    </row>
    <row r="98" spans="1:32" s="267" customFormat="1" ht="75">
      <c r="A98" s="21" t="s">
        <v>736</v>
      </c>
      <c r="B98" s="20">
        <v>92760</v>
      </c>
      <c r="C98" s="19" t="s">
        <v>1537</v>
      </c>
      <c r="D98" s="21" t="s">
        <v>12</v>
      </c>
      <c r="E98" s="21" t="s">
        <v>45</v>
      </c>
      <c r="F98" s="22">
        <v>1628</v>
      </c>
      <c r="G98" s="22">
        <f t="shared" si="32"/>
        <v>13.5915</v>
      </c>
      <c r="H98" s="22">
        <f t="shared" si="36"/>
        <v>17.239999999999998</v>
      </c>
      <c r="I98" s="147">
        <f t="shared" si="37"/>
        <v>28066.720000000001</v>
      </c>
      <c r="J98" s="148">
        <v>13.5915</v>
      </c>
      <c r="K98" s="148">
        <v>17.239999999999998</v>
      </c>
      <c r="L98" s="148">
        <v>28066.720000000001</v>
      </c>
      <c r="M98" s="148">
        <v>13.069999999999999</v>
      </c>
      <c r="N98" s="148">
        <v>16.57</v>
      </c>
      <c r="O98" s="148">
        <v>8092.79</v>
      </c>
      <c r="P98" s="494"/>
      <c r="Q98" s="147">
        <f t="shared" si="31"/>
        <v>0</v>
      </c>
      <c r="R98" s="148"/>
      <c r="S98" s="148">
        <f t="shared" si="38"/>
        <v>0</v>
      </c>
      <c r="T98" s="148">
        <f t="shared" si="26"/>
        <v>1628</v>
      </c>
      <c r="U98" s="148">
        <f t="shared" si="30"/>
        <v>36159.51</v>
      </c>
      <c r="V98" s="379"/>
      <c r="W98" s="379"/>
      <c r="X98" s="269" t="e">
        <f>IF(B98&lt;&gt;0,VLOOKUP(B98,#REF!,4,FALSE),"")</f>
        <v>#REF!</v>
      </c>
      <c r="Y98" s="335" t="s">
        <v>1853</v>
      </c>
      <c r="Z98" s="58">
        <f t="shared" si="33"/>
        <v>-2.3985000000000003</v>
      </c>
      <c r="AA98" s="58">
        <f t="shared" si="34"/>
        <v>22126.962</v>
      </c>
      <c r="AB98" s="58"/>
      <c r="AC98" s="58">
        <f t="shared" si="35"/>
        <v>28066.719999999998</v>
      </c>
      <c r="AD98" s="269" t="e">
        <f>IF(B98&lt;&gt;0,VLOOKUP(B98,#REF!,2,FALSE),"")</f>
        <v>#REF!</v>
      </c>
      <c r="AE98" s="267">
        <v>710.15</v>
      </c>
      <c r="AF98" s="267">
        <f t="shared" si="39"/>
        <v>-917.85</v>
      </c>
    </row>
    <row r="99" spans="1:32" s="267" customFormat="1" ht="75">
      <c r="A99" s="21" t="s">
        <v>737</v>
      </c>
      <c r="B99" s="20">
        <v>92761</v>
      </c>
      <c r="C99" s="19" t="s">
        <v>1538</v>
      </c>
      <c r="D99" s="21" t="s">
        <v>12</v>
      </c>
      <c r="E99" s="21" t="s">
        <v>45</v>
      </c>
      <c r="F99" s="22">
        <v>687</v>
      </c>
      <c r="G99" s="22">
        <f t="shared" si="32"/>
        <v>13.276999999999999</v>
      </c>
      <c r="H99" s="22">
        <f t="shared" si="36"/>
        <v>16.84</v>
      </c>
      <c r="I99" s="147">
        <f t="shared" si="37"/>
        <v>11569.08</v>
      </c>
      <c r="J99" s="148">
        <v>13.276999999999999</v>
      </c>
      <c r="K99" s="148">
        <v>16.84</v>
      </c>
      <c r="L99" s="148">
        <v>11569.08</v>
      </c>
      <c r="M99" s="148">
        <v>14.79</v>
      </c>
      <c r="N99" s="148">
        <v>18.760000000000002</v>
      </c>
      <c r="O99" s="148">
        <v>3866.44</v>
      </c>
      <c r="P99" s="494"/>
      <c r="Q99" s="147">
        <f t="shared" si="31"/>
        <v>0</v>
      </c>
      <c r="R99" s="148"/>
      <c r="S99" s="148">
        <f t="shared" si="38"/>
        <v>0</v>
      </c>
      <c r="T99" s="148">
        <f t="shared" si="26"/>
        <v>687</v>
      </c>
      <c r="U99" s="148">
        <f t="shared" si="30"/>
        <v>15435.52</v>
      </c>
      <c r="V99" s="379"/>
      <c r="W99" s="379"/>
      <c r="X99" s="269" t="e">
        <f>IF(B99&lt;&gt;0,VLOOKUP(B99,#REF!,4,FALSE),"")</f>
        <v>#REF!</v>
      </c>
      <c r="Y99" s="335" t="s">
        <v>3214</v>
      </c>
      <c r="Z99" s="58">
        <f t="shared" si="33"/>
        <v>-2.343</v>
      </c>
      <c r="AA99" s="58">
        <f t="shared" si="34"/>
        <v>9121.2989999999991</v>
      </c>
      <c r="AB99" s="58"/>
      <c r="AC99" s="58">
        <f t="shared" si="35"/>
        <v>11569.08</v>
      </c>
      <c r="AD99" s="269" t="e">
        <f>IF(B99&lt;&gt;0,VLOOKUP(B99,#REF!,2,FALSE),"")</f>
        <v>#REF!</v>
      </c>
      <c r="AE99" s="267">
        <v>2052.75</v>
      </c>
      <c r="AF99" s="267">
        <f t="shared" si="39"/>
        <v>1365.75</v>
      </c>
    </row>
    <row r="100" spans="1:32" s="267" customFormat="1" ht="75">
      <c r="A100" s="21" t="s">
        <v>738</v>
      </c>
      <c r="B100" s="20">
        <v>92762</v>
      </c>
      <c r="C100" s="19" t="s">
        <v>1539</v>
      </c>
      <c r="D100" s="21" t="s">
        <v>12</v>
      </c>
      <c r="E100" s="21" t="s">
        <v>45</v>
      </c>
      <c r="F100" s="22">
        <v>995</v>
      </c>
      <c r="G100" s="22">
        <f t="shared" si="32"/>
        <v>12.1295</v>
      </c>
      <c r="H100" s="22">
        <f t="shared" si="36"/>
        <v>15.38</v>
      </c>
      <c r="I100" s="147">
        <f t="shared" si="37"/>
        <v>15303.1</v>
      </c>
      <c r="J100" s="148">
        <v>12.1295</v>
      </c>
      <c r="K100" s="148">
        <v>15.38</v>
      </c>
      <c r="L100" s="148">
        <v>15303.1</v>
      </c>
      <c r="M100" s="148">
        <v>11.49</v>
      </c>
      <c r="N100" s="148">
        <v>14.57</v>
      </c>
      <c r="O100" s="148">
        <v>4349.1499999999996</v>
      </c>
      <c r="P100" s="494"/>
      <c r="Q100" s="147">
        <f t="shared" si="31"/>
        <v>0</v>
      </c>
      <c r="R100" s="148"/>
      <c r="S100" s="148">
        <f t="shared" si="38"/>
        <v>0</v>
      </c>
      <c r="T100" s="148">
        <f t="shared" si="26"/>
        <v>995</v>
      </c>
      <c r="U100" s="148">
        <f t="shared" si="30"/>
        <v>19652.25</v>
      </c>
      <c r="V100" s="379"/>
      <c r="W100" s="379"/>
      <c r="X100" s="269" t="e">
        <f>IF(B100&lt;&gt;0,VLOOKUP(B100,#REF!,4,FALSE),"")</f>
        <v>#REF!</v>
      </c>
      <c r="Y100" s="335" t="s">
        <v>3151</v>
      </c>
      <c r="Z100" s="58">
        <f t="shared" si="33"/>
        <v>-2.1404999999999994</v>
      </c>
      <c r="AA100" s="58">
        <f t="shared" si="34"/>
        <v>12068.852500000001</v>
      </c>
      <c r="AB100" s="58"/>
      <c r="AC100" s="58">
        <f t="shared" si="35"/>
        <v>15303.1</v>
      </c>
      <c r="AD100" s="269" t="e">
        <f>IF(B100&lt;&gt;0,VLOOKUP(B100,#REF!,2,FALSE),"")</f>
        <v>#REF!</v>
      </c>
      <c r="AE100" s="267">
        <v>2603.6499999999996</v>
      </c>
      <c r="AF100" s="267">
        <f t="shared" si="39"/>
        <v>1608.6499999999996</v>
      </c>
    </row>
    <row r="101" spans="1:32" s="267" customFormat="1" ht="75">
      <c r="A101" s="21" t="s">
        <v>739</v>
      </c>
      <c r="B101" s="20">
        <v>92763</v>
      </c>
      <c r="C101" s="19" t="s">
        <v>1540</v>
      </c>
      <c r="D101" s="21" t="s">
        <v>12</v>
      </c>
      <c r="E101" s="21" t="s">
        <v>45</v>
      </c>
      <c r="F101" s="22">
        <v>1245</v>
      </c>
      <c r="G101" s="22">
        <f t="shared" si="32"/>
        <v>10.361499999999999</v>
      </c>
      <c r="H101" s="22">
        <f t="shared" si="36"/>
        <v>13.14</v>
      </c>
      <c r="I101" s="147">
        <f t="shared" si="37"/>
        <v>16359.3</v>
      </c>
      <c r="J101" s="148">
        <v>10.361499999999999</v>
      </c>
      <c r="K101" s="148">
        <v>13.14</v>
      </c>
      <c r="L101" s="148">
        <v>16359.3</v>
      </c>
      <c r="M101" s="148">
        <v>10.50122</v>
      </c>
      <c r="N101" s="148">
        <v>13.32</v>
      </c>
      <c r="O101" s="148">
        <v>4975.0200000000004</v>
      </c>
      <c r="P101" s="494"/>
      <c r="Q101" s="147">
        <f t="shared" si="31"/>
        <v>0</v>
      </c>
      <c r="R101" s="148"/>
      <c r="S101" s="148">
        <f t="shared" si="38"/>
        <v>0</v>
      </c>
      <c r="T101" s="148">
        <f t="shared" si="26"/>
        <v>1245</v>
      </c>
      <c r="U101" s="148">
        <f t="shared" si="30"/>
        <v>21334.32</v>
      </c>
      <c r="V101" s="379"/>
      <c r="W101" s="379"/>
      <c r="X101" s="269" t="e">
        <f>IF(B101&lt;&gt;0,VLOOKUP(B101,#REF!,4,FALSE),"")</f>
        <v>#REF!</v>
      </c>
      <c r="Y101" s="335" t="s">
        <v>3131</v>
      </c>
      <c r="Z101" s="58">
        <f t="shared" si="33"/>
        <v>-1.8285</v>
      </c>
      <c r="AA101" s="58">
        <f t="shared" si="34"/>
        <v>12900.067499999999</v>
      </c>
      <c r="AB101" s="58"/>
      <c r="AC101" s="58">
        <f t="shared" si="35"/>
        <v>16359.300000000001</v>
      </c>
      <c r="AD101" s="269" t="e">
        <f>IF(B101&lt;&gt;0,VLOOKUP(B101,#REF!,2,FALSE),"")</f>
        <v>#REF!</v>
      </c>
      <c r="AE101" s="267">
        <v>2191.35</v>
      </c>
      <c r="AF101" s="267">
        <f t="shared" si="39"/>
        <v>946.34999999999991</v>
      </c>
    </row>
    <row r="102" spans="1:32" s="267" customFormat="1" ht="75">
      <c r="A102" s="21" t="s">
        <v>740</v>
      </c>
      <c r="B102" s="20">
        <v>92764</v>
      </c>
      <c r="C102" s="19" t="s">
        <v>1541</v>
      </c>
      <c r="D102" s="21" t="s">
        <v>12</v>
      </c>
      <c r="E102" s="21" t="s">
        <v>45</v>
      </c>
      <c r="F102" s="22">
        <v>933</v>
      </c>
      <c r="G102" s="22">
        <f t="shared" si="32"/>
        <v>10.064</v>
      </c>
      <c r="H102" s="22">
        <f t="shared" si="36"/>
        <v>12.76</v>
      </c>
      <c r="I102" s="147">
        <f t="shared" si="37"/>
        <v>11905.08</v>
      </c>
      <c r="J102" s="148">
        <v>10.064</v>
      </c>
      <c r="K102" s="148">
        <v>12.76</v>
      </c>
      <c r="L102" s="148">
        <v>11905.08</v>
      </c>
      <c r="M102" s="148">
        <v>10.28</v>
      </c>
      <c r="N102" s="148">
        <v>13.04</v>
      </c>
      <c r="O102" s="148">
        <v>3649.9</v>
      </c>
      <c r="P102" s="494"/>
      <c r="Q102" s="147">
        <f t="shared" si="31"/>
        <v>0</v>
      </c>
      <c r="R102" s="148"/>
      <c r="S102" s="148">
        <f t="shared" si="38"/>
        <v>0</v>
      </c>
      <c r="T102" s="148">
        <f t="shared" si="26"/>
        <v>933</v>
      </c>
      <c r="U102" s="148">
        <f t="shared" si="30"/>
        <v>15554.98</v>
      </c>
      <c r="V102" s="379"/>
      <c r="W102" s="379"/>
      <c r="X102" s="269" t="e">
        <f>IF(B102&lt;&gt;0,VLOOKUP(B102,#REF!,4,FALSE),"")</f>
        <v>#REF!</v>
      </c>
      <c r="Y102" s="335" t="s">
        <v>3041</v>
      </c>
      <c r="Z102" s="58">
        <f t="shared" si="33"/>
        <v>-1.7759999999999998</v>
      </c>
      <c r="AA102" s="58">
        <f t="shared" si="34"/>
        <v>9389.7119999999995</v>
      </c>
      <c r="AB102" s="58"/>
      <c r="AC102" s="58">
        <f t="shared" si="35"/>
        <v>11905.08</v>
      </c>
      <c r="AD102" s="269" t="e">
        <f>IF(B102&lt;&gt;0,VLOOKUP(B102,#REF!,2,FALSE),"")</f>
        <v>#REF!</v>
      </c>
      <c r="AE102" s="267">
        <v>2706.5499999999997</v>
      </c>
      <c r="AF102" s="267">
        <f t="shared" si="39"/>
        <v>1773.5499999999997</v>
      </c>
    </row>
    <row r="103" spans="1:32" s="267" customFormat="1" ht="75">
      <c r="A103" s="21" t="s">
        <v>741</v>
      </c>
      <c r="B103" s="20">
        <v>92765</v>
      </c>
      <c r="C103" s="19" t="s">
        <v>1552</v>
      </c>
      <c r="D103" s="21" t="s">
        <v>12</v>
      </c>
      <c r="E103" s="21" t="s">
        <v>45</v>
      </c>
      <c r="F103" s="22">
        <v>1163</v>
      </c>
      <c r="G103" s="22">
        <f t="shared" si="32"/>
        <v>11.542999999999999</v>
      </c>
      <c r="H103" s="22">
        <f t="shared" si="36"/>
        <v>14.64</v>
      </c>
      <c r="I103" s="147">
        <f t="shared" si="37"/>
        <v>17026.32</v>
      </c>
      <c r="J103" s="148">
        <v>11.542999999999999</v>
      </c>
      <c r="K103" s="148">
        <v>14.64</v>
      </c>
      <c r="L103" s="148">
        <v>17026.32</v>
      </c>
      <c r="M103" s="148">
        <v>10.6</v>
      </c>
      <c r="N103" s="148">
        <v>13.44</v>
      </c>
      <c r="O103" s="148">
        <v>4689.22</v>
      </c>
      <c r="P103" s="494"/>
      <c r="Q103" s="147">
        <f t="shared" si="31"/>
        <v>0</v>
      </c>
      <c r="R103" s="148"/>
      <c r="S103" s="148">
        <f t="shared" si="38"/>
        <v>0</v>
      </c>
      <c r="T103" s="148">
        <f t="shared" si="26"/>
        <v>1163</v>
      </c>
      <c r="U103" s="148">
        <f t="shared" si="30"/>
        <v>21715.54</v>
      </c>
      <c r="V103" s="379"/>
      <c r="W103" s="379"/>
      <c r="X103" s="269" t="e">
        <f>IF(B103&lt;&gt;0,VLOOKUP(B103,#REF!,4,FALSE),"")</f>
        <v>#REF!</v>
      </c>
      <c r="Y103" s="335" t="s">
        <v>1871</v>
      </c>
      <c r="Z103" s="58">
        <f t="shared" si="33"/>
        <v>-2.0370000000000008</v>
      </c>
      <c r="AA103" s="58">
        <f t="shared" si="34"/>
        <v>13424.509</v>
      </c>
      <c r="AB103" s="58"/>
      <c r="AC103" s="58">
        <f t="shared" si="35"/>
        <v>17026.32</v>
      </c>
      <c r="AD103" s="269" t="e">
        <f>IF(B103&lt;&gt;0,VLOOKUP(B103,#REF!,2,FALSE),"")</f>
        <v>#REF!</v>
      </c>
      <c r="AE103" s="267">
        <v>2127.2999999999997</v>
      </c>
      <c r="AF103" s="267">
        <f t="shared" si="39"/>
        <v>964.29999999999973</v>
      </c>
    </row>
    <row r="104" spans="1:32" s="267" customFormat="1" ht="65.25" customHeight="1">
      <c r="A104" s="21" t="s">
        <v>742</v>
      </c>
      <c r="B104" s="20">
        <v>92766</v>
      </c>
      <c r="C104" s="19" t="s">
        <v>1553</v>
      </c>
      <c r="D104" s="21" t="s">
        <v>12</v>
      </c>
      <c r="E104" s="21" t="s">
        <v>45</v>
      </c>
      <c r="F104" s="22">
        <v>2030</v>
      </c>
      <c r="G104" s="22">
        <f t="shared" si="32"/>
        <v>11.39</v>
      </c>
      <c r="H104" s="22">
        <f t="shared" si="36"/>
        <v>14.44</v>
      </c>
      <c r="I104" s="147">
        <f t="shared" si="37"/>
        <v>29313.200000000001</v>
      </c>
      <c r="J104" s="148">
        <v>11.39</v>
      </c>
      <c r="K104" s="148">
        <v>14.44</v>
      </c>
      <c r="L104" s="148">
        <v>29313.200000000001</v>
      </c>
      <c r="M104" s="148">
        <v>12.69</v>
      </c>
      <c r="N104" s="148">
        <v>16.09</v>
      </c>
      <c r="O104" s="148">
        <v>9798.81</v>
      </c>
      <c r="P104" s="494"/>
      <c r="Q104" s="147">
        <f t="shared" si="31"/>
        <v>0</v>
      </c>
      <c r="R104" s="148"/>
      <c r="S104" s="148">
        <f t="shared" si="38"/>
        <v>0</v>
      </c>
      <c r="T104" s="148">
        <f t="shared" si="26"/>
        <v>2030</v>
      </c>
      <c r="U104" s="148">
        <f t="shared" si="30"/>
        <v>39112.01</v>
      </c>
      <c r="V104" s="379"/>
      <c r="W104" s="379"/>
      <c r="X104" s="269" t="e">
        <f>IF(B104&lt;&gt;0,VLOOKUP(B104,#REF!,4,FALSE),"")</f>
        <v>#REF!</v>
      </c>
      <c r="Y104" s="335" t="s">
        <v>3189</v>
      </c>
      <c r="Z104" s="58">
        <f t="shared" si="33"/>
        <v>-2.0099999999999998</v>
      </c>
      <c r="AA104" s="58">
        <f t="shared" si="34"/>
        <v>23121.7</v>
      </c>
      <c r="AB104" s="58"/>
      <c r="AC104" s="58">
        <f t="shared" si="35"/>
        <v>29313.200000000001</v>
      </c>
      <c r="AD104" s="269" t="e">
        <f>IF(B104&lt;&gt;0,VLOOKUP(B104,#REF!,2,FALSE),"")</f>
        <v>#REF!</v>
      </c>
      <c r="AE104" s="267">
        <v>131.376</v>
      </c>
      <c r="AF104" s="267">
        <f t="shared" si="39"/>
        <v>-1898.624</v>
      </c>
    </row>
    <row r="105" spans="1:32" s="267" customFormat="1" ht="75">
      <c r="A105" s="21" t="s">
        <v>743</v>
      </c>
      <c r="B105" s="20">
        <v>92725</v>
      </c>
      <c r="C105" s="19" t="s">
        <v>1542</v>
      </c>
      <c r="D105" s="21" t="s">
        <v>1914</v>
      </c>
      <c r="E105" s="21" t="s">
        <v>35</v>
      </c>
      <c r="F105" s="22">
        <v>67.87</v>
      </c>
      <c r="G105" s="22">
        <f t="shared" si="32"/>
        <v>394.35749999999996</v>
      </c>
      <c r="H105" s="22">
        <f t="shared" si="36"/>
        <v>500.08</v>
      </c>
      <c r="I105" s="147">
        <f t="shared" si="37"/>
        <v>33940.43</v>
      </c>
      <c r="J105" s="148">
        <v>394.35749999999996</v>
      </c>
      <c r="K105" s="148">
        <v>500.08</v>
      </c>
      <c r="L105" s="148">
        <v>33940.43</v>
      </c>
      <c r="M105" s="148">
        <v>600.08000000000004</v>
      </c>
      <c r="N105" s="148">
        <v>760.96</v>
      </c>
      <c r="O105" s="148">
        <v>15493.91</v>
      </c>
      <c r="P105" s="494"/>
      <c r="Q105" s="147">
        <f t="shared" si="31"/>
        <v>0</v>
      </c>
      <c r="R105" s="148"/>
      <c r="S105" s="148">
        <f t="shared" si="38"/>
        <v>0</v>
      </c>
      <c r="T105" s="148">
        <f t="shared" si="26"/>
        <v>67.87</v>
      </c>
      <c r="U105" s="148">
        <f t="shared" si="30"/>
        <v>49434.34</v>
      </c>
      <c r="V105" s="379"/>
      <c r="W105" s="379">
        <f>'PLANILHA ORÇA - CORREGEDORIA'!V174</f>
        <v>419437.86</v>
      </c>
      <c r="X105" s="268">
        <f>'COMPOSIÇÃO DE CUSTOS'!G130</f>
        <v>394.36</v>
      </c>
      <c r="Y105" s="335">
        <v>463.95</v>
      </c>
      <c r="Z105" s="58">
        <f t="shared" si="33"/>
        <v>-69.59250000000003</v>
      </c>
      <c r="AA105" s="58">
        <f t="shared" si="34"/>
        <v>26765.043524999997</v>
      </c>
      <c r="AB105" s="58"/>
      <c r="AC105" s="58">
        <f t="shared" si="35"/>
        <v>33940.429600000003</v>
      </c>
      <c r="AD105" s="269"/>
      <c r="AF105" s="267">
        <f t="shared" si="39"/>
        <v>-67.87</v>
      </c>
    </row>
    <row r="106" spans="1:32">
      <c r="A106" s="69" t="s">
        <v>744</v>
      </c>
      <c r="B106" s="129"/>
      <c r="C106" s="229" t="s">
        <v>60</v>
      </c>
      <c r="D106" s="230"/>
      <c r="E106" s="230"/>
      <c r="F106" s="230"/>
      <c r="G106" s="22"/>
      <c r="H106" s="230"/>
      <c r="I106" s="445"/>
      <c r="J106" s="440"/>
      <c r="K106" s="440"/>
      <c r="L106" s="440"/>
      <c r="M106" s="440"/>
      <c r="N106" s="440"/>
      <c r="O106" s="440"/>
      <c r="P106" s="492"/>
      <c r="Q106" s="445"/>
      <c r="R106" s="440"/>
      <c r="S106" s="440"/>
      <c r="T106" s="148" t="str">
        <f t="shared" si="26"/>
        <v xml:space="preserve"> </v>
      </c>
      <c r="U106" s="148"/>
      <c r="V106" s="330"/>
      <c r="W106" s="330">
        <f>SUM(Q117:Q119)-S107</f>
        <v>299220.46999999997</v>
      </c>
      <c r="X106" s="58" t="str">
        <f>IF(B106&lt;&gt;0,VLOOKUP(B106,#REF!,4,FALSE),"")</f>
        <v/>
      </c>
      <c r="Y106" s="334" t="s">
        <v>1891</v>
      </c>
      <c r="Z106" s="58"/>
      <c r="AA106" s="58"/>
      <c r="AB106" s="58"/>
      <c r="AC106" s="58">
        <f t="shared" si="35"/>
        <v>0</v>
      </c>
      <c r="AD106" s="58" t="str">
        <f>IF(B106&lt;&gt;0,VLOOKUP(B106,#REF!,2,FALSE),"")</f>
        <v/>
      </c>
      <c r="AE106" s="2">
        <v>1336.03</v>
      </c>
      <c r="AF106" s="55">
        <f t="shared" si="39"/>
        <v>1336.03</v>
      </c>
    </row>
    <row r="107" spans="1:32" s="38" customFormat="1" ht="90">
      <c r="A107" s="447" t="s">
        <v>745</v>
      </c>
      <c r="B107" s="448">
        <v>92489</v>
      </c>
      <c r="C107" s="449" t="s">
        <v>1833</v>
      </c>
      <c r="D107" s="447" t="s">
        <v>1914</v>
      </c>
      <c r="E107" s="447" t="s">
        <v>26</v>
      </c>
      <c r="F107" s="450">
        <v>998.31</v>
      </c>
      <c r="G107" s="450">
        <f t="shared" si="32"/>
        <v>28.823499999999996</v>
      </c>
      <c r="H107" s="450">
        <f t="shared" ref="H107:H116" si="40">ROUND(G107*(1+$X$13),2)</f>
        <v>36.549999999999997</v>
      </c>
      <c r="I107" s="451">
        <f t="shared" ref="I107:I116" si="41">ROUND(H107*F107,2)</f>
        <v>36488.230000000003</v>
      </c>
      <c r="J107" s="452">
        <v>28.823499999999996</v>
      </c>
      <c r="K107" s="452">
        <v>36.549999999999997</v>
      </c>
      <c r="L107" s="452">
        <v>36488.230000000003</v>
      </c>
      <c r="M107" s="452">
        <v>41.72</v>
      </c>
      <c r="N107" s="452">
        <v>52.91</v>
      </c>
      <c r="O107" s="452">
        <v>15846.17</v>
      </c>
      <c r="P107" s="493"/>
      <c r="Q107" s="451">
        <f>ROUND(P107*H107,2)</f>
        <v>0</v>
      </c>
      <c r="R107" s="452">
        <f>F107</f>
        <v>998.31</v>
      </c>
      <c r="S107" s="452">
        <f>O107+L107</f>
        <v>52334.400000000001</v>
      </c>
      <c r="T107" s="452">
        <f t="shared" si="26"/>
        <v>0</v>
      </c>
      <c r="U107" s="452">
        <f t="shared" si="30"/>
        <v>0</v>
      </c>
      <c r="V107" s="453"/>
      <c r="W107" s="453"/>
      <c r="X107" s="42">
        <f>'COMPOSIÇÃO DE CUSTOS'!G141</f>
        <v>28.84</v>
      </c>
      <c r="Y107" s="336">
        <v>33.909999999999997</v>
      </c>
      <c r="Z107" s="39">
        <f t="shared" si="33"/>
        <v>-5.0865000000000009</v>
      </c>
      <c r="AA107" s="39">
        <f t="shared" si="34"/>
        <v>28774.788284999995</v>
      </c>
      <c r="AB107" s="39"/>
      <c r="AC107" s="39">
        <f t="shared" si="35"/>
        <v>36488.230499999998</v>
      </c>
      <c r="AD107" s="39" t="e">
        <f>IF(B107&lt;&gt;0,VLOOKUP(B107,#REF!,2,FALSE),"")</f>
        <v>#REF!</v>
      </c>
      <c r="AE107" s="38">
        <v>242.47299999999998</v>
      </c>
      <c r="AF107" s="38">
        <f t="shared" si="39"/>
        <v>-755.83699999999999</v>
      </c>
    </row>
    <row r="108" spans="1:32" s="267" customFormat="1" ht="60">
      <c r="A108" s="21" t="s">
        <v>746</v>
      </c>
      <c r="B108" s="20">
        <v>92481</v>
      </c>
      <c r="C108" s="19" t="s">
        <v>1535</v>
      </c>
      <c r="D108" s="21" t="s">
        <v>1914</v>
      </c>
      <c r="E108" s="21" t="s">
        <v>26</v>
      </c>
      <c r="F108" s="22">
        <v>29.22</v>
      </c>
      <c r="G108" s="22">
        <f t="shared" si="32"/>
        <v>197.89699999999999</v>
      </c>
      <c r="H108" s="22">
        <f t="shared" si="40"/>
        <v>250.95</v>
      </c>
      <c r="I108" s="147">
        <f t="shared" si="41"/>
        <v>7332.76</v>
      </c>
      <c r="J108" s="148">
        <v>197.89699999999999</v>
      </c>
      <c r="K108" s="148">
        <v>250.95</v>
      </c>
      <c r="L108" s="148">
        <v>7332.76</v>
      </c>
      <c r="M108" s="148">
        <v>284.67</v>
      </c>
      <c r="N108" s="148">
        <v>360.99</v>
      </c>
      <c r="O108" s="148">
        <v>3164.44</v>
      </c>
      <c r="P108" s="494"/>
      <c r="Q108" s="147">
        <f t="shared" ref="Q108:Q116" si="42">ROUND(P108*N108,2)</f>
        <v>0</v>
      </c>
      <c r="R108" s="148"/>
      <c r="S108" s="148">
        <f t="shared" ref="S108:S116" si="43">ROUND(R108*P108,2)</f>
        <v>0</v>
      </c>
      <c r="T108" s="148">
        <f t="shared" si="26"/>
        <v>29.22</v>
      </c>
      <c r="U108" s="148">
        <f t="shared" si="30"/>
        <v>10497.2</v>
      </c>
      <c r="V108" s="379"/>
      <c r="W108" s="379"/>
      <c r="X108" s="268">
        <f>'COMPOSIÇÃO DE CUSTOS'!G152</f>
        <v>197.9</v>
      </c>
      <c r="Y108" s="335">
        <v>232.82</v>
      </c>
      <c r="Z108" s="58">
        <f t="shared" si="33"/>
        <v>-34.923000000000002</v>
      </c>
      <c r="AA108" s="58">
        <f t="shared" si="34"/>
        <v>5782.5503399999998</v>
      </c>
      <c r="AB108" s="58"/>
      <c r="AC108" s="58">
        <f t="shared" si="35"/>
        <v>7332.7589999999991</v>
      </c>
      <c r="AD108" s="269" t="e">
        <f>IF(B108&lt;&gt;0,VLOOKUP(B108,#REF!,2,FALSE),"")</f>
        <v>#REF!</v>
      </c>
      <c r="AE108" s="267">
        <v>241.85</v>
      </c>
      <c r="AF108" s="267">
        <f t="shared" si="39"/>
        <v>212.63</v>
      </c>
    </row>
    <row r="109" spans="1:32" s="267" customFormat="1" ht="60">
      <c r="A109" s="21" t="s">
        <v>3395</v>
      </c>
      <c r="B109" s="20">
        <v>92769</v>
      </c>
      <c r="C109" s="19" t="s">
        <v>1556</v>
      </c>
      <c r="D109" s="21" t="s">
        <v>12</v>
      </c>
      <c r="E109" s="21" t="s">
        <v>45</v>
      </c>
      <c r="F109" s="22">
        <v>59</v>
      </c>
      <c r="G109" s="22">
        <f t="shared" si="32"/>
        <v>12.954000000000001</v>
      </c>
      <c r="H109" s="22">
        <f t="shared" si="40"/>
        <v>16.43</v>
      </c>
      <c r="I109" s="147">
        <f t="shared" si="41"/>
        <v>969.37</v>
      </c>
      <c r="J109" s="148">
        <v>12.954000000000001</v>
      </c>
      <c r="K109" s="148">
        <v>16.43</v>
      </c>
      <c r="L109" s="148">
        <v>969.37</v>
      </c>
      <c r="M109" s="148">
        <v>14.43</v>
      </c>
      <c r="N109" s="148">
        <v>18.3</v>
      </c>
      <c r="O109" s="148">
        <v>323.91000000000003</v>
      </c>
      <c r="P109" s="494"/>
      <c r="Q109" s="147">
        <f t="shared" si="42"/>
        <v>0</v>
      </c>
      <c r="R109" s="148"/>
      <c r="S109" s="148">
        <f t="shared" si="43"/>
        <v>0</v>
      </c>
      <c r="T109" s="148">
        <f t="shared" si="26"/>
        <v>59</v>
      </c>
      <c r="U109" s="148">
        <f t="shared" si="30"/>
        <v>1293.28</v>
      </c>
      <c r="V109" s="379"/>
      <c r="W109" s="379"/>
      <c r="X109" s="269" t="e">
        <f>IF(B109&lt;&gt;0,VLOOKUP(B109,#REF!,4,FALSE),"")</f>
        <v>#REF!</v>
      </c>
      <c r="Y109" s="335" t="s">
        <v>3146</v>
      </c>
      <c r="Z109" s="58">
        <f t="shared" si="33"/>
        <v>-2.2859999999999996</v>
      </c>
      <c r="AA109" s="58">
        <f t="shared" si="34"/>
        <v>764.28600000000006</v>
      </c>
      <c r="AB109" s="58"/>
      <c r="AC109" s="58">
        <f t="shared" si="35"/>
        <v>969.37</v>
      </c>
      <c r="AD109" s="269" t="e">
        <f>IF(B109&lt;&gt;0,VLOOKUP(B109,#REF!,2,FALSE),"")</f>
        <v>#REF!</v>
      </c>
      <c r="AE109" s="267">
        <v>485.79999999999995</v>
      </c>
      <c r="AF109" s="267">
        <f t="shared" si="39"/>
        <v>426.79999999999995</v>
      </c>
    </row>
    <row r="110" spans="1:32" s="267" customFormat="1" ht="60">
      <c r="A110" s="21" t="s">
        <v>3396</v>
      </c>
      <c r="B110" s="20">
        <v>92770</v>
      </c>
      <c r="C110" s="19" t="s">
        <v>1557</v>
      </c>
      <c r="D110" s="21" t="s">
        <v>12</v>
      </c>
      <c r="E110" s="21" t="s">
        <v>45</v>
      </c>
      <c r="F110" s="22">
        <v>191</v>
      </c>
      <c r="G110" s="22">
        <f t="shared" si="32"/>
        <v>12.783999999999999</v>
      </c>
      <c r="H110" s="22">
        <f t="shared" si="40"/>
        <v>16.21</v>
      </c>
      <c r="I110" s="147">
        <f t="shared" si="41"/>
        <v>3096.11</v>
      </c>
      <c r="J110" s="148">
        <v>12.783999999999999</v>
      </c>
      <c r="K110" s="148">
        <v>16.21</v>
      </c>
      <c r="L110" s="148">
        <v>3096.11</v>
      </c>
      <c r="M110" s="148">
        <v>14.24</v>
      </c>
      <c r="N110" s="148">
        <v>18.059999999999999</v>
      </c>
      <c r="O110" s="148">
        <v>1034.8399999999999</v>
      </c>
      <c r="P110" s="494"/>
      <c r="Q110" s="147">
        <f t="shared" si="42"/>
        <v>0</v>
      </c>
      <c r="R110" s="148"/>
      <c r="S110" s="148">
        <f t="shared" si="43"/>
        <v>0</v>
      </c>
      <c r="T110" s="148">
        <f t="shared" si="26"/>
        <v>191</v>
      </c>
      <c r="U110" s="148">
        <f t="shared" si="30"/>
        <v>4130.95</v>
      </c>
      <c r="V110" s="379"/>
      <c r="W110" s="379"/>
      <c r="X110" s="269" t="e">
        <f>IF(B110&lt;&gt;0,VLOOKUP(B110,#REF!,4,FALSE),"")</f>
        <v>#REF!</v>
      </c>
      <c r="Y110" s="335" t="s">
        <v>1837</v>
      </c>
      <c r="Z110" s="58">
        <f t="shared" si="33"/>
        <v>-2.2560000000000002</v>
      </c>
      <c r="AA110" s="58">
        <f t="shared" si="34"/>
        <v>2441.7439999999997</v>
      </c>
      <c r="AB110" s="58"/>
      <c r="AC110" s="58">
        <f t="shared" si="35"/>
        <v>3096.11</v>
      </c>
      <c r="AD110" s="269" t="e">
        <f>IF(B110&lt;&gt;0,VLOOKUP(B110,#REF!,2,FALSE),"")</f>
        <v>#REF!</v>
      </c>
      <c r="AE110" s="267">
        <v>1363.6</v>
      </c>
      <c r="AF110" s="267">
        <f t="shared" si="39"/>
        <v>1172.5999999999999</v>
      </c>
    </row>
    <row r="111" spans="1:32" s="267" customFormat="1" ht="60">
      <c r="A111" s="21" t="s">
        <v>3397</v>
      </c>
      <c r="B111" s="20">
        <v>92771</v>
      </c>
      <c r="C111" s="19" t="s">
        <v>1558</v>
      </c>
      <c r="D111" s="21" t="s">
        <v>12</v>
      </c>
      <c r="E111" s="21" t="s">
        <v>45</v>
      </c>
      <c r="F111" s="22">
        <v>690</v>
      </c>
      <c r="G111" s="22">
        <f t="shared" si="32"/>
        <v>11.721499999999999</v>
      </c>
      <c r="H111" s="22">
        <f t="shared" si="40"/>
        <v>14.86</v>
      </c>
      <c r="I111" s="147">
        <f t="shared" si="41"/>
        <v>10253.4</v>
      </c>
      <c r="J111" s="148">
        <v>11.721499999999999</v>
      </c>
      <c r="K111" s="148">
        <v>14.86</v>
      </c>
      <c r="L111" s="148">
        <v>10253.4</v>
      </c>
      <c r="M111" s="148">
        <v>13.06</v>
      </c>
      <c r="N111" s="148">
        <v>16.559999999999999</v>
      </c>
      <c r="O111" s="148">
        <v>3427.92</v>
      </c>
      <c r="P111" s="494"/>
      <c r="Q111" s="147">
        <f t="shared" si="42"/>
        <v>0</v>
      </c>
      <c r="R111" s="148"/>
      <c r="S111" s="148">
        <f t="shared" si="43"/>
        <v>0</v>
      </c>
      <c r="T111" s="148">
        <f t="shared" si="26"/>
        <v>690</v>
      </c>
      <c r="U111" s="148">
        <f t="shared" si="30"/>
        <v>13681.32</v>
      </c>
      <c r="V111" s="379"/>
      <c r="W111" s="379"/>
      <c r="X111" s="269" t="e">
        <f>IF(B111&lt;&gt;0,VLOOKUP(B111,#REF!,4,FALSE),"")</f>
        <v>#REF!</v>
      </c>
      <c r="Y111" s="335" t="s">
        <v>3035</v>
      </c>
      <c r="Z111" s="58">
        <f t="shared" si="33"/>
        <v>-2.0685000000000002</v>
      </c>
      <c r="AA111" s="58">
        <f t="shared" si="34"/>
        <v>8087.8349999999991</v>
      </c>
      <c r="AB111" s="58"/>
      <c r="AC111" s="58">
        <f t="shared" si="35"/>
        <v>10253.4</v>
      </c>
      <c r="AD111" s="269" t="e">
        <f>IF(B111&lt;&gt;0,VLOOKUP(B111,#REF!,2,FALSE),"")</f>
        <v>#REF!</v>
      </c>
      <c r="AE111" s="267">
        <v>2806.2999999999997</v>
      </c>
      <c r="AF111" s="267">
        <f t="shared" si="39"/>
        <v>2116.2999999999997</v>
      </c>
    </row>
    <row r="112" spans="1:32" s="267" customFormat="1" ht="60">
      <c r="A112" s="21" t="s">
        <v>3398</v>
      </c>
      <c r="B112" s="20">
        <v>92772</v>
      </c>
      <c r="C112" s="19" t="s">
        <v>1559</v>
      </c>
      <c r="D112" s="21" t="s">
        <v>12</v>
      </c>
      <c r="E112" s="21" t="s">
        <v>45</v>
      </c>
      <c r="F112" s="22">
        <v>1704</v>
      </c>
      <c r="G112" s="22">
        <f t="shared" si="32"/>
        <v>10.047000000000001</v>
      </c>
      <c r="H112" s="22">
        <f t="shared" si="40"/>
        <v>12.74</v>
      </c>
      <c r="I112" s="147">
        <f t="shared" si="41"/>
        <v>21708.959999999999</v>
      </c>
      <c r="J112" s="148">
        <v>10.047000000000001</v>
      </c>
      <c r="K112" s="148">
        <v>12.74</v>
      </c>
      <c r="L112" s="148">
        <v>21708.959999999999</v>
      </c>
      <c r="M112" s="148">
        <v>11.19</v>
      </c>
      <c r="N112" s="148">
        <v>14.19</v>
      </c>
      <c r="O112" s="148">
        <v>7253.93</v>
      </c>
      <c r="P112" s="494"/>
      <c r="Q112" s="147">
        <f t="shared" si="42"/>
        <v>0</v>
      </c>
      <c r="R112" s="148"/>
      <c r="S112" s="148">
        <f t="shared" si="43"/>
        <v>0</v>
      </c>
      <c r="T112" s="148">
        <f t="shared" si="26"/>
        <v>1704</v>
      </c>
      <c r="U112" s="148">
        <f t="shared" si="30"/>
        <v>28962.89</v>
      </c>
      <c r="V112" s="379"/>
      <c r="W112" s="379"/>
      <c r="X112" s="269" t="e">
        <f>IF(B112&lt;&gt;0,VLOOKUP(B112,#REF!,4,FALSE),"")</f>
        <v>#REF!</v>
      </c>
      <c r="Y112" s="335" t="s">
        <v>3121</v>
      </c>
      <c r="Z112" s="58">
        <f t="shared" si="33"/>
        <v>-1.7729999999999997</v>
      </c>
      <c r="AA112" s="58">
        <f t="shared" si="34"/>
        <v>17120.088</v>
      </c>
      <c r="AB112" s="58"/>
      <c r="AC112" s="58">
        <f t="shared" si="35"/>
        <v>21708.959999999999</v>
      </c>
      <c r="AD112" s="269" t="e">
        <f>IF(B112&lt;&gt;0,VLOOKUP(B112,#REF!,2,FALSE),"")</f>
        <v>#REF!</v>
      </c>
      <c r="AE112" s="267">
        <v>3844.3999999999996</v>
      </c>
      <c r="AF112" s="267">
        <f t="shared" si="39"/>
        <v>2140.3999999999996</v>
      </c>
    </row>
    <row r="113" spans="1:32" s="267" customFormat="1" ht="60">
      <c r="A113" s="21" t="s">
        <v>3399</v>
      </c>
      <c r="B113" s="20">
        <v>92773</v>
      </c>
      <c r="C113" s="19" t="s">
        <v>1560</v>
      </c>
      <c r="D113" s="21" t="s">
        <v>12</v>
      </c>
      <c r="E113" s="21" t="s">
        <v>45</v>
      </c>
      <c r="F113" s="22">
        <v>2791</v>
      </c>
      <c r="G113" s="22">
        <f t="shared" si="32"/>
        <v>9.8345000000000002</v>
      </c>
      <c r="H113" s="22">
        <f t="shared" si="40"/>
        <v>12.47</v>
      </c>
      <c r="I113" s="147">
        <f t="shared" si="41"/>
        <v>34803.769999999997</v>
      </c>
      <c r="J113" s="148">
        <v>9.8345000000000002</v>
      </c>
      <c r="K113" s="148">
        <v>12.47</v>
      </c>
      <c r="L113" s="148">
        <v>34803.769999999997</v>
      </c>
      <c r="M113" s="148">
        <v>9.9899999999999984</v>
      </c>
      <c r="N113" s="148">
        <v>12.67</v>
      </c>
      <c r="O113" s="148">
        <v>10608.59</v>
      </c>
      <c r="P113" s="494"/>
      <c r="Q113" s="147">
        <f t="shared" si="42"/>
        <v>0</v>
      </c>
      <c r="R113" s="148"/>
      <c r="S113" s="148">
        <f t="shared" si="43"/>
        <v>0</v>
      </c>
      <c r="T113" s="148">
        <f t="shared" si="26"/>
        <v>2791</v>
      </c>
      <c r="U113" s="148">
        <f t="shared" si="30"/>
        <v>45412.36</v>
      </c>
      <c r="V113" s="379"/>
      <c r="W113" s="379"/>
      <c r="X113" s="269" t="e">
        <f>IF(B113&lt;&gt;0,VLOOKUP(B113,#REF!,4,FALSE),"")</f>
        <v>#REF!</v>
      </c>
      <c r="Y113" s="335" t="s">
        <v>3117</v>
      </c>
      <c r="Z113" s="58">
        <f t="shared" si="33"/>
        <v>-1.7355</v>
      </c>
      <c r="AA113" s="58">
        <f t="shared" si="34"/>
        <v>27448.089500000002</v>
      </c>
      <c r="AB113" s="58"/>
      <c r="AC113" s="58">
        <f t="shared" si="35"/>
        <v>34803.770000000004</v>
      </c>
      <c r="AD113" s="269" t="e">
        <f>IF(B113&lt;&gt;0,VLOOKUP(B113,#REF!,2,FALSE),"")</f>
        <v>#REF!</v>
      </c>
      <c r="AE113" s="267">
        <v>8981</v>
      </c>
      <c r="AF113" s="267">
        <f t="shared" si="39"/>
        <v>6190</v>
      </c>
    </row>
    <row r="114" spans="1:32" s="267" customFormat="1" ht="60">
      <c r="A114" s="21" t="s">
        <v>3400</v>
      </c>
      <c r="B114" s="20">
        <v>92774</v>
      </c>
      <c r="C114" s="19" t="s">
        <v>1561</v>
      </c>
      <c r="D114" s="21" t="s">
        <v>12</v>
      </c>
      <c r="E114" s="21" t="s">
        <v>45</v>
      </c>
      <c r="F114" s="22">
        <v>593</v>
      </c>
      <c r="G114" s="22">
        <f t="shared" si="32"/>
        <v>11.39</v>
      </c>
      <c r="H114" s="22">
        <f t="shared" si="40"/>
        <v>14.44</v>
      </c>
      <c r="I114" s="147">
        <f t="shared" si="41"/>
        <v>8562.92</v>
      </c>
      <c r="J114" s="148">
        <v>11.39</v>
      </c>
      <c r="K114" s="148">
        <v>14.44</v>
      </c>
      <c r="L114" s="148">
        <v>8562.92</v>
      </c>
      <c r="M114" s="148">
        <v>10.39</v>
      </c>
      <c r="N114" s="148">
        <v>13.18</v>
      </c>
      <c r="O114" s="148">
        <v>2344.7199999999998</v>
      </c>
      <c r="P114" s="494"/>
      <c r="Q114" s="147">
        <f t="shared" si="42"/>
        <v>0</v>
      </c>
      <c r="R114" s="148"/>
      <c r="S114" s="148">
        <f t="shared" si="43"/>
        <v>0</v>
      </c>
      <c r="T114" s="148">
        <f t="shared" si="26"/>
        <v>593</v>
      </c>
      <c r="U114" s="148">
        <f t="shared" si="30"/>
        <v>10907.64</v>
      </c>
      <c r="V114" s="379"/>
      <c r="W114" s="379"/>
      <c r="X114" s="269" t="e">
        <f>IF(B114&lt;&gt;0,VLOOKUP(B114,#REF!,4,FALSE),"")</f>
        <v>#REF!</v>
      </c>
      <c r="Y114" s="335" t="s">
        <v>3189</v>
      </c>
      <c r="Z114" s="58">
        <f t="shared" si="33"/>
        <v>-2.0099999999999998</v>
      </c>
      <c r="AA114" s="58">
        <f t="shared" si="34"/>
        <v>6754.27</v>
      </c>
      <c r="AB114" s="58"/>
      <c r="AC114" s="58">
        <f t="shared" si="35"/>
        <v>8562.92</v>
      </c>
      <c r="AD114" s="269" t="e">
        <f>IF(B114&lt;&gt;0,VLOOKUP(B114,#REF!,2,FALSE),"")</f>
        <v>#REF!</v>
      </c>
      <c r="AE114" s="267">
        <v>1336.0339999999999</v>
      </c>
      <c r="AF114" s="267">
        <f t="shared" si="39"/>
        <v>743.03399999999988</v>
      </c>
    </row>
    <row r="115" spans="1:32" s="267" customFormat="1" ht="60">
      <c r="A115" s="21" t="s">
        <v>3401</v>
      </c>
      <c r="B115" s="20">
        <v>85662</v>
      </c>
      <c r="C115" s="19" t="s">
        <v>61</v>
      </c>
      <c r="D115" s="21" t="s">
        <v>1914</v>
      </c>
      <c r="E115" s="21" t="s">
        <v>26</v>
      </c>
      <c r="F115" s="22">
        <v>998.31</v>
      </c>
      <c r="G115" s="22">
        <f t="shared" si="32"/>
        <v>15.512499999999999</v>
      </c>
      <c r="H115" s="22">
        <f t="shared" si="40"/>
        <v>19.670000000000002</v>
      </c>
      <c r="I115" s="147">
        <f t="shared" si="41"/>
        <v>19636.759999999998</v>
      </c>
      <c r="J115" s="148">
        <v>15.512499999999999</v>
      </c>
      <c r="K115" s="148">
        <v>19.670000000000002</v>
      </c>
      <c r="L115" s="148">
        <v>19636.759999999998</v>
      </c>
      <c r="M115" s="148">
        <v>15.94</v>
      </c>
      <c r="N115" s="148">
        <v>20.21</v>
      </c>
      <c r="O115" s="148">
        <v>6052.75</v>
      </c>
      <c r="P115" s="494"/>
      <c r="Q115" s="147">
        <f t="shared" si="42"/>
        <v>0</v>
      </c>
      <c r="R115" s="148"/>
      <c r="S115" s="148">
        <f t="shared" si="43"/>
        <v>0</v>
      </c>
      <c r="T115" s="148">
        <f t="shared" si="26"/>
        <v>998.31</v>
      </c>
      <c r="U115" s="148">
        <f t="shared" si="30"/>
        <v>25689.51</v>
      </c>
      <c r="V115" s="379"/>
      <c r="W115" s="379"/>
      <c r="X115" s="268">
        <f>'COMPOSIÇÃO DE CUSTOS'!G160</f>
        <v>15.53</v>
      </c>
      <c r="Y115" s="335">
        <v>18.25</v>
      </c>
      <c r="Z115" s="58">
        <f t="shared" si="33"/>
        <v>-2.7375000000000007</v>
      </c>
      <c r="AA115" s="58">
        <f t="shared" si="34"/>
        <v>15486.283874999999</v>
      </c>
      <c r="AB115" s="58"/>
      <c r="AC115" s="58">
        <f t="shared" si="35"/>
        <v>19636.757700000002</v>
      </c>
      <c r="AD115" s="269" t="e">
        <f>IF(B115&lt;&gt;0,VLOOKUP(B115,#REF!,2,FALSE),"")</f>
        <v>#REF!</v>
      </c>
      <c r="AE115" s="267">
        <v>224.88199999999998</v>
      </c>
      <c r="AF115" s="267">
        <f t="shared" si="39"/>
        <v>-773.428</v>
      </c>
    </row>
    <row r="116" spans="1:32" s="267" customFormat="1" ht="75">
      <c r="A116" s="21" t="s">
        <v>3402</v>
      </c>
      <c r="B116" s="20">
        <v>92725</v>
      </c>
      <c r="C116" s="19" t="s">
        <v>1542</v>
      </c>
      <c r="D116" s="21" t="s">
        <v>1914</v>
      </c>
      <c r="E116" s="21" t="s">
        <v>35</v>
      </c>
      <c r="F116" s="22">
        <v>131.63999999999999</v>
      </c>
      <c r="G116" s="22">
        <f t="shared" si="32"/>
        <v>394.35749999999996</v>
      </c>
      <c r="H116" s="22">
        <f t="shared" si="40"/>
        <v>500.08</v>
      </c>
      <c r="I116" s="147">
        <f t="shared" si="41"/>
        <v>65830.53</v>
      </c>
      <c r="J116" s="148">
        <v>394.35749999999996</v>
      </c>
      <c r="K116" s="148">
        <v>500.08</v>
      </c>
      <c r="L116" s="148">
        <v>65830.53</v>
      </c>
      <c r="M116" s="148">
        <v>600.08000000000004</v>
      </c>
      <c r="N116" s="148">
        <v>760.96</v>
      </c>
      <c r="O116" s="148">
        <v>30051.83</v>
      </c>
      <c r="P116" s="494"/>
      <c r="Q116" s="147">
        <f t="shared" si="42"/>
        <v>0</v>
      </c>
      <c r="R116" s="148"/>
      <c r="S116" s="148">
        <f t="shared" si="43"/>
        <v>0</v>
      </c>
      <c r="T116" s="148">
        <f t="shared" si="26"/>
        <v>131.63999999999999</v>
      </c>
      <c r="U116" s="148">
        <f t="shared" si="30"/>
        <v>95882.36</v>
      </c>
      <c r="V116" s="379"/>
      <c r="W116" s="379"/>
      <c r="X116" s="268">
        <f>'COMPOSIÇÃO DE CUSTOS'!G130</f>
        <v>394.36</v>
      </c>
      <c r="Y116" s="335">
        <v>463.95</v>
      </c>
      <c r="Z116" s="58">
        <f t="shared" si="33"/>
        <v>-69.59250000000003</v>
      </c>
      <c r="AA116" s="58">
        <f t="shared" si="34"/>
        <v>51913.22129999999</v>
      </c>
      <c r="AB116" s="58"/>
      <c r="AC116" s="58">
        <f t="shared" si="35"/>
        <v>65830.531199999998</v>
      </c>
      <c r="AD116" s="269"/>
      <c r="AF116" s="267">
        <f t="shared" si="39"/>
        <v>-131.63999999999999</v>
      </c>
    </row>
    <row r="117" spans="1:32" s="38" customFormat="1" ht="45">
      <c r="A117" s="447" t="s">
        <v>3828</v>
      </c>
      <c r="B117" s="448">
        <v>7337</v>
      </c>
      <c r="C117" s="449" t="s">
        <v>3836</v>
      </c>
      <c r="D117" s="447" t="s">
        <v>44</v>
      </c>
      <c r="E117" s="447" t="s">
        <v>26</v>
      </c>
      <c r="F117" s="450"/>
      <c r="G117" s="450">
        <f>(W117-(W117*$Z$14))*'PLANILHA ORÇA - CORREGEDORIA'!$S$16</f>
        <v>33.634140545033169</v>
      </c>
      <c r="H117" s="450">
        <f>ROUND(G117*(1+$X$13),2)</f>
        <v>42.65</v>
      </c>
      <c r="I117" s="451"/>
      <c r="J117" s="452"/>
      <c r="K117" s="452"/>
      <c r="L117" s="452"/>
      <c r="M117" s="452"/>
      <c r="N117" s="452"/>
      <c r="O117" s="452"/>
      <c r="P117" s="493">
        <v>998.31</v>
      </c>
      <c r="Q117" s="451">
        <f>ROUND(P117*H117,2)</f>
        <v>42577.919999999998</v>
      </c>
      <c r="R117" s="452"/>
      <c r="S117" s="452"/>
      <c r="T117" s="452">
        <f>F117+P117-R117</f>
        <v>998.31</v>
      </c>
      <c r="U117" s="452">
        <f t="shared" si="30"/>
        <v>42577.919999999998</v>
      </c>
      <c r="V117" s="453"/>
      <c r="W117" s="453">
        <f>COMP!G26</f>
        <v>35.520000000000003</v>
      </c>
      <c r="X117" s="42"/>
      <c r="Y117" s="336"/>
      <c r="Z117" s="39"/>
      <c r="AA117" s="39"/>
      <c r="AB117" s="39"/>
      <c r="AC117" s="39"/>
      <c r="AD117" s="39"/>
    </row>
    <row r="118" spans="1:32" s="38" customFormat="1" ht="45">
      <c r="A118" s="447" t="s">
        <v>3829</v>
      </c>
      <c r="B118" s="448">
        <v>7338</v>
      </c>
      <c r="C118" s="449" t="s">
        <v>3837</v>
      </c>
      <c r="D118" s="447" t="s">
        <v>44</v>
      </c>
      <c r="E118" s="447" t="s">
        <v>26</v>
      </c>
      <c r="F118" s="450"/>
      <c r="G118" s="450">
        <f>(W118-(W118*$Z$14))*'PLANILHA ORÇA - CORREGEDORIA'!$S$16</f>
        <v>48.24491725139189</v>
      </c>
      <c r="H118" s="450">
        <f>ROUND(G118*(1+$X$13),2)</f>
        <v>61.18</v>
      </c>
      <c r="I118" s="451"/>
      <c r="J118" s="452"/>
      <c r="K118" s="452"/>
      <c r="L118" s="452"/>
      <c r="M118" s="452"/>
      <c r="N118" s="452"/>
      <c r="O118" s="452"/>
      <c r="P118" s="493">
        <v>998.31</v>
      </c>
      <c r="Q118" s="451">
        <f>ROUND(P118*H118,2)</f>
        <v>61076.61</v>
      </c>
      <c r="R118" s="452"/>
      <c r="S118" s="452"/>
      <c r="T118" s="452">
        <f t="shared" ref="T118:T119" si="44">F118+P118-R118</f>
        <v>998.31</v>
      </c>
      <c r="U118" s="452">
        <f t="shared" si="30"/>
        <v>61076.61</v>
      </c>
      <c r="V118" s="453"/>
      <c r="W118" s="453">
        <f>COMP!G33</f>
        <v>50.95</v>
      </c>
      <c r="X118" s="42"/>
      <c r="Y118" s="336"/>
      <c r="Z118" s="39"/>
      <c r="AA118" s="39"/>
      <c r="AB118" s="39"/>
      <c r="AC118" s="39"/>
      <c r="AD118" s="39"/>
    </row>
    <row r="119" spans="1:32" s="38" customFormat="1" ht="60">
      <c r="A119" s="447" t="s">
        <v>3830</v>
      </c>
      <c r="B119" s="448">
        <v>7307</v>
      </c>
      <c r="C119" s="449" t="s">
        <v>3838</v>
      </c>
      <c r="D119" s="447" t="s">
        <v>44</v>
      </c>
      <c r="E119" s="447" t="s">
        <v>35</v>
      </c>
      <c r="F119" s="450"/>
      <c r="G119" s="450">
        <f>(W119-(W119*$Z$14))*'PLANILHA ORÇA - CORREGEDORIA'!$S$16</f>
        <v>48.955097583846133</v>
      </c>
      <c r="H119" s="450">
        <f>ROUND(G119*(1+$X$13),2)</f>
        <v>62.08</v>
      </c>
      <c r="I119" s="451"/>
      <c r="J119" s="452"/>
      <c r="K119" s="452"/>
      <c r="L119" s="452"/>
      <c r="M119" s="452"/>
      <c r="N119" s="452"/>
      <c r="O119" s="452"/>
      <c r="P119" s="493">
        <f>4*998.31</f>
        <v>3993.24</v>
      </c>
      <c r="Q119" s="451">
        <f>ROUND(P119*H119,2)</f>
        <v>247900.34</v>
      </c>
      <c r="R119" s="452"/>
      <c r="S119" s="452"/>
      <c r="T119" s="452">
        <f t="shared" si="44"/>
        <v>3993.24</v>
      </c>
      <c r="U119" s="452">
        <f t="shared" si="30"/>
        <v>247900.34</v>
      </c>
      <c r="V119" s="453"/>
      <c r="W119" s="453">
        <f>COMP!G40</f>
        <v>51.7</v>
      </c>
      <c r="X119" s="42"/>
      <c r="Y119" s="336"/>
      <c r="Z119" s="39"/>
      <c r="AA119" s="39"/>
      <c r="AB119" s="39"/>
      <c r="AC119" s="39"/>
      <c r="AD119" s="39"/>
    </row>
    <row r="120" spans="1:32" s="267" customFormat="1">
      <c r="A120" s="21"/>
      <c r="B120" s="20"/>
      <c r="C120" s="19"/>
      <c r="D120" s="21"/>
      <c r="E120" s="21"/>
      <c r="F120" s="22"/>
      <c r="G120" s="22"/>
      <c r="H120" s="22"/>
      <c r="I120" s="147"/>
      <c r="J120" s="148"/>
      <c r="K120" s="148"/>
      <c r="L120" s="148"/>
      <c r="M120" s="148"/>
      <c r="N120" s="148"/>
      <c r="O120" s="148"/>
      <c r="P120" s="494"/>
      <c r="Q120" s="147"/>
      <c r="R120" s="148"/>
      <c r="S120" s="148"/>
      <c r="T120" s="148"/>
      <c r="U120" s="148"/>
      <c r="V120" s="379"/>
      <c r="W120" s="379"/>
      <c r="X120" s="268"/>
      <c r="Y120" s="335"/>
      <c r="Z120" s="58"/>
      <c r="AA120" s="58"/>
      <c r="AB120" s="58"/>
      <c r="AC120" s="58"/>
      <c r="AD120" s="269"/>
    </row>
    <row r="121" spans="1:32">
      <c r="A121" s="69" t="s">
        <v>747</v>
      </c>
      <c r="B121" s="129"/>
      <c r="C121" s="229" t="s">
        <v>62</v>
      </c>
      <c r="D121" s="230"/>
      <c r="E121" s="230"/>
      <c r="F121" s="230"/>
      <c r="G121" s="22"/>
      <c r="H121" s="230"/>
      <c r="I121" s="445"/>
      <c r="J121" s="440"/>
      <c r="K121" s="440"/>
      <c r="L121" s="440"/>
      <c r="M121" s="440"/>
      <c r="N121" s="440"/>
      <c r="O121" s="440"/>
      <c r="P121" s="492"/>
      <c r="Q121" s="445"/>
      <c r="R121" s="440"/>
      <c r="S121" s="440"/>
      <c r="T121" s="148" t="str">
        <f t="shared" si="26"/>
        <v xml:space="preserve"> </v>
      </c>
      <c r="U121" s="148"/>
      <c r="V121" s="330"/>
      <c r="W121" s="330"/>
      <c r="X121" s="58" t="str">
        <f>IF(B121&lt;&gt;0,VLOOKUP(B121,#REF!,4,FALSE),"")</f>
        <v/>
      </c>
      <c r="Y121" s="334" t="s">
        <v>1891</v>
      </c>
      <c r="Z121" s="58"/>
      <c r="AA121" s="58"/>
      <c r="AB121" s="58"/>
      <c r="AC121" s="58">
        <f t="shared" si="35"/>
        <v>0</v>
      </c>
      <c r="AD121" s="58" t="str">
        <f>IF(B121&lt;&gt;0,VLOOKUP(B121,#REF!,2,FALSE),"")</f>
        <v/>
      </c>
      <c r="AE121" s="2">
        <v>63.048999999999992</v>
      </c>
      <c r="AF121" s="55">
        <f t="shared" si="39"/>
        <v>63.048999999999992</v>
      </c>
    </row>
    <row r="122" spans="1:32" s="267" customFormat="1" ht="45">
      <c r="A122" s="21" t="s">
        <v>748</v>
      </c>
      <c r="B122" s="20">
        <v>95938</v>
      </c>
      <c r="C122" s="19" t="s">
        <v>2692</v>
      </c>
      <c r="D122" s="21" t="s">
        <v>1914</v>
      </c>
      <c r="E122" s="21" t="s">
        <v>26</v>
      </c>
      <c r="F122" s="22">
        <v>48.06</v>
      </c>
      <c r="G122" s="22">
        <f t="shared" si="32"/>
        <v>226.35500000000002</v>
      </c>
      <c r="H122" s="22">
        <f>ROUND(G122*(1+$X$13),2)</f>
        <v>287.04000000000002</v>
      </c>
      <c r="I122" s="147">
        <f>ROUND(H122*F122,2)</f>
        <v>13795.14</v>
      </c>
      <c r="J122" s="148">
        <v>226.35500000000002</v>
      </c>
      <c r="K122" s="148">
        <v>287.04000000000002</v>
      </c>
      <c r="L122" s="148">
        <v>13795.14</v>
      </c>
      <c r="M122" s="148">
        <v>252.16</v>
      </c>
      <c r="N122" s="148">
        <v>319.76</v>
      </c>
      <c r="O122" s="148">
        <v>4610.3</v>
      </c>
      <c r="P122" s="494"/>
      <c r="Q122" s="147">
        <f t="shared" ref="Q122:Q136" si="45">ROUND(P122*N122,2)</f>
        <v>0</v>
      </c>
      <c r="R122" s="148"/>
      <c r="S122" s="148">
        <f>ROUND(R122*P122,2)</f>
        <v>0</v>
      </c>
      <c r="T122" s="148">
        <f t="shared" si="26"/>
        <v>48.06</v>
      </c>
      <c r="U122" s="148">
        <f t="shared" si="30"/>
        <v>18405.439999999999</v>
      </c>
      <c r="V122" s="379"/>
      <c r="W122" s="379"/>
      <c r="X122" s="268">
        <f>'COMPOSIÇÃO DE CUSTOS'!G171</f>
        <v>226.37</v>
      </c>
      <c r="Y122" s="335">
        <v>266.3</v>
      </c>
      <c r="Z122" s="58">
        <f t="shared" si="33"/>
        <v>-39.944999999999993</v>
      </c>
      <c r="AA122" s="58">
        <f t="shared" si="34"/>
        <v>10878.621300000001</v>
      </c>
      <c r="AB122" s="58"/>
      <c r="AC122" s="58">
        <f t="shared" si="35"/>
        <v>13795.142400000002</v>
      </c>
      <c r="AD122" s="269" t="e">
        <f>IF(B122&lt;&gt;0,VLOOKUP(B122,#REF!,2,FALSE),"")</f>
        <v>#REF!</v>
      </c>
      <c r="AE122" s="267">
        <v>64.75</v>
      </c>
      <c r="AF122" s="267">
        <f t="shared" si="39"/>
        <v>16.689999999999998</v>
      </c>
    </row>
    <row r="123" spans="1:32" s="267" customFormat="1" ht="60">
      <c r="A123" s="21" t="s">
        <v>749</v>
      </c>
      <c r="B123" s="20">
        <v>95944</v>
      </c>
      <c r="C123" s="19" t="s">
        <v>1562</v>
      </c>
      <c r="D123" s="21" t="s">
        <v>12</v>
      </c>
      <c r="E123" s="21" t="s">
        <v>45</v>
      </c>
      <c r="F123" s="22">
        <v>87</v>
      </c>
      <c r="G123" s="22">
        <f t="shared" si="32"/>
        <v>16.787500000000001</v>
      </c>
      <c r="H123" s="22">
        <f>ROUND(G123*(1+$X$13),2)</f>
        <v>21.29</v>
      </c>
      <c r="I123" s="147">
        <f>ROUND(H123*F123,2)</f>
        <v>1852.23</v>
      </c>
      <c r="J123" s="148">
        <v>16.787500000000001</v>
      </c>
      <c r="K123" s="148">
        <v>21.29</v>
      </c>
      <c r="L123" s="148">
        <v>1852.23</v>
      </c>
      <c r="M123" s="148">
        <v>18.7</v>
      </c>
      <c r="N123" s="148">
        <v>23.71</v>
      </c>
      <c r="O123" s="148">
        <v>618.83000000000004</v>
      </c>
      <c r="P123" s="494"/>
      <c r="Q123" s="147">
        <f t="shared" si="45"/>
        <v>0</v>
      </c>
      <c r="R123" s="148"/>
      <c r="S123" s="148">
        <f>ROUND(R123*P123,2)</f>
        <v>0</v>
      </c>
      <c r="T123" s="148">
        <f t="shared" si="26"/>
        <v>87</v>
      </c>
      <c r="U123" s="148">
        <f t="shared" si="30"/>
        <v>2471.06</v>
      </c>
      <c r="V123" s="379"/>
      <c r="W123" s="379"/>
      <c r="X123" s="269" t="e">
        <f>IF(B123&lt;&gt;0,VLOOKUP(B123,#REF!,4,FALSE),"")</f>
        <v>#REF!</v>
      </c>
      <c r="Y123" s="335" t="s">
        <v>2646</v>
      </c>
      <c r="Z123" s="58">
        <f t="shared" si="33"/>
        <v>-2.9624999999999986</v>
      </c>
      <c r="AA123" s="58">
        <f t="shared" si="34"/>
        <v>1460.5125</v>
      </c>
      <c r="AB123" s="58"/>
      <c r="AC123" s="58">
        <f t="shared" si="35"/>
        <v>1852.23</v>
      </c>
      <c r="AD123" s="269" t="e">
        <f>IF(B123&lt;&gt;0,VLOOKUP(B123,#REF!,2,FALSE),"")</f>
        <v>#REF!</v>
      </c>
      <c r="AE123" s="267">
        <v>242.89999999999998</v>
      </c>
      <c r="AF123" s="267">
        <f t="shared" si="39"/>
        <v>155.89999999999998</v>
      </c>
    </row>
    <row r="124" spans="1:32" s="267" customFormat="1" ht="60">
      <c r="A124" s="21" t="s">
        <v>750</v>
      </c>
      <c r="B124" s="20">
        <v>95945</v>
      </c>
      <c r="C124" s="19" t="s">
        <v>1563</v>
      </c>
      <c r="D124" s="21" t="s">
        <v>12</v>
      </c>
      <c r="E124" s="21" t="s">
        <v>45</v>
      </c>
      <c r="F124" s="22">
        <v>165</v>
      </c>
      <c r="G124" s="22">
        <f t="shared" si="32"/>
        <v>14.908999999999999</v>
      </c>
      <c r="H124" s="22">
        <f>ROUND(G124*(1+$X$13),2)</f>
        <v>18.91</v>
      </c>
      <c r="I124" s="147">
        <f>ROUND(H124*F124,2)</f>
        <v>3120.15</v>
      </c>
      <c r="J124" s="148">
        <v>14.908999999999999</v>
      </c>
      <c r="K124" s="148">
        <v>18.91</v>
      </c>
      <c r="L124" s="148">
        <v>3120.15</v>
      </c>
      <c r="M124" s="148">
        <v>16.61</v>
      </c>
      <c r="N124" s="148">
        <v>21.06</v>
      </c>
      <c r="O124" s="148">
        <v>1042.47</v>
      </c>
      <c r="P124" s="494"/>
      <c r="Q124" s="147">
        <f t="shared" si="45"/>
        <v>0</v>
      </c>
      <c r="R124" s="148"/>
      <c r="S124" s="148">
        <f>ROUND(R124*P124,2)</f>
        <v>0</v>
      </c>
      <c r="T124" s="148">
        <f t="shared" si="26"/>
        <v>165</v>
      </c>
      <c r="U124" s="148">
        <f t="shared" si="30"/>
        <v>4162.62</v>
      </c>
      <c r="V124" s="379"/>
      <c r="W124" s="379"/>
      <c r="X124" s="269" t="e">
        <f>IF(B124&lt;&gt;0,VLOOKUP(B124,#REF!,4,FALSE),"")</f>
        <v>#REF!</v>
      </c>
      <c r="Y124" s="335" t="s">
        <v>3167</v>
      </c>
      <c r="Z124" s="58">
        <f t="shared" si="33"/>
        <v>-2.6310000000000002</v>
      </c>
      <c r="AA124" s="58">
        <f t="shared" si="34"/>
        <v>2459.9849999999997</v>
      </c>
      <c r="AB124" s="58"/>
      <c r="AC124" s="58">
        <f t="shared" si="35"/>
        <v>3120.15</v>
      </c>
      <c r="AD124" s="269" t="e">
        <f>IF(B124&lt;&gt;0,VLOOKUP(B124,#REF!,2,FALSE),"")</f>
        <v>#REF!</v>
      </c>
      <c r="AE124" s="267">
        <v>388.5</v>
      </c>
      <c r="AF124" s="267">
        <f t="shared" si="39"/>
        <v>223.5</v>
      </c>
    </row>
    <row r="125" spans="1:32" s="267" customFormat="1" ht="60">
      <c r="A125" s="21" t="s">
        <v>751</v>
      </c>
      <c r="B125" s="20">
        <v>95946</v>
      </c>
      <c r="C125" s="19" t="s">
        <v>1564</v>
      </c>
      <c r="D125" s="21" t="s">
        <v>12</v>
      </c>
      <c r="E125" s="21" t="s">
        <v>45</v>
      </c>
      <c r="F125" s="22">
        <v>49</v>
      </c>
      <c r="G125" s="22">
        <f t="shared" si="32"/>
        <v>12.7415</v>
      </c>
      <c r="H125" s="22">
        <f>ROUND(G125*(1+$X$13),2)</f>
        <v>16.16</v>
      </c>
      <c r="I125" s="147">
        <f>ROUND(H125*F125,2)</f>
        <v>791.84</v>
      </c>
      <c r="J125" s="148">
        <v>12.7415</v>
      </c>
      <c r="K125" s="148">
        <v>16.16</v>
      </c>
      <c r="L125" s="148">
        <v>791.84</v>
      </c>
      <c r="M125" s="148">
        <v>14.19</v>
      </c>
      <c r="N125" s="148">
        <v>17.989999999999998</v>
      </c>
      <c r="O125" s="148">
        <v>264.45</v>
      </c>
      <c r="P125" s="494"/>
      <c r="Q125" s="147">
        <f t="shared" si="45"/>
        <v>0</v>
      </c>
      <c r="R125" s="148"/>
      <c r="S125" s="148">
        <f>ROUND(R125*P125,2)</f>
        <v>0</v>
      </c>
      <c r="T125" s="148">
        <f t="shared" si="26"/>
        <v>49</v>
      </c>
      <c r="U125" s="148">
        <f t="shared" si="30"/>
        <v>1056.29</v>
      </c>
      <c r="V125" s="379"/>
      <c r="W125" s="379"/>
      <c r="X125" s="269" t="e">
        <f>IF(B125&lt;&gt;0,VLOOKUP(B125,#REF!,4,FALSE),"")</f>
        <v>#REF!</v>
      </c>
      <c r="Y125" s="335" t="s">
        <v>3101</v>
      </c>
      <c r="Z125" s="58">
        <f t="shared" si="33"/>
        <v>-2.2484999999999999</v>
      </c>
      <c r="AA125" s="58">
        <f t="shared" si="34"/>
        <v>624.33349999999996</v>
      </c>
      <c r="AB125" s="58"/>
      <c r="AC125" s="58">
        <f t="shared" si="35"/>
        <v>791.84</v>
      </c>
      <c r="AD125" s="269" t="e">
        <f>IF(B125&lt;&gt;0,VLOOKUP(B125,#REF!,2,FALSE),"")</f>
        <v>#REF!</v>
      </c>
      <c r="AE125" s="267">
        <v>636.29999999999995</v>
      </c>
      <c r="AF125" s="267">
        <f t="shared" si="39"/>
        <v>587.29999999999995</v>
      </c>
    </row>
    <row r="126" spans="1:32" s="267" customFormat="1" ht="75">
      <c r="A126" s="21" t="s">
        <v>3412</v>
      </c>
      <c r="B126" s="20">
        <v>92725</v>
      </c>
      <c r="C126" s="19" t="s">
        <v>1542</v>
      </c>
      <c r="D126" s="21" t="s">
        <v>1914</v>
      </c>
      <c r="E126" s="21" t="s">
        <v>35</v>
      </c>
      <c r="F126" s="22">
        <v>6.46</v>
      </c>
      <c r="G126" s="22">
        <f t="shared" si="32"/>
        <v>394.35749999999996</v>
      </c>
      <c r="H126" s="22">
        <f>ROUND(G126*(1+$X$13),2)</f>
        <v>500.08</v>
      </c>
      <c r="I126" s="147">
        <f>ROUND(H126*F126,2)</f>
        <v>3230.52</v>
      </c>
      <c r="J126" s="148">
        <v>394.35749999999996</v>
      </c>
      <c r="K126" s="148">
        <v>500.08</v>
      </c>
      <c r="L126" s="148">
        <v>3230.52</v>
      </c>
      <c r="M126" s="148">
        <v>600.08000000000004</v>
      </c>
      <c r="N126" s="148">
        <v>760.96</v>
      </c>
      <c r="O126" s="148">
        <v>1474.74</v>
      </c>
      <c r="P126" s="494"/>
      <c r="Q126" s="147">
        <f t="shared" si="45"/>
        <v>0</v>
      </c>
      <c r="R126" s="148"/>
      <c r="S126" s="148">
        <f>ROUND(R126*P126,2)</f>
        <v>0</v>
      </c>
      <c r="T126" s="148">
        <f t="shared" si="26"/>
        <v>6.46</v>
      </c>
      <c r="U126" s="148">
        <f t="shared" si="30"/>
        <v>4705.26</v>
      </c>
      <c r="V126" s="379"/>
      <c r="W126" s="379"/>
      <c r="X126" s="268">
        <f>'COMPOSIÇÃO DE CUSTOS'!G130</f>
        <v>394.36</v>
      </c>
      <c r="Y126" s="335">
        <v>463.95</v>
      </c>
      <c r="Z126" s="58">
        <f t="shared" si="33"/>
        <v>-69.59250000000003</v>
      </c>
      <c r="AA126" s="58">
        <f t="shared" si="34"/>
        <v>2547.5494499999995</v>
      </c>
      <c r="AB126" s="58"/>
      <c r="AC126" s="58">
        <f t="shared" si="35"/>
        <v>3230.5167999999999</v>
      </c>
      <c r="AD126" s="269"/>
      <c r="AF126" s="267">
        <f t="shared" si="39"/>
        <v>-6.46</v>
      </c>
    </row>
    <row r="127" spans="1:32" s="55" customFormat="1">
      <c r="A127" s="69" t="s">
        <v>752</v>
      </c>
      <c r="B127" s="129"/>
      <c r="C127" s="229" t="s">
        <v>63</v>
      </c>
      <c r="D127" s="230"/>
      <c r="E127" s="230"/>
      <c r="F127" s="230"/>
      <c r="G127" s="22"/>
      <c r="H127" s="230"/>
      <c r="I127" s="445"/>
      <c r="J127" s="440"/>
      <c r="K127" s="440"/>
      <c r="L127" s="440"/>
      <c r="M127" s="440"/>
      <c r="N127" s="440"/>
      <c r="O127" s="440"/>
      <c r="P127" s="492"/>
      <c r="Q127" s="445"/>
      <c r="R127" s="440"/>
      <c r="S127" s="440"/>
      <c r="T127" s="148" t="str">
        <f t="shared" si="26"/>
        <v xml:space="preserve"> </v>
      </c>
      <c r="U127" s="148"/>
      <c r="V127" s="330"/>
      <c r="W127" s="330"/>
      <c r="X127" s="58" t="str">
        <f>IF(B127&lt;&gt;0,VLOOKUP(B127,#REF!,4,FALSE),"")</f>
        <v/>
      </c>
      <c r="Y127" s="334" t="s">
        <v>1891</v>
      </c>
      <c r="Z127" s="58"/>
      <c r="AA127" s="58">
        <f t="shared" si="34"/>
        <v>0</v>
      </c>
      <c r="AB127" s="58"/>
      <c r="AC127" s="58">
        <f t="shared" si="35"/>
        <v>0</v>
      </c>
      <c r="AD127" s="58" t="str">
        <f>IF(B127&lt;&gt;0,VLOOKUP(B127,#REF!,2,FALSE),"")</f>
        <v/>
      </c>
      <c r="AE127" s="55">
        <v>93.575999999999993</v>
      </c>
      <c r="AF127" s="55">
        <f t="shared" si="39"/>
        <v>93.575999999999993</v>
      </c>
    </row>
    <row r="128" spans="1:32" s="267" customFormat="1" ht="60">
      <c r="A128" s="21" t="s">
        <v>753</v>
      </c>
      <c r="B128" s="20">
        <v>92452</v>
      </c>
      <c r="C128" s="19" t="s">
        <v>1555</v>
      </c>
      <c r="D128" s="21" t="s">
        <v>12</v>
      </c>
      <c r="E128" s="21" t="s">
        <v>26</v>
      </c>
      <c r="F128" s="22">
        <v>144.93</v>
      </c>
      <c r="G128" s="22">
        <f t="shared" si="32"/>
        <v>86.716999999999999</v>
      </c>
      <c r="H128" s="22">
        <f t="shared" ref="H128:H136" si="46">ROUND(G128*(1+$X$13),2)</f>
        <v>109.97</v>
      </c>
      <c r="I128" s="147">
        <f t="shared" ref="I128:I136" si="47">ROUND(H128*F128,2)</f>
        <v>15937.95</v>
      </c>
      <c r="J128" s="148"/>
      <c r="K128" s="148"/>
      <c r="L128" s="148"/>
      <c r="M128" s="148">
        <v>124.60000000000001</v>
      </c>
      <c r="N128" s="148">
        <v>158.01</v>
      </c>
      <c r="O128" s="148">
        <v>22900.39</v>
      </c>
      <c r="P128" s="494"/>
      <c r="Q128" s="147">
        <f t="shared" si="45"/>
        <v>0</v>
      </c>
      <c r="R128" s="148"/>
      <c r="S128" s="148">
        <f t="shared" ref="S128:S136" si="48">ROUND(R128*P128,2)</f>
        <v>0</v>
      </c>
      <c r="T128" s="148">
        <f t="shared" si="26"/>
        <v>144.93</v>
      </c>
      <c r="U128" s="148">
        <f t="shared" si="30"/>
        <v>22900.39</v>
      </c>
      <c r="V128" s="379"/>
      <c r="W128" s="379"/>
      <c r="X128" s="269" t="e">
        <f>IF(B128&lt;&gt;0,VLOOKUP(B128,#REF!,4,FALSE),"")</f>
        <v>#REF!</v>
      </c>
      <c r="Y128" s="335" t="s">
        <v>3213</v>
      </c>
      <c r="Z128" s="58">
        <f t="shared" si="33"/>
        <v>-15.302999999999997</v>
      </c>
      <c r="AA128" s="58">
        <f t="shared" si="34"/>
        <v>12567.89481</v>
      </c>
      <c r="AB128" s="58"/>
      <c r="AC128" s="58">
        <f t="shared" si="35"/>
        <v>15937.9521</v>
      </c>
      <c r="AD128" s="269" t="e">
        <f>IF(B128&lt;&gt;0,VLOOKUP(B128,#REF!,2,FALSE),"")</f>
        <v>#REF!</v>
      </c>
      <c r="AE128" s="267">
        <v>49.6755</v>
      </c>
      <c r="AF128" s="267">
        <f t="shared" si="39"/>
        <v>-95.254500000000007</v>
      </c>
    </row>
    <row r="129" spans="1:32" s="267" customFormat="1" ht="60">
      <c r="A129" s="21" t="s">
        <v>754</v>
      </c>
      <c r="B129" s="20">
        <v>92481</v>
      </c>
      <c r="C129" s="19" t="s">
        <v>1535</v>
      </c>
      <c r="D129" s="21" t="s">
        <v>1914</v>
      </c>
      <c r="E129" s="21" t="s">
        <v>26</v>
      </c>
      <c r="F129" s="22">
        <f>32.25+32.25</f>
        <v>64.5</v>
      </c>
      <c r="G129" s="22">
        <f t="shared" si="32"/>
        <v>197.89699999999999</v>
      </c>
      <c r="H129" s="22">
        <f t="shared" si="46"/>
        <v>250.95</v>
      </c>
      <c r="I129" s="147">
        <f t="shared" si="47"/>
        <v>16186.28</v>
      </c>
      <c r="J129" s="148"/>
      <c r="K129" s="148"/>
      <c r="L129" s="148"/>
      <c r="M129" s="148">
        <v>284.67</v>
      </c>
      <c r="N129" s="148">
        <v>360.99</v>
      </c>
      <c r="O129" s="148">
        <v>23283.86</v>
      </c>
      <c r="P129" s="494"/>
      <c r="Q129" s="147">
        <f t="shared" si="45"/>
        <v>0</v>
      </c>
      <c r="R129" s="148"/>
      <c r="S129" s="148">
        <f t="shared" si="48"/>
        <v>0</v>
      </c>
      <c r="T129" s="148">
        <f t="shared" si="26"/>
        <v>64.5</v>
      </c>
      <c r="U129" s="148">
        <f t="shared" si="30"/>
        <v>23283.86</v>
      </c>
      <c r="V129" s="379"/>
      <c r="W129" s="379"/>
      <c r="X129" s="268">
        <f>'COMPOSIÇÃO DE CUSTOS'!G152</f>
        <v>197.9</v>
      </c>
      <c r="Y129" s="335">
        <v>232.82</v>
      </c>
      <c r="Z129" s="58">
        <f t="shared" si="33"/>
        <v>-34.923000000000002</v>
      </c>
      <c r="AA129" s="58">
        <f t="shared" si="34"/>
        <v>12764.3565</v>
      </c>
      <c r="AB129" s="58"/>
      <c r="AC129" s="58">
        <f t="shared" si="35"/>
        <v>16186.275</v>
      </c>
      <c r="AD129" s="269" t="e">
        <f>IF(B129&lt;&gt;0,VLOOKUP(B129,#REF!,2,FALSE),"")</f>
        <v>#REF!</v>
      </c>
      <c r="AE129" s="267">
        <v>32.549999999999997</v>
      </c>
      <c r="AF129" s="267">
        <f t="shared" si="39"/>
        <v>-31.950000000000003</v>
      </c>
    </row>
    <row r="130" spans="1:32" s="267" customFormat="1" ht="75">
      <c r="A130" s="21" t="s">
        <v>755</v>
      </c>
      <c r="B130" s="20">
        <v>92759</v>
      </c>
      <c r="C130" s="19" t="s">
        <v>1536</v>
      </c>
      <c r="D130" s="21" t="s">
        <v>12</v>
      </c>
      <c r="E130" s="21" t="s">
        <v>45</v>
      </c>
      <c r="F130" s="22">
        <v>84</v>
      </c>
      <c r="G130" s="22">
        <f t="shared" si="32"/>
        <v>13.5915</v>
      </c>
      <c r="H130" s="22">
        <f t="shared" si="46"/>
        <v>17.239999999999998</v>
      </c>
      <c r="I130" s="147">
        <f t="shared" si="47"/>
        <v>1448.16</v>
      </c>
      <c r="J130" s="148"/>
      <c r="K130" s="148"/>
      <c r="L130" s="148"/>
      <c r="M130" s="148">
        <v>15.14</v>
      </c>
      <c r="N130" s="148">
        <v>19.2</v>
      </c>
      <c r="O130" s="148">
        <v>1612.8</v>
      </c>
      <c r="P130" s="494"/>
      <c r="Q130" s="147">
        <f t="shared" si="45"/>
        <v>0</v>
      </c>
      <c r="R130" s="148"/>
      <c r="S130" s="148">
        <f t="shared" si="48"/>
        <v>0</v>
      </c>
      <c r="T130" s="148">
        <f t="shared" si="26"/>
        <v>84</v>
      </c>
      <c r="U130" s="148">
        <f t="shared" si="30"/>
        <v>1612.8</v>
      </c>
      <c r="V130" s="379"/>
      <c r="W130" s="379"/>
      <c r="X130" s="269" t="e">
        <f>IF(B130&lt;&gt;0,VLOOKUP(B130,#REF!,4,FALSE),"")</f>
        <v>#REF!</v>
      </c>
      <c r="Y130" s="335" t="s">
        <v>1853</v>
      </c>
      <c r="Z130" s="58">
        <f t="shared" si="33"/>
        <v>-2.3985000000000003</v>
      </c>
      <c r="AA130" s="58">
        <f t="shared" si="34"/>
        <v>1141.6859999999999</v>
      </c>
      <c r="AB130" s="58"/>
      <c r="AC130" s="58">
        <f t="shared" si="35"/>
        <v>1448.1599999999999</v>
      </c>
      <c r="AD130" s="269" t="e">
        <f>IF(B130&lt;&gt;0,VLOOKUP(B130,#REF!,2,FALSE),"")</f>
        <v>#REF!</v>
      </c>
      <c r="AE130" s="267">
        <v>451.84999999999997</v>
      </c>
      <c r="AF130" s="267">
        <f t="shared" si="39"/>
        <v>367.84999999999997</v>
      </c>
    </row>
    <row r="131" spans="1:32" s="267" customFormat="1" ht="75">
      <c r="A131" s="21" t="s">
        <v>756</v>
      </c>
      <c r="B131" s="20">
        <v>92760</v>
      </c>
      <c r="C131" s="19" t="s">
        <v>1537</v>
      </c>
      <c r="D131" s="21" t="s">
        <v>12</v>
      </c>
      <c r="E131" s="21" t="s">
        <v>45</v>
      </c>
      <c r="F131" s="22">
        <v>661</v>
      </c>
      <c r="G131" s="22">
        <f t="shared" si="32"/>
        <v>13.5915</v>
      </c>
      <c r="H131" s="22">
        <f t="shared" si="46"/>
        <v>17.239999999999998</v>
      </c>
      <c r="I131" s="147">
        <f t="shared" si="47"/>
        <v>11395.64</v>
      </c>
      <c r="J131" s="148"/>
      <c r="K131" s="148"/>
      <c r="L131" s="148"/>
      <c r="M131" s="148">
        <v>13.069999999999999</v>
      </c>
      <c r="N131" s="148">
        <v>16.57</v>
      </c>
      <c r="O131" s="148">
        <v>10952.77</v>
      </c>
      <c r="P131" s="494"/>
      <c r="Q131" s="147">
        <f t="shared" si="45"/>
        <v>0</v>
      </c>
      <c r="R131" s="148"/>
      <c r="S131" s="148">
        <f t="shared" si="48"/>
        <v>0</v>
      </c>
      <c r="T131" s="148">
        <f t="shared" si="26"/>
        <v>661</v>
      </c>
      <c r="U131" s="148">
        <f t="shared" si="30"/>
        <v>10952.77</v>
      </c>
      <c r="V131" s="379"/>
      <c r="W131" s="379"/>
      <c r="X131" s="269" t="e">
        <f>IF(B131&lt;&gt;0,VLOOKUP(B131,#REF!,4,FALSE),"")</f>
        <v>#REF!</v>
      </c>
      <c r="Y131" s="335" t="s">
        <v>1853</v>
      </c>
      <c r="Z131" s="58">
        <f t="shared" si="33"/>
        <v>-2.3985000000000003</v>
      </c>
      <c r="AA131" s="58">
        <f t="shared" si="34"/>
        <v>8983.9814999999999</v>
      </c>
      <c r="AB131" s="58"/>
      <c r="AC131" s="58">
        <f t="shared" si="35"/>
        <v>11395.64</v>
      </c>
      <c r="AD131" s="269" t="e">
        <f>IF(B131&lt;&gt;0,VLOOKUP(B131,#REF!,2,FALSE),"")</f>
        <v>#REF!</v>
      </c>
      <c r="AE131" s="267">
        <v>64.05</v>
      </c>
      <c r="AF131" s="267">
        <f t="shared" si="39"/>
        <v>-596.95000000000005</v>
      </c>
    </row>
    <row r="132" spans="1:32" s="267" customFormat="1" ht="75">
      <c r="A132" s="21" t="s">
        <v>757</v>
      </c>
      <c r="B132" s="20">
        <v>92761</v>
      </c>
      <c r="C132" s="19" t="s">
        <v>1538</v>
      </c>
      <c r="D132" s="21" t="s">
        <v>12</v>
      </c>
      <c r="E132" s="21" t="s">
        <v>45</v>
      </c>
      <c r="F132" s="22">
        <v>63</v>
      </c>
      <c r="G132" s="22">
        <f t="shared" si="32"/>
        <v>13.276999999999999</v>
      </c>
      <c r="H132" s="22">
        <f t="shared" si="46"/>
        <v>16.84</v>
      </c>
      <c r="I132" s="147">
        <f t="shared" si="47"/>
        <v>1060.92</v>
      </c>
      <c r="J132" s="148"/>
      <c r="K132" s="148"/>
      <c r="L132" s="148"/>
      <c r="M132" s="148">
        <v>14.79</v>
      </c>
      <c r="N132" s="148">
        <v>18.760000000000002</v>
      </c>
      <c r="O132" s="148">
        <v>1181.8800000000001</v>
      </c>
      <c r="P132" s="494"/>
      <c r="Q132" s="147">
        <f t="shared" si="45"/>
        <v>0</v>
      </c>
      <c r="R132" s="148"/>
      <c r="S132" s="148">
        <f t="shared" si="48"/>
        <v>0</v>
      </c>
      <c r="T132" s="148">
        <f t="shared" si="26"/>
        <v>63</v>
      </c>
      <c r="U132" s="148">
        <f t="shared" si="30"/>
        <v>1181.8800000000001</v>
      </c>
      <c r="V132" s="379"/>
      <c r="W132" s="379"/>
      <c r="X132" s="269" t="e">
        <f>IF(B132&lt;&gt;0,VLOOKUP(B132,#REF!,4,FALSE),"")</f>
        <v>#REF!</v>
      </c>
      <c r="Y132" s="335" t="s">
        <v>3214</v>
      </c>
      <c r="Z132" s="58">
        <f t="shared" si="33"/>
        <v>-2.343</v>
      </c>
      <c r="AA132" s="58">
        <f t="shared" si="34"/>
        <v>836.45099999999991</v>
      </c>
      <c r="AB132" s="58"/>
      <c r="AC132" s="58">
        <f t="shared" si="35"/>
        <v>1060.92</v>
      </c>
      <c r="AD132" s="269" t="e">
        <f>IF(B132&lt;&gt;0,VLOOKUP(B132,#REF!,2,FALSE),"")</f>
        <v>#REF!</v>
      </c>
      <c r="AE132" s="267">
        <v>71.399999999999991</v>
      </c>
      <c r="AF132" s="267">
        <f t="shared" ref="AF132:AF165" si="49">AE132-F132</f>
        <v>8.3999999999999915</v>
      </c>
    </row>
    <row r="133" spans="1:32" s="267" customFormat="1" ht="75">
      <c r="A133" s="21" t="s">
        <v>758</v>
      </c>
      <c r="B133" s="20">
        <v>92762</v>
      </c>
      <c r="C133" s="19" t="s">
        <v>1539</v>
      </c>
      <c r="D133" s="21" t="s">
        <v>12</v>
      </c>
      <c r="E133" s="21" t="s">
        <v>45</v>
      </c>
      <c r="F133" s="22">
        <v>155</v>
      </c>
      <c r="G133" s="22">
        <f t="shared" si="32"/>
        <v>12.1295</v>
      </c>
      <c r="H133" s="22">
        <f t="shared" si="46"/>
        <v>15.38</v>
      </c>
      <c r="I133" s="147">
        <f t="shared" si="47"/>
        <v>2383.9</v>
      </c>
      <c r="J133" s="148"/>
      <c r="K133" s="148"/>
      <c r="L133" s="148"/>
      <c r="M133" s="148">
        <v>11.49</v>
      </c>
      <c r="N133" s="148">
        <v>14.57</v>
      </c>
      <c r="O133" s="148">
        <v>2258.35</v>
      </c>
      <c r="P133" s="494"/>
      <c r="Q133" s="147">
        <f t="shared" si="45"/>
        <v>0</v>
      </c>
      <c r="R133" s="148"/>
      <c r="S133" s="148">
        <f t="shared" si="48"/>
        <v>0</v>
      </c>
      <c r="T133" s="148">
        <f t="shared" si="26"/>
        <v>155</v>
      </c>
      <c r="U133" s="148">
        <f t="shared" si="30"/>
        <v>2258.35</v>
      </c>
      <c r="V133" s="379"/>
      <c r="W133" s="379"/>
      <c r="X133" s="269" t="e">
        <f>IF(B133&lt;&gt;0,VLOOKUP(B133,#REF!,4,FALSE),"")</f>
        <v>#REF!</v>
      </c>
      <c r="Y133" s="335" t="s">
        <v>3151</v>
      </c>
      <c r="Z133" s="58">
        <f t="shared" si="33"/>
        <v>-2.1404999999999994</v>
      </c>
      <c r="AA133" s="58">
        <f t="shared" si="34"/>
        <v>1880.0725</v>
      </c>
      <c r="AB133" s="58"/>
      <c r="AC133" s="58">
        <f t="shared" si="35"/>
        <v>2383.9</v>
      </c>
      <c r="AD133" s="269" t="e">
        <f>IF(B133&lt;&gt;0,VLOOKUP(B133,#REF!,2,FALSE),"")</f>
        <v>#REF!</v>
      </c>
      <c r="AE133" s="267">
        <v>200.2</v>
      </c>
      <c r="AF133" s="267">
        <f t="shared" si="49"/>
        <v>45.199999999999989</v>
      </c>
    </row>
    <row r="134" spans="1:32" s="267" customFormat="1" ht="75">
      <c r="A134" s="21" t="s">
        <v>759</v>
      </c>
      <c r="B134" s="20">
        <v>92763</v>
      </c>
      <c r="C134" s="19" t="s">
        <v>1540</v>
      </c>
      <c r="D134" s="21" t="s">
        <v>12</v>
      </c>
      <c r="E134" s="21" t="s">
        <v>45</v>
      </c>
      <c r="F134" s="22">
        <v>121</v>
      </c>
      <c r="G134" s="22">
        <f t="shared" si="32"/>
        <v>10.361499999999999</v>
      </c>
      <c r="H134" s="22">
        <f t="shared" si="46"/>
        <v>13.14</v>
      </c>
      <c r="I134" s="147">
        <f t="shared" si="47"/>
        <v>1589.94</v>
      </c>
      <c r="J134" s="148"/>
      <c r="K134" s="148"/>
      <c r="L134" s="148"/>
      <c r="M134" s="148">
        <v>10.50122</v>
      </c>
      <c r="N134" s="148">
        <v>13.32</v>
      </c>
      <c r="O134" s="148">
        <v>1611.72</v>
      </c>
      <c r="P134" s="494"/>
      <c r="Q134" s="147">
        <f t="shared" si="45"/>
        <v>0</v>
      </c>
      <c r="R134" s="148"/>
      <c r="S134" s="148">
        <f t="shared" si="48"/>
        <v>0</v>
      </c>
      <c r="T134" s="148">
        <f t="shared" si="26"/>
        <v>121</v>
      </c>
      <c r="U134" s="148">
        <f t="shared" si="30"/>
        <v>1611.72</v>
      </c>
      <c r="V134" s="379"/>
      <c r="W134" s="379"/>
      <c r="X134" s="269" t="e">
        <f>IF(B134&lt;&gt;0,VLOOKUP(B134,#REF!,4,FALSE),"")</f>
        <v>#REF!</v>
      </c>
      <c r="Y134" s="335" t="s">
        <v>3131</v>
      </c>
      <c r="Z134" s="58">
        <f t="shared" si="33"/>
        <v>-1.8285</v>
      </c>
      <c r="AA134" s="58">
        <f t="shared" si="34"/>
        <v>1253.7414999999999</v>
      </c>
      <c r="AB134" s="58"/>
      <c r="AC134" s="58">
        <f t="shared" si="35"/>
        <v>1589.94</v>
      </c>
      <c r="AD134" s="269" t="e">
        <f>IF(B134&lt;&gt;0,VLOOKUP(B134,#REF!,2,FALSE),"")</f>
        <v>#REF!</v>
      </c>
      <c r="AE134" s="267">
        <v>157.14999999999998</v>
      </c>
      <c r="AF134" s="267">
        <f t="shared" si="49"/>
        <v>36.149999999999977</v>
      </c>
    </row>
    <row r="135" spans="1:32" s="267" customFormat="1" ht="75">
      <c r="A135" s="21" t="s">
        <v>760</v>
      </c>
      <c r="B135" s="20">
        <v>92764</v>
      </c>
      <c r="C135" s="19" t="s">
        <v>1541</v>
      </c>
      <c r="D135" s="21" t="s">
        <v>12</v>
      </c>
      <c r="E135" s="21" t="s">
        <v>45</v>
      </c>
      <c r="F135" s="22">
        <v>258</v>
      </c>
      <c r="G135" s="22">
        <f t="shared" si="32"/>
        <v>10.064</v>
      </c>
      <c r="H135" s="22">
        <f t="shared" si="46"/>
        <v>12.76</v>
      </c>
      <c r="I135" s="147">
        <f t="shared" si="47"/>
        <v>3292.08</v>
      </c>
      <c r="J135" s="148"/>
      <c r="K135" s="148"/>
      <c r="L135" s="148"/>
      <c r="M135" s="148">
        <v>10.28</v>
      </c>
      <c r="N135" s="148">
        <v>13.04</v>
      </c>
      <c r="O135" s="148">
        <v>3364.32</v>
      </c>
      <c r="P135" s="494"/>
      <c r="Q135" s="147">
        <f t="shared" si="45"/>
        <v>0</v>
      </c>
      <c r="R135" s="148"/>
      <c r="S135" s="148">
        <f t="shared" si="48"/>
        <v>0</v>
      </c>
      <c r="T135" s="148">
        <f t="shared" si="26"/>
        <v>258</v>
      </c>
      <c r="U135" s="148">
        <f t="shared" si="30"/>
        <v>3364.32</v>
      </c>
      <c r="V135" s="379"/>
      <c r="W135" s="379"/>
      <c r="X135" s="269" t="e">
        <f>IF(B135&lt;&gt;0,VLOOKUP(B135,#REF!,4,FALSE),"")</f>
        <v>#REF!</v>
      </c>
      <c r="Y135" s="335" t="s">
        <v>3041</v>
      </c>
      <c r="Z135" s="58">
        <f t="shared" si="33"/>
        <v>-1.7759999999999998</v>
      </c>
      <c r="AA135" s="58">
        <f t="shared" si="34"/>
        <v>2596.5120000000002</v>
      </c>
      <c r="AB135" s="58"/>
      <c r="AC135" s="58">
        <f t="shared" si="35"/>
        <v>3292.08</v>
      </c>
      <c r="AD135" s="269" t="e">
        <f>IF(B135&lt;&gt;0,VLOOKUP(B135,#REF!,2,FALSE),"")</f>
        <v>#REF!</v>
      </c>
      <c r="AE135" s="267">
        <v>46.199999999999996</v>
      </c>
      <c r="AF135" s="267">
        <f t="shared" si="49"/>
        <v>-211.8</v>
      </c>
    </row>
    <row r="136" spans="1:32" s="38" customFormat="1" ht="105" customHeight="1">
      <c r="A136" s="447" t="s">
        <v>3413</v>
      </c>
      <c r="B136" s="448">
        <v>92725</v>
      </c>
      <c r="C136" s="449" t="s">
        <v>1542</v>
      </c>
      <c r="D136" s="447" t="s">
        <v>1914</v>
      </c>
      <c r="E136" s="447" t="s">
        <v>35</v>
      </c>
      <c r="F136" s="450">
        <v>21.93</v>
      </c>
      <c r="G136" s="450">
        <f t="shared" si="32"/>
        <v>394.35749999999996</v>
      </c>
      <c r="H136" s="450">
        <f t="shared" si="46"/>
        <v>500.08</v>
      </c>
      <c r="I136" s="451">
        <f t="shared" si="47"/>
        <v>10966.75</v>
      </c>
      <c r="J136" s="452"/>
      <c r="K136" s="452"/>
      <c r="L136" s="452"/>
      <c r="M136" s="452">
        <f>M126</f>
        <v>600.08000000000004</v>
      </c>
      <c r="N136" s="452">
        <f>N126</f>
        <v>760.96</v>
      </c>
      <c r="O136" s="452"/>
      <c r="P136" s="493">
        <f>F136</f>
        <v>21.93</v>
      </c>
      <c r="Q136" s="451">
        <f t="shared" si="45"/>
        <v>16687.849999999999</v>
      </c>
      <c r="R136" s="452"/>
      <c r="S136" s="452">
        <f t="shared" si="48"/>
        <v>0</v>
      </c>
      <c r="T136" s="452">
        <f>P136</f>
        <v>21.93</v>
      </c>
      <c r="U136" s="452">
        <f t="shared" si="30"/>
        <v>16687.849999999999</v>
      </c>
      <c r="V136" s="453"/>
      <c r="W136" s="453"/>
      <c r="X136" s="42">
        <f>'COMPOSIÇÃO DE CUSTOS'!G130</f>
        <v>394.36</v>
      </c>
      <c r="Y136" s="336">
        <v>463.95</v>
      </c>
      <c r="Z136" s="39">
        <f t="shared" si="33"/>
        <v>-69.59250000000003</v>
      </c>
      <c r="AA136" s="39">
        <f t="shared" si="34"/>
        <v>8648.259974999999</v>
      </c>
      <c r="AB136" s="39"/>
      <c r="AC136" s="39">
        <f t="shared" si="35"/>
        <v>10966.7544</v>
      </c>
      <c r="AD136" s="39"/>
      <c r="AF136" s="38">
        <f t="shared" si="49"/>
        <v>-21.93</v>
      </c>
    </row>
    <row r="137" spans="1:32" s="38" customFormat="1" ht="21" customHeight="1">
      <c r="A137" s="69" t="s">
        <v>763</v>
      </c>
      <c r="B137" s="129"/>
      <c r="C137" s="229" t="s">
        <v>64</v>
      </c>
      <c r="D137" s="230"/>
      <c r="E137" s="230"/>
      <c r="F137" s="230"/>
      <c r="G137" s="22"/>
      <c r="H137" s="230"/>
      <c r="I137" s="445"/>
      <c r="J137" s="440"/>
      <c r="K137" s="440"/>
      <c r="L137" s="440"/>
      <c r="M137" s="440"/>
      <c r="N137" s="440"/>
      <c r="O137" s="440"/>
      <c r="P137" s="492"/>
      <c r="Q137" s="445"/>
      <c r="R137" s="440"/>
      <c r="S137" s="440"/>
      <c r="T137" s="148" t="str">
        <f t="shared" si="26"/>
        <v xml:space="preserve"> </v>
      </c>
      <c r="U137" s="148"/>
      <c r="V137" s="330"/>
      <c r="W137" s="330"/>
      <c r="X137" s="58" t="str">
        <f>IF(B137&lt;&gt;0,VLOOKUP(B137,#REF!,4,FALSE),"")</f>
        <v/>
      </c>
      <c r="Y137" s="334" t="s">
        <v>1891</v>
      </c>
      <c r="Z137" s="58"/>
      <c r="AA137" s="58">
        <f t="shared" si="34"/>
        <v>0</v>
      </c>
      <c r="AB137" s="58"/>
      <c r="AC137" s="58">
        <f t="shared" si="35"/>
        <v>0</v>
      </c>
      <c r="AD137" s="58" t="str">
        <f>IF(B137&lt;&gt;0,VLOOKUP(B137,#REF!,2,FALSE),"")</f>
        <v/>
      </c>
      <c r="AF137" s="55">
        <f t="shared" si="49"/>
        <v>0</v>
      </c>
    </row>
    <row r="138" spans="1:32" s="55" customFormat="1" ht="20.25" customHeight="1">
      <c r="A138" s="69" t="s">
        <v>764</v>
      </c>
      <c r="B138" s="129"/>
      <c r="C138" s="229" t="s">
        <v>69</v>
      </c>
      <c r="D138" s="230"/>
      <c r="E138" s="230"/>
      <c r="F138" s="230"/>
      <c r="G138" s="22"/>
      <c r="H138" s="230"/>
      <c r="I138" s="445"/>
      <c r="J138" s="440"/>
      <c r="K138" s="440"/>
      <c r="L138" s="440"/>
      <c r="M138" s="440"/>
      <c r="N138" s="440"/>
      <c r="O138" s="440"/>
      <c r="P138" s="492"/>
      <c r="Q138" s="445"/>
      <c r="R138" s="440"/>
      <c r="S138" s="440"/>
      <c r="T138" s="148" t="str">
        <f t="shared" si="26"/>
        <v xml:space="preserve"> </v>
      </c>
      <c r="U138" s="148"/>
      <c r="V138" s="330"/>
      <c r="W138" s="330"/>
      <c r="X138" s="58" t="str">
        <f>IF(B138&lt;&gt;0,VLOOKUP(B138,#REF!,4,FALSE),"")</f>
        <v/>
      </c>
      <c r="Y138" s="334" t="s">
        <v>1891</v>
      </c>
      <c r="Z138" s="58"/>
      <c r="AA138" s="58">
        <f t="shared" si="34"/>
        <v>0</v>
      </c>
      <c r="AB138" s="58"/>
      <c r="AC138" s="58">
        <f t="shared" si="35"/>
        <v>0</v>
      </c>
      <c r="AD138" s="58" t="str">
        <f>IF(B138&lt;&gt;0,VLOOKUP(B138,#REF!,2,FALSE),"")</f>
        <v/>
      </c>
      <c r="AE138" s="55">
        <v>13.45</v>
      </c>
      <c r="AF138" s="55">
        <f t="shared" si="49"/>
        <v>13.45</v>
      </c>
    </row>
    <row r="139" spans="1:32" s="55" customFormat="1" ht="108.75" customHeight="1">
      <c r="A139" s="21" t="s">
        <v>765</v>
      </c>
      <c r="B139" s="20">
        <v>72111</v>
      </c>
      <c r="C139" s="264" t="s">
        <v>2566</v>
      </c>
      <c r="D139" s="21" t="s">
        <v>1914</v>
      </c>
      <c r="E139" s="21" t="s">
        <v>26</v>
      </c>
      <c r="F139" s="22">
        <v>13.45</v>
      </c>
      <c r="G139" s="22">
        <f t="shared" si="32"/>
        <v>106.063</v>
      </c>
      <c r="H139" s="22">
        <f>ROUND(G139*(1+$X$13),2)</f>
        <v>134.5</v>
      </c>
      <c r="I139" s="147">
        <f>ROUND(H139*F139,2)</f>
        <v>1809.03</v>
      </c>
      <c r="J139" s="148"/>
      <c r="K139" s="148"/>
      <c r="L139" s="148"/>
      <c r="M139" s="148">
        <v>118.16</v>
      </c>
      <c r="N139" s="148">
        <v>149.84</v>
      </c>
      <c r="O139" s="148">
        <v>2015.35</v>
      </c>
      <c r="P139" s="494"/>
      <c r="Q139" s="147">
        <f>ROUND(P139*N139,2)</f>
        <v>0</v>
      </c>
      <c r="R139" s="148"/>
      <c r="S139" s="148">
        <f>ROUND(R139*P139,2)</f>
        <v>0</v>
      </c>
      <c r="T139" s="148">
        <f t="shared" si="26"/>
        <v>13.45</v>
      </c>
      <c r="U139" s="148">
        <f t="shared" si="30"/>
        <v>2015.35</v>
      </c>
      <c r="V139" s="379"/>
      <c r="W139" s="379"/>
      <c r="X139" s="57">
        <f>'COMPOSIÇÃO DE CUSTOS'!G2279</f>
        <v>106.07</v>
      </c>
      <c r="Y139" s="334">
        <v>124.78</v>
      </c>
      <c r="Z139" s="58">
        <f t="shared" si="33"/>
        <v>-18.716999999999999</v>
      </c>
      <c r="AA139" s="58">
        <f t="shared" si="34"/>
        <v>1426.5473500000001</v>
      </c>
      <c r="AB139" s="58"/>
      <c r="AC139" s="58">
        <f t="shared" si="35"/>
        <v>1809.0249999999999</v>
      </c>
      <c r="AD139" s="58" t="e">
        <f>IF(B139&lt;&gt;0,VLOOKUP(B139,#REF!,2,FALSE),"")</f>
        <v>#REF!</v>
      </c>
      <c r="AF139" s="55">
        <f t="shared" si="49"/>
        <v>-13.45</v>
      </c>
    </row>
    <row r="140" spans="1:32" s="55" customFormat="1" ht="27" customHeight="1">
      <c r="A140" s="21"/>
      <c r="B140" s="20"/>
      <c r="C140" s="19"/>
      <c r="D140" s="21"/>
      <c r="E140" s="21"/>
      <c r="F140" s="22"/>
      <c r="G140" s="22"/>
      <c r="H140" s="22"/>
      <c r="I140" s="147"/>
      <c r="J140" s="148"/>
      <c r="K140" s="148"/>
      <c r="L140" s="148"/>
      <c r="M140" s="148"/>
      <c r="N140" s="148"/>
      <c r="O140" s="148"/>
      <c r="P140" s="494"/>
      <c r="Q140" s="147"/>
      <c r="R140" s="148"/>
      <c r="S140" s="148"/>
      <c r="T140" s="148" t="str">
        <f t="shared" si="26"/>
        <v xml:space="preserve"> </v>
      </c>
      <c r="U140" s="148"/>
      <c r="V140" s="379"/>
      <c r="W140" s="379"/>
      <c r="X140" s="58" t="str">
        <f>IF(B140&lt;&gt;0,VLOOKUP(B140,#REF!,4,FALSE),"")</f>
        <v/>
      </c>
      <c r="Y140" s="334" t="s">
        <v>1891</v>
      </c>
      <c r="Z140" s="58"/>
      <c r="AA140" s="58">
        <f t="shared" si="34"/>
        <v>0</v>
      </c>
      <c r="AB140" s="58"/>
      <c r="AC140" s="58">
        <f t="shared" si="35"/>
        <v>0</v>
      </c>
      <c r="AD140" s="58" t="str">
        <f>IF(B140&lt;&gt;0,VLOOKUP(B140,#REF!,2,FALSE),"")</f>
        <v/>
      </c>
      <c r="AF140" s="55">
        <f t="shared" si="49"/>
        <v>0</v>
      </c>
    </row>
    <row r="141" spans="1:32" ht="15" customHeight="1">
      <c r="A141" s="69" t="s">
        <v>766</v>
      </c>
      <c r="B141" s="129"/>
      <c r="C141" s="229" t="s">
        <v>71</v>
      </c>
      <c r="D141" s="230"/>
      <c r="E141" s="230"/>
      <c r="F141" s="230"/>
      <c r="G141" s="22"/>
      <c r="H141" s="230"/>
      <c r="I141" s="445">
        <f>ROUND(SUM(I142:I144),2)</f>
        <v>48424.45</v>
      </c>
      <c r="J141" s="440"/>
      <c r="K141" s="440"/>
      <c r="L141" s="440"/>
      <c r="M141" s="440"/>
      <c r="N141" s="440"/>
      <c r="O141" s="440">
        <v>52095.199999999997</v>
      </c>
      <c r="P141" s="492"/>
      <c r="Q141" s="445">
        <f>ROUND(SUM(Q142:Q144),2)</f>
        <v>0</v>
      </c>
      <c r="R141" s="440"/>
      <c r="S141" s="440">
        <f>ROUND(SUM(S142:S144),2)</f>
        <v>0</v>
      </c>
      <c r="T141" s="148" t="str">
        <f t="shared" si="26"/>
        <v xml:space="preserve"> </v>
      </c>
      <c r="U141" s="440">
        <f t="shared" si="30"/>
        <v>52095.199999999997</v>
      </c>
      <c r="V141" s="330"/>
      <c r="W141" s="330"/>
      <c r="X141" s="58" t="str">
        <f>IF(B141&lt;&gt;0,VLOOKUP(B141,#REF!,4,FALSE),"")</f>
        <v/>
      </c>
      <c r="Y141" s="334" t="s">
        <v>1891</v>
      </c>
      <c r="Z141" s="58"/>
      <c r="AA141" s="58">
        <f t="shared" si="34"/>
        <v>0</v>
      </c>
      <c r="AB141" s="58"/>
      <c r="AC141" s="58">
        <f t="shared" si="35"/>
        <v>0</v>
      </c>
      <c r="AD141" s="58" t="str">
        <f>IF(B141&lt;&gt;0,VLOOKUP(B141,#REF!,2,FALSE),"")</f>
        <v/>
      </c>
      <c r="AE141" s="2">
        <v>20</v>
      </c>
      <c r="AF141" s="55">
        <f t="shared" si="49"/>
        <v>20</v>
      </c>
    </row>
    <row r="142" spans="1:32" s="38" customFormat="1" ht="113.25" customHeight="1">
      <c r="A142" s="21" t="s">
        <v>767</v>
      </c>
      <c r="B142" s="130" t="s">
        <v>2497</v>
      </c>
      <c r="C142" s="19" t="s">
        <v>2693</v>
      </c>
      <c r="D142" s="21" t="s">
        <v>1914</v>
      </c>
      <c r="E142" s="21" t="s">
        <v>17</v>
      </c>
      <c r="F142" s="22">
        <v>20</v>
      </c>
      <c r="G142" s="22">
        <f t="shared" si="32"/>
        <v>745.88350000000003</v>
      </c>
      <c r="H142" s="22">
        <f>ROUND(G142*(1+$X$13),2)</f>
        <v>945.85</v>
      </c>
      <c r="I142" s="147">
        <f>ROUND(H142*F142,2)</f>
        <v>18917</v>
      </c>
      <c r="J142" s="148"/>
      <c r="K142" s="148"/>
      <c r="L142" s="148"/>
      <c r="M142" s="148">
        <v>757.97</v>
      </c>
      <c r="N142" s="148">
        <v>961.18</v>
      </c>
      <c r="O142" s="148">
        <v>19223.599999999999</v>
      </c>
      <c r="P142" s="494"/>
      <c r="Q142" s="147">
        <f>ROUND(P142*N142,2)</f>
        <v>0</v>
      </c>
      <c r="R142" s="148"/>
      <c r="S142" s="148">
        <f>ROUND(R142*P142,2)</f>
        <v>0</v>
      </c>
      <c r="T142" s="148">
        <f t="shared" si="26"/>
        <v>20</v>
      </c>
      <c r="U142" s="148">
        <f t="shared" si="30"/>
        <v>19223.599999999999</v>
      </c>
      <c r="V142" s="379"/>
      <c r="W142" s="379"/>
      <c r="X142" s="57">
        <f>'COMPOSIÇÃO DE CUSTOS'!G206</f>
        <v>745.89</v>
      </c>
      <c r="Y142" s="334">
        <v>877.51</v>
      </c>
      <c r="Z142" s="58">
        <f t="shared" si="33"/>
        <v>-131.62649999999996</v>
      </c>
      <c r="AA142" s="58">
        <f t="shared" si="34"/>
        <v>14917.67</v>
      </c>
      <c r="AB142" s="58"/>
      <c r="AC142" s="58">
        <f t="shared" si="35"/>
        <v>18917</v>
      </c>
      <c r="AD142" s="58" t="e">
        <f>IF(B142&lt;&gt;0,VLOOKUP(B142,#REF!,2,FALSE),"")</f>
        <v>#REF!</v>
      </c>
      <c r="AE142" s="38">
        <v>7</v>
      </c>
      <c r="AF142" s="55">
        <f t="shared" si="49"/>
        <v>-13</v>
      </c>
    </row>
    <row r="143" spans="1:32" ht="123" customHeight="1">
      <c r="A143" s="21" t="s">
        <v>768</v>
      </c>
      <c r="B143" s="130" t="s">
        <v>2499</v>
      </c>
      <c r="C143" s="19" t="s">
        <v>2694</v>
      </c>
      <c r="D143" s="21" t="s">
        <v>1914</v>
      </c>
      <c r="E143" s="21" t="s">
        <v>17</v>
      </c>
      <c r="F143" s="22">
        <v>7</v>
      </c>
      <c r="G143" s="22">
        <f t="shared" si="32"/>
        <v>1076.5505000000001</v>
      </c>
      <c r="H143" s="22">
        <f>ROUND(G143*(1+$X$13),2)</f>
        <v>1365.17</v>
      </c>
      <c r="I143" s="147">
        <f>ROUND(H143*F143,2)</f>
        <v>9556.19</v>
      </c>
      <c r="J143" s="148"/>
      <c r="K143" s="148"/>
      <c r="L143" s="148"/>
      <c r="M143" s="148">
        <v>1199.29</v>
      </c>
      <c r="N143" s="148">
        <v>1520.82</v>
      </c>
      <c r="O143" s="148">
        <v>10645.74</v>
      </c>
      <c r="P143" s="494"/>
      <c r="Q143" s="147">
        <f>ROUND(P143*N143,2)</f>
        <v>0</v>
      </c>
      <c r="R143" s="148"/>
      <c r="S143" s="148">
        <f>ROUND(R143*P143,2)</f>
        <v>0</v>
      </c>
      <c r="T143" s="148">
        <f t="shared" si="26"/>
        <v>7</v>
      </c>
      <c r="U143" s="148">
        <f t="shared" si="30"/>
        <v>10645.74</v>
      </c>
      <c r="V143" s="379"/>
      <c r="W143" s="379"/>
      <c r="X143" s="57">
        <f>'COMPOSIÇÃO DE CUSTOS'!G216</f>
        <v>1076.56</v>
      </c>
      <c r="Y143" s="334">
        <v>1266.53</v>
      </c>
      <c r="Z143" s="58">
        <f t="shared" si="33"/>
        <v>-189.97949999999992</v>
      </c>
      <c r="AA143" s="58">
        <f t="shared" si="34"/>
        <v>7535.8535000000002</v>
      </c>
      <c r="AB143" s="58"/>
      <c r="AC143" s="58">
        <f t="shared" si="35"/>
        <v>9556.19</v>
      </c>
      <c r="AD143" s="58" t="e">
        <f>IF(B143&lt;&gt;0,VLOOKUP(B143,#REF!,2,FALSE),"")</f>
        <v>#REF!</v>
      </c>
      <c r="AE143" s="2">
        <v>6</v>
      </c>
      <c r="AF143" s="55">
        <f t="shared" si="49"/>
        <v>-1</v>
      </c>
    </row>
    <row r="144" spans="1:32" ht="94.5" customHeight="1">
      <c r="A144" s="21" t="s">
        <v>2695</v>
      </c>
      <c r="B144" s="20" t="s">
        <v>2696</v>
      </c>
      <c r="C144" s="19" t="s">
        <v>2697</v>
      </c>
      <c r="D144" s="21" t="s">
        <v>44</v>
      </c>
      <c r="E144" s="21" t="s">
        <v>17</v>
      </c>
      <c r="F144" s="22">
        <v>6</v>
      </c>
      <c r="G144" s="22">
        <f t="shared" si="32"/>
        <v>2622.1990000000001</v>
      </c>
      <c r="H144" s="22">
        <f>ROUND(G144*(1+$X$13),2)</f>
        <v>3325.21</v>
      </c>
      <c r="I144" s="147">
        <f>ROUND(H144*F144,2)</f>
        <v>19951.259999999998</v>
      </c>
      <c r="J144" s="148"/>
      <c r="K144" s="148"/>
      <c r="L144" s="148"/>
      <c r="M144" s="148">
        <v>2921.15</v>
      </c>
      <c r="N144" s="148">
        <v>3704.31</v>
      </c>
      <c r="O144" s="148">
        <v>22225.86</v>
      </c>
      <c r="P144" s="494"/>
      <c r="Q144" s="147">
        <f>ROUND(P144*N144,2)</f>
        <v>0</v>
      </c>
      <c r="R144" s="148"/>
      <c r="S144" s="148">
        <f>ROUND(R144*P144,2)</f>
        <v>0</v>
      </c>
      <c r="T144" s="148">
        <f t="shared" si="26"/>
        <v>6</v>
      </c>
      <c r="U144" s="148">
        <f t="shared" si="30"/>
        <v>22225.86</v>
      </c>
      <c r="V144" s="379"/>
      <c r="W144" s="379"/>
      <c r="X144" s="57">
        <f>'COMPOSIÇÃO DE CUSTOS'!G2354</f>
        <v>2622.21</v>
      </c>
      <c r="Y144" s="334">
        <v>3084.94</v>
      </c>
      <c r="Z144" s="58">
        <f t="shared" si="33"/>
        <v>-462.74099999999999</v>
      </c>
      <c r="AA144" s="58">
        <f t="shared" si="34"/>
        <v>15733.194</v>
      </c>
      <c r="AB144" s="58"/>
      <c r="AC144" s="58">
        <f t="shared" si="35"/>
        <v>19951.260000000002</v>
      </c>
      <c r="AD144" s="58" t="e">
        <f>IF(B144&lt;&gt;0,VLOOKUP(B144,#REF!,2,FALSE),"")</f>
        <v>#REF!</v>
      </c>
      <c r="AF144" s="55">
        <f t="shared" si="49"/>
        <v>-6</v>
      </c>
    </row>
    <row r="145" spans="1:32" s="23" customFormat="1" ht="31.5" customHeight="1">
      <c r="A145" s="21"/>
      <c r="B145" s="20"/>
      <c r="C145" s="19"/>
      <c r="D145" s="21"/>
      <c r="E145" s="21"/>
      <c r="F145" s="22"/>
      <c r="G145" s="22"/>
      <c r="H145" s="22"/>
      <c r="I145" s="147"/>
      <c r="J145" s="148"/>
      <c r="K145" s="148"/>
      <c r="L145" s="148"/>
      <c r="M145" s="148"/>
      <c r="N145" s="148"/>
      <c r="O145" s="148"/>
      <c r="P145" s="494"/>
      <c r="Q145" s="147"/>
      <c r="R145" s="148"/>
      <c r="S145" s="148"/>
      <c r="T145" s="148" t="str">
        <f t="shared" si="26"/>
        <v xml:space="preserve"> </v>
      </c>
      <c r="U145" s="148"/>
      <c r="V145" s="379"/>
      <c r="W145" s="379"/>
      <c r="X145" s="58" t="str">
        <f>IF(B145&lt;&gt;0,VLOOKUP(B145,#REF!,4,FALSE),"")</f>
        <v/>
      </c>
      <c r="Y145" s="334" t="s">
        <v>1891</v>
      </c>
      <c r="Z145" s="58"/>
      <c r="AA145" s="58"/>
      <c r="AB145" s="58"/>
      <c r="AC145" s="58">
        <f t="shared" si="35"/>
        <v>0</v>
      </c>
      <c r="AD145" s="58" t="str">
        <f>IF(B145&lt;&gt;0,VLOOKUP(B145,#REF!,2,FALSE),"")</f>
        <v/>
      </c>
      <c r="AF145" s="55">
        <f t="shared" si="49"/>
        <v>0</v>
      </c>
    </row>
    <row r="146" spans="1:32" ht="21" customHeight="1">
      <c r="A146" s="69" t="s">
        <v>769</v>
      </c>
      <c r="B146" s="129"/>
      <c r="C146" s="229" t="s">
        <v>74</v>
      </c>
      <c r="D146" s="230"/>
      <c r="E146" s="230"/>
      <c r="F146" s="230"/>
      <c r="G146" s="22"/>
      <c r="H146" s="230"/>
      <c r="I146" s="445">
        <f>ROUND(SUM(I148:I156),2)</f>
        <v>96329.33</v>
      </c>
      <c r="J146" s="440"/>
      <c r="K146" s="440"/>
      <c r="L146" s="440"/>
      <c r="M146" s="440"/>
      <c r="N146" s="440"/>
      <c r="O146" s="440">
        <v>225358.02</v>
      </c>
      <c r="P146" s="492"/>
      <c r="Q146" s="445">
        <f>ROUND(SUM(Q148:Q156),2)</f>
        <v>15766.81</v>
      </c>
      <c r="R146" s="440"/>
      <c r="S146" s="440">
        <f>ROUND(SUM(S148:S156),2)</f>
        <v>0</v>
      </c>
      <c r="T146" s="148" t="str">
        <f t="shared" si="26"/>
        <v xml:space="preserve"> </v>
      </c>
      <c r="U146" s="440">
        <f t="shared" si="30"/>
        <v>241124.83</v>
      </c>
      <c r="V146" s="330"/>
      <c r="W146" s="330"/>
      <c r="X146" s="57" t="str">
        <f>IF(B146&lt;&gt;0,VLOOKUP(B146,#REF!,4,FALSE),"")</f>
        <v/>
      </c>
      <c r="Y146" s="334" t="s">
        <v>1891</v>
      </c>
      <c r="Z146" s="58"/>
      <c r="AA146" s="58"/>
      <c r="AB146" s="58"/>
      <c r="AC146" s="58">
        <f t="shared" si="35"/>
        <v>0</v>
      </c>
      <c r="AD146" s="58" t="str">
        <f>IF(B146&lt;&gt;0,VLOOKUP(B146,#REF!,2,FALSE),"")</f>
        <v/>
      </c>
      <c r="AF146" s="55">
        <f t="shared" si="49"/>
        <v>0</v>
      </c>
    </row>
    <row r="147" spans="1:32" ht="22.5" customHeight="1">
      <c r="A147" s="69" t="s">
        <v>770</v>
      </c>
      <c r="B147" s="129"/>
      <c r="C147" s="229" t="s">
        <v>75</v>
      </c>
      <c r="D147" s="230"/>
      <c r="E147" s="230"/>
      <c r="F147" s="230"/>
      <c r="G147" s="22"/>
      <c r="H147" s="230"/>
      <c r="I147" s="445"/>
      <c r="J147" s="440"/>
      <c r="K147" s="440"/>
      <c r="L147" s="440"/>
      <c r="M147" s="440"/>
      <c r="N147" s="440"/>
      <c r="O147" s="440"/>
      <c r="P147" s="492"/>
      <c r="Q147" s="445"/>
      <c r="R147" s="440"/>
      <c r="S147" s="440"/>
      <c r="T147" s="148" t="str">
        <f t="shared" si="26"/>
        <v xml:space="preserve"> </v>
      </c>
      <c r="U147" s="148"/>
      <c r="V147" s="330"/>
      <c r="W147" s="330"/>
      <c r="X147" s="58" t="str">
        <f>IF(B147&lt;&gt;0,VLOOKUP(B147,#REF!,4,FALSE),"")</f>
        <v/>
      </c>
      <c r="Y147" s="334" t="s">
        <v>1891</v>
      </c>
      <c r="Z147" s="58"/>
      <c r="AA147" s="58"/>
      <c r="AB147" s="58"/>
      <c r="AC147" s="58">
        <f t="shared" si="35"/>
        <v>0</v>
      </c>
      <c r="AD147" s="58" t="str">
        <f>IF(B147&lt;&gt;0,VLOOKUP(B147,#REF!,2,FALSE),"")</f>
        <v/>
      </c>
      <c r="AE147" s="2">
        <v>2</v>
      </c>
      <c r="AF147" s="55">
        <f t="shared" si="49"/>
        <v>2</v>
      </c>
    </row>
    <row r="148" spans="1:32" s="38" customFormat="1" ht="78" customHeight="1">
      <c r="A148" s="21" t="s">
        <v>771</v>
      </c>
      <c r="B148" s="20" t="s">
        <v>2698</v>
      </c>
      <c r="C148" s="19" t="s">
        <v>2699</v>
      </c>
      <c r="D148" s="21" t="s">
        <v>1914</v>
      </c>
      <c r="E148" s="21" t="s">
        <v>17</v>
      </c>
      <c r="F148" s="22">
        <v>2</v>
      </c>
      <c r="G148" s="22">
        <f t="shared" si="32"/>
        <v>1091.1025</v>
      </c>
      <c r="H148" s="22">
        <f t="shared" ref="H148:H153" si="50">ROUND(G148*(1+$X$13),2)</f>
        <v>1383.63</v>
      </c>
      <c r="I148" s="147">
        <f>ROUND(H148*F148,2)</f>
        <v>2767.26</v>
      </c>
      <c r="J148" s="148"/>
      <c r="K148" s="148"/>
      <c r="L148" s="148"/>
      <c r="M148" s="148">
        <v>1215.5</v>
      </c>
      <c r="N148" s="148">
        <v>1541.38</v>
      </c>
      <c r="O148" s="148">
        <v>3082.76</v>
      </c>
      <c r="P148" s="494"/>
      <c r="Q148" s="147">
        <f>ROUND(P148*N148,2)</f>
        <v>0</v>
      </c>
      <c r="R148" s="148"/>
      <c r="S148" s="148">
        <f>ROUND(R148*N148,2)</f>
        <v>0</v>
      </c>
      <c r="T148" s="148">
        <f t="shared" si="26"/>
        <v>2</v>
      </c>
      <c r="U148" s="148">
        <f t="shared" si="30"/>
        <v>3082.76</v>
      </c>
      <c r="V148" s="379"/>
      <c r="W148" s="379">
        <f>1.9*2+1.6*5+2.2*3</f>
        <v>18.400000000000002</v>
      </c>
      <c r="X148" s="57">
        <f>'COMPOSIÇÃO DE CUSTOS'!G2370</f>
        <v>1091.0899999999999</v>
      </c>
      <c r="Y148" s="334">
        <v>1283.6500000000001</v>
      </c>
      <c r="Z148" s="58">
        <f t="shared" si="33"/>
        <v>-192.54750000000013</v>
      </c>
      <c r="AA148" s="58">
        <f t="shared" si="34"/>
        <v>2182.2049999999999</v>
      </c>
      <c r="AB148" s="58"/>
      <c r="AC148" s="58">
        <f t="shared" si="35"/>
        <v>2767.26</v>
      </c>
      <c r="AD148" s="58" t="e">
        <f>IF(B148&lt;&gt;0,VLOOKUP(B148,#REF!,2,FALSE),"")</f>
        <v>#REF!</v>
      </c>
      <c r="AE148" s="38">
        <v>1</v>
      </c>
      <c r="AF148" s="55">
        <f t="shared" si="49"/>
        <v>-1</v>
      </c>
    </row>
    <row r="149" spans="1:32" s="55" customFormat="1" ht="76.5" customHeight="1">
      <c r="A149" s="21" t="s">
        <v>772</v>
      </c>
      <c r="B149" s="20" t="s">
        <v>2700</v>
      </c>
      <c r="C149" s="19" t="s">
        <v>2701</v>
      </c>
      <c r="D149" s="21" t="s">
        <v>1914</v>
      </c>
      <c r="E149" s="21" t="s">
        <v>17</v>
      </c>
      <c r="F149" s="22">
        <v>1</v>
      </c>
      <c r="G149" s="22">
        <f t="shared" si="32"/>
        <v>708.19449999999995</v>
      </c>
      <c r="H149" s="22">
        <f t="shared" si="50"/>
        <v>898.06</v>
      </c>
      <c r="I149" s="147">
        <f>ROUND(H149*F149,2)</f>
        <v>898.06</v>
      </c>
      <c r="J149" s="148"/>
      <c r="K149" s="148"/>
      <c r="L149" s="148"/>
      <c r="M149" s="148">
        <v>788.93</v>
      </c>
      <c r="N149" s="148">
        <v>1000.44</v>
      </c>
      <c r="O149" s="148">
        <v>1000.44</v>
      </c>
      <c r="P149" s="494"/>
      <c r="Q149" s="147">
        <f>ROUND(P149*N149,2)</f>
        <v>0</v>
      </c>
      <c r="R149" s="148"/>
      <c r="S149" s="148">
        <f>ROUND(R149*N149,2)</f>
        <v>0</v>
      </c>
      <c r="T149" s="148">
        <f t="shared" si="26"/>
        <v>1</v>
      </c>
      <c r="U149" s="148">
        <f t="shared" ref="U149:U214" si="51">L149+Q149-S149+O149</f>
        <v>1000.44</v>
      </c>
      <c r="V149" s="379"/>
      <c r="W149" s="379"/>
      <c r="X149" s="57">
        <f>'COMPOSIÇÃO DE CUSTOS'!G2381</f>
        <v>708.18</v>
      </c>
      <c r="Y149" s="334">
        <v>833.17</v>
      </c>
      <c r="Z149" s="58">
        <f t="shared" si="33"/>
        <v>-124.97550000000001</v>
      </c>
      <c r="AA149" s="58">
        <f t="shared" si="34"/>
        <v>708.19449999999995</v>
      </c>
      <c r="AB149" s="58"/>
      <c r="AC149" s="58">
        <f t="shared" si="35"/>
        <v>898.06</v>
      </c>
      <c r="AD149" s="58" t="e">
        <f>IF(B149&lt;&gt;0,VLOOKUP(B149,#REF!,2,FALSE),"")</f>
        <v>#REF!</v>
      </c>
      <c r="AE149" s="55">
        <v>5</v>
      </c>
      <c r="AF149" s="55">
        <f t="shared" si="49"/>
        <v>4</v>
      </c>
    </row>
    <row r="150" spans="1:32" s="55" customFormat="1" ht="78.75" customHeight="1">
      <c r="A150" s="21" t="s">
        <v>773</v>
      </c>
      <c r="B150" s="20" t="s">
        <v>2702</v>
      </c>
      <c r="C150" s="19" t="s">
        <v>2703</v>
      </c>
      <c r="D150" s="21" t="s">
        <v>1914</v>
      </c>
      <c r="E150" s="21" t="s">
        <v>17</v>
      </c>
      <c r="F150" s="22">
        <v>5</v>
      </c>
      <c r="G150" s="22">
        <f t="shared" si="32"/>
        <v>876.79200000000003</v>
      </c>
      <c r="H150" s="22">
        <f t="shared" si="50"/>
        <v>1111.8599999999999</v>
      </c>
      <c r="I150" s="147">
        <f>ROUND(H150*F150,2)</f>
        <v>5559.3</v>
      </c>
      <c r="J150" s="148"/>
      <c r="K150" s="148"/>
      <c r="L150" s="148"/>
      <c r="M150" s="148">
        <v>976.75</v>
      </c>
      <c r="N150" s="148">
        <v>1238.6199999999999</v>
      </c>
      <c r="O150" s="148">
        <v>6193.1</v>
      </c>
      <c r="P150" s="494"/>
      <c r="Q150" s="147">
        <f>ROUND(P150*N150,2)</f>
        <v>0</v>
      </c>
      <c r="R150" s="148"/>
      <c r="S150" s="148">
        <f>ROUND(R150*N150,2)</f>
        <v>0</v>
      </c>
      <c r="T150" s="148">
        <f t="shared" ref="T150:T216" si="52">IF(F150&gt;0,F150+P150-R150," ")</f>
        <v>5</v>
      </c>
      <c r="U150" s="148">
        <f t="shared" si="51"/>
        <v>6193.1</v>
      </c>
      <c r="V150" s="379"/>
      <c r="W150" s="379"/>
      <c r="X150" s="57">
        <f>'COMPOSIÇÃO DE CUSTOS'!G2391</f>
        <v>876.79</v>
      </c>
      <c r="Y150" s="334">
        <v>1031.52</v>
      </c>
      <c r="Z150" s="58">
        <f t="shared" si="33"/>
        <v>-154.72799999999995</v>
      </c>
      <c r="AA150" s="58">
        <f t="shared" si="34"/>
        <v>4383.96</v>
      </c>
      <c r="AB150" s="58"/>
      <c r="AC150" s="58">
        <f t="shared" si="35"/>
        <v>5559.2999999999993</v>
      </c>
      <c r="AD150" s="58" t="e">
        <f>IF(B150&lt;&gt;0,VLOOKUP(B150,#REF!,2,FALSE),"")</f>
        <v>#REF!</v>
      </c>
      <c r="AE150" s="55">
        <v>3</v>
      </c>
      <c r="AF150" s="55">
        <f t="shared" si="49"/>
        <v>-2</v>
      </c>
    </row>
    <row r="151" spans="1:32" ht="75">
      <c r="A151" s="21" t="s">
        <v>774</v>
      </c>
      <c r="B151" s="20" t="s">
        <v>2704</v>
      </c>
      <c r="C151" s="19" t="s">
        <v>2705</v>
      </c>
      <c r="D151" s="21" t="s">
        <v>1914</v>
      </c>
      <c r="E151" s="21" t="s">
        <v>17</v>
      </c>
      <c r="F151" s="22">
        <v>3</v>
      </c>
      <c r="G151" s="22">
        <f t="shared" si="32"/>
        <v>1818.4475</v>
      </c>
      <c r="H151" s="22">
        <f t="shared" si="50"/>
        <v>2305.9699999999998</v>
      </c>
      <c r="I151" s="147">
        <f>ROUND(H151*F151,2)</f>
        <v>6917.91</v>
      </c>
      <c r="J151" s="148"/>
      <c r="K151" s="148"/>
      <c r="L151" s="148"/>
      <c r="M151" s="148">
        <v>2025.77</v>
      </c>
      <c r="N151" s="148">
        <v>2568.88</v>
      </c>
      <c r="O151" s="148">
        <v>7706.64</v>
      </c>
      <c r="P151" s="494"/>
      <c r="Q151" s="147">
        <f>ROUND(P151*N151,2)</f>
        <v>0</v>
      </c>
      <c r="R151" s="148"/>
      <c r="S151" s="148">
        <f>ROUND(R151*N151,2)</f>
        <v>0</v>
      </c>
      <c r="T151" s="148">
        <f t="shared" si="52"/>
        <v>3</v>
      </c>
      <c r="U151" s="148">
        <f t="shared" si="51"/>
        <v>7706.64</v>
      </c>
      <c r="V151" s="379"/>
      <c r="W151" s="379"/>
      <c r="X151" s="33">
        <f>'COMPOSIÇÃO DE CUSTOS'!G2402</f>
        <v>1818.44</v>
      </c>
      <c r="Y151" s="337">
        <v>2139.35</v>
      </c>
      <c r="Z151" s="30">
        <f t="shared" si="33"/>
        <v>-320.90249999999992</v>
      </c>
      <c r="AA151" s="30">
        <f t="shared" si="34"/>
        <v>5455.3424999999997</v>
      </c>
      <c r="AB151" s="30"/>
      <c r="AC151" s="30">
        <f t="shared" si="35"/>
        <v>6917.91</v>
      </c>
      <c r="AD151" s="30" t="e">
        <f>IF(B151&lt;&gt;0,VLOOKUP(B151,#REF!,2,FALSE),"")</f>
        <v>#REF!</v>
      </c>
      <c r="AF151" s="2">
        <f t="shared" si="49"/>
        <v>-3</v>
      </c>
    </row>
    <row r="152" spans="1:32" s="38" customFormat="1" ht="60">
      <c r="A152" s="447" t="s">
        <v>3778</v>
      </c>
      <c r="B152" s="448">
        <v>91338</v>
      </c>
      <c r="C152" s="449" t="s">
        <v>3806</v>
      </c>
      <c r="D152" s="447" t="s">
        <v>12</v>
      </c>
      <c r="E152" s="447" t="s">
        <v>26</v>
      </c>
      <c r="F152" s="450"/>
      <c r="G152" s="450">
        <f>(W152-(W152*$Z$14))*'PLANILHA ORÇA - CORREGEDORIA'!$S$16</f>
        <v>624.64621321345794</v>
      </c>
      <c r="H152" s="450">
        <f t="shared" si="50"/>
        <v>792.11</v>
      </c>
      <c r="I152" s="451"/>
      <c r="J152" s="452"/>
      <c r="K152" s="452"/>
      <c r="L152" s="452"/>
      <c r="M152" s="452"/>
      <c r="N152" s="452"/>
      <c r="O152" s="452"/>
      <c r="P152" s="493">
        <f>14*0.8*1.6</f>
        <v>17.920000000000002</v>
      </c>
      <c r="Q152" s="451">
        <f>ROUND(P152*H152,2)</f>
        <v>14194.61</v>
      </c>
      <c r="R152" s="452"/>
      <c r="S152" s="452"/>
      <c r="T152" s="452">
        <f>P152</f>
        <v>17.920000000000002</v>
      </c>
      <c r="U152" s="452">
        <f t="shared" si="51"/>
        <v>14194.61</v>
      </c>
      <c r="V152" s="478"/>
      <c r="W152" s="453">
        <v>659.67</v>
      </c>
      <c r="X152" s="42"/>
      <c r="Y152" s="336"/>
      <c r="Z152" s="39"/>
      <c r="AA152" s="39"/>
      <c r="AB152" s="39"/>
      <c r="AC152" s="39"/>
      <c r="AD152" s="39"/>
    </row>
    <row r="153" spans="1:32" s="38" customFormat="1" ht="30">
      <c r="A153" s="447" t="s">
        <v>4117</v>
      </c>
      <c r="B153" s="530">
        <v>90831</v>
      </c>
      <c r="C153" s="456" t="s">
        <v>3787</v>
      </c>
      <c r="D153" s="447" t="s">
        <v>12</v>
      </c>
      <c r="E153" s="447" t="s">
        <v>17</v>
      </c>
      <c r="F153" s="450"/>
      <c r="G153" s="450">
        <f>(W153-(W153*$Z$14))*'PLANILHA ORÇA - CORREGEDORIA'!$S$16</f>
        <v>88.554752921494966</v>
      </c>
      <c r="H153" s="450">
        <f t="shared" si="50"/>
        <v>112.3</v>
      </c>
      <c r="I153" s="451"/>
      <c r="J153" s="452"/>
      <c r="K153" s="452"/>
      <c r="L153" s="452"/>
      <c r="M153" s="452"/>
      <c r="N153" s="452"/>
      <c r="O153" s="452"/>
      <c r="P153" s="493">
        <v>14</v>
      </c>
      <c r="Q153" s="451">
        <f>ROUND(P153*H153,2)</f>
        <v>1572.2</v>
      </c>
      <c r="R153" s="452"/>
      <c r="S153" s="452"/>
      <c r="T153" s="452">
        <f>P153</f>
        <v>14</v>
      </c>
      <c r="U153" s="452">
        <f t="shared" ref="U153" si="53">L153+Q153-S153+O153</f>
        <v>1572.2</v>
      </c>
      <c r="V153" s="478"/>
      <c r="W153" s="453">
        <v>93.52</v>
      </c>
      <c r="X153" s="42"/>
      <c r="Y153" s="336"/>
      <c r="Z153" s="39"/>
      <c r="AA153" s="39"/>
      <c r="AB153" s="39"/>
      <c r="AC153" s="39"/>
      <c r="AD153" s="39"/>
    </row>
    <row r="154" spans="1:32" s="55" customFormat="1">
      <c r="A154" s="69" t="s">
        <v>778</v>
      </c>
      <c r="B154" s="129"/>
      <c r="C154" s="229" t="s">
        <v>82</v>
      </c>
      <c r="D154" s="230"/>
      <c r="E154" s="230"/>
      <c r="F154" s="230"/>
      <c r="G154" s="22"/>
      <c r="H154" s="230"/>
      <c r="I154" s="445"/>
      <c r="J154" s="440"/>
      <c r="K154" s="440"/>
      <c r="L154" s="440"/>
      <c r="M154" s="440"/>
      <c r="N154" s="440"/>
      <c r="O154" s="440"/>
      <c r="P154" s="492"/>
      <c r="Q154" s="445"/>
      <c r="R154" s="440"/>
      <c r="S154" s="440"/>
      <c r="T154" s="148" t="str">
        <f t="shared" si="52"/>
        <v xml:space="preserve"> </v>
      </c>
      <c r="U154" s="148"/>
      <c r="V154" s="486"/>
      <c r="W154" s="330"/>
      <c r="X154" s="58" t="str">
        <f>IF(B154&lt;&gt;0,VLOOKUP(B154,#REF!,4,FALSE),"")</f>
        <v/>
      </c>
      <c r="Y154" s="334" t="s">
        <v>1891</v>
      </c>
      <c r="Z154" s="58"/>
      <c r="AA154" s="58">
        <f t="shared" si="34"/>
        <v>0</v>
      </c>
      <c r="AB154" s="58"/>
      <c r="AC154" s="58">
        <f t="shared" si="35"/>
        <v>0</v>
      </c>
      <c r="AD154" s="58" t="str">
        <f>IF(B154&lt;&gt;0,VLOOKUP(B154,#REF!,2,FALSE),"")</f>
        <v/>
      </c>
      <c r="AE154" s="55">
        <v>113.49</v>
      </c>
      <c r="AF154" s="55">
        <f t="shared" si="49"/>
        <v>113.49</v>
      </c>
    </row>
    <row r="155" spans="1:32" ht="45">
      <c r="A155" s="21" t="s">
        <v>779</v>
      </c>
      <c r="B155" s="20" t="s">
        <v>2706</v>
      </c>
      <c r="C155" s="19" t="s">
        <v>2707</v>
      </c>
      <c r="D155" s="21" t="s">
        <v>1914</v>
      </c>
      <c r="E155" s="21" t="s">
        <v>26</v>
      </c>
      <c r="F155" s="22">
        <v>111.98</v>
      </c>
      <c r="G155" s="22">
        <f t="shared" si="32"/>
        <v>550.76600000000008</v>
      </c>
      <c r="H155" s="22">
        <f>ROUND(G155*(1+$X$13),2)</f>
        <v>698.43</v>
      </c>
      <c r="I155" s="147">
        <f>ROUND(H155*F155,2)</f>
        <v>78210.19</v>
      </c>
      <c r="J155" s="148"/>
      <c r="K155" s="148"/>
      <c r="L155" s="148"/>
      <c r="M155" s="148">
        <v>1444.8661499999998</v>
      </c>
      <c r="N155" s="148">
        <v>1832.23</v>
      </c>
      <c r="O155" s="148">
        <v>205173.12</v>
      </c>
      <c r="P155" s="494"/>
      <c r="Q155" s="147">
        <f>ROUND(P155*N155,2)</f>
        <v>0</v>
      </c>
      <c r="R155" s="148"/>
      <c r="S155" s="148">
        <f>ROUND(R155*N155,2)</f>
        <v>0</v>
      </c>
      <c r="T155" s="148">
        <f t="shared" si="52"/>
        <v>111.98</v>
      </c>
      <c r="U155" s="148">
        <f t="shared" si="51"/>
        <v>205173.12</v>
      </c>
      <c r="V155" s="376"/>
      <c r="W155" s="379"/>
      <c r="X155" s="33">
        <f>'COMPOSIÇÃO DE CUSTOS'!G2414</f>
        <v>550.77</v>
      </c>
      <c r="Y155" s="337">
        <v>647.96</v>
      </c>
      <c r="Z155" s="30">
        <f t="shared" si="33"/>
        <v>-97.19399999999996</v>
      </c>
      <c r="AA155" s="30">
        <f t="shared" si="34"/>
        <v>61674.77668000001</v>
      </c>
      <c r="AB155" s="30"/>
      <c r="AC155" s="30">
        <f t="shared" si="35"/>
        <v>78210.191399999996</v>
      </c>
      <c r="AD155" s="30" t="e">
        <f>IF(B155&lt;&gt;0,VLOOKUP(B155,#REF!,2,FALSE),"")</f>
        <v>#REF!</v>
      </c>
      <c r="AE155" s="2">
        <v>2.2000000000000002</v>
      </c>
      <c r="AF155" s="2">
        <f t="shared" si="49"/>
        <v>-109.78</v>
      </c>
    </row>
    <row r="156" spans="1:32" s="55" customFormat="1" ht="30">
      <c r="A156" s="21" t="s">
        <v>2708</v>
      </c>
      <c r="B156" s="20" t="s">
        <v>2709</v>
      </c>
      <c r="C156" s="19" t="s">
        <v>2710</v>
      </c>
      <c r="D156" s="21" t="s">
        <v>1914</v>
      </c>
      <c r="E156" s="21" t="s">
        <v>26</v>
      </c>
      <c r="F156" s="22">
        <v>2.2000000000000002</v>
      </c>
      <c r="G156" s="22">
        <f t="shared" si="32"/>
        <v>708.50900000000001</v>
      </c>
      <c r="H156" s="22">
        <f>ROUND(G156*(1+$X$13),2)</f>
        <v>898.46</v>
      </c>
      <c r="I156" s="147">
        <f>ROUND(H156*F156,2)</f>
        <v>1976.61</v>
      </c>
      <c r="J156" s="148"/>
      <c r="K156" s="148"/>
      <c r="L156" s="148"/>
      <c r="M156" s="148">
        <v>789.28</v>
      </c>
      <c r="N156" s="148">
        <v>1000.89</v>
      </c>
      <c r="O156" s="148">
        <v>2201.96</v>
      </c>
      <c r="P156" s="494"/>
      <c r="Q156" s="147">
        <f>ROUND(P156*N156,2)</f>
        <v>0</v>
      </c>
      <c r="R156" s="148"/>
      <c r="S156" s="148">
        <f>ROUND(R156*N156,2)</f>
        <v>0</v>
      </c>
      <c r="T156" s="148">
        <f t="shared" si="52"/>
        <v>2.2000000000000002</v>
      </c>
      <c r="U156" s="148">
        <f t="shared" si="51"/>
        <v>2201.96</v>
      </c>
      <c r="V156" s="379"/>
      <c r="W156" s="379"/>
      <c r="X156" s="57">
        <f>'COMPOSIÇÃO DE CUSTOS'!G2427</f>
        <v>708.49</v>
      </c>
      <c r="Y156" s="334">
        <v>833.54</v>
      </c>
      <c r="Z156" s="58">
        <f t="shared" si="33"/>
        <v>-125.03099999999995</v>
      </c>
      <c r="AA156" s="58">
        <f t="shared" si="34"/>
        <v>1558.7198000000001</v>
      </c>
      <c r="AB156" s="58"/>
      <c r="AC156" s="58">
        <f t="shared" si="35"/>
        <v>1976.6120000000003</v>
      </c>
      <c r="AD156" s="58" t="e">
        <f>IF(B156&lt;&gt;0,VLOOKUP(B156,#REF!,2,FALSE),"")</f>
        <v>#REF!</v>
      </c>
      <c r="AF156" s="55">
        <f t="shared" si="49"/>
        <v>-2.2000000000000002</v>
      </c>
    </row>
    <row r="157" spans="1:32" s="55" customFormat="1">
      <c r="A157" s="21"/>
      <c r="B157" s="20"/>
      <c r="C157" s="19"/>
      <c r="D157" s="21"/>
      <c r="E157" s="21"/>
      <c r="F157" s="22"/>
      <c r="G157" s="22"/>
      <c r="H157" s="22"/>
      <c r="I157" s="147"/>
      <c r="J157" s="148"/>
      <c r="K157" s="148"/>
      <c r="L157" s="148"/>
      <c r="M157" s="148"/>
      <c r="N157" s="148"/>
      <c r="O157" s="148"/>
      <c r="P157" s="494"/>
      <c r="Q157" s="147"/>
      <c r="R157" s="148"/>
      <c r="S157" s="148"/>
      <c r="T157" s="148" t="str">
        <f t="shared" si="52"/>
        <v xml:space="preserve"> </v>
      </c>
      <c r="U157" s="148"/>
      <c r="V157" s="379"/>
      <c r="W157" s="379"/>
      <c r="X157" s="58" t="str">
        <f>IF(B157&lt;&gt;0,VLOOKUP(B157,#REF!,4,FALSE),"")</f>
        <v/>
      </c>
      <c r="Y157" s="334" t="s">
        <v>1891</v>
      </c>
      <c r="Z157" s="58"/>
      <c r="AA157" s="58">
        <f t="shared" si="34"/>
        <v>0</v>
      </c>
      <c r="AB157" s="58"/>
      <c r="AC157" s="58">
        <f t="shared" si="35"/>
        <v>0</v>
      </c>
      <c r="AD157" s="58" t="str">
        <f>IF(B157&lt;&gt;0,VLOOKUP(B157,#REF!,2,FALSE),"")</f>
        <v/>
      </c>
      <c r="AF157" s="55">
        <f t="shared" si="49"/>
        <v>0</v>
      </c>
    </row>
    <row r="158" spans="1:32" s="55" customFormat="1">
      <c r="A158" s="69" t="s">
        <v>780</v>
      </c>
      <c r="B158" s="129"/>
      <c r="C158" s="229" t="s">
        <v>84</v>
      </c>
      <c r="D158" s="230"/>
      <c r="E158" s="230"/>
      <c r="F158" s="230"/>
      <c r="G158" s="22"/>
      <c r="H158" s="230"/>
      <c r="I158" s="445">
        <f>ROUND(SUM(I159:I159),2)</f>
        <v>15317.5</v>
      </c>
      <c r="J158" s="440"/>
      <c r="K158" s="440"/>
      <c r="L158" s="440"/>
      <c r="M158" s="440"/>
      <c r="N158" s="440"/>
      <c r="O158" s="440">
        <v>37010.28</v>
      </c>
      <c r="P158" s="492"/>
      <c r="Q158" s="445">
        <f>ROUND(SUM(Q159:Q159),2)</f>
        <v>0</v>
      </c>
      <c r="R158" s="440"/>
      <c r="S158" s="440">
        <f>ROUND(SUM(S159:S159),2)</f>
        <v>37010.28</v>
      </c>
      <c r="T158" s="148" t="str">
        <f t="shared" si="52"/>
        <v xml:space="preserve"> </v>
      </c>
      <c r="U158" s="440">
        <f t="shared" si="51"/>
        <v>0</v>
      </c>
      <c r="V158" s="330"/>
      <c r="W158" s="330"/>
      <c r="X158" s="58" t="str">
        <f>IF(B158&lt;&gt;0,VLOOKUP(B158,#REF!,4,FALSE),"")</f>
        <v/>
      </c>
      <c r="Y158" s="334" t="s">
        <v>1891</v>
      </c>
      <c r="Z158" s="58"/>
      <c r="AA158" s="58">
        <f t="shared" si="34"/>
        <v>0</v>
      </c>
      <c r="AB158" s="58"/>
      <c r="AC158" s="58">
        <f t="shared" si="35"/>
        <v>0</v>
      </c>
      <c r="AD158" s="58" t="str">
        <f>IF(B158&lt;&gt;0,VLOOKUP(B158,#REF!,2,FALSE),"")</f>
        <v/>
      </c>
      <c r="AE158" s="55">
        <v>17.038</v>
      </c>
      <c r="AF158" s="55">
        <f t="shared" si="49"/>
        <v>17.038</v>
      </c>
    </row>
    <row r="159" spans="1:32" s="38" customFormat="1" ht="39.75" customHeight="1">
      <c r="A159" s="447" t="s">
        <v>781</v>
      </c>
      <c r="B159" s="448" t="s">
        <v>2636</v>
      </c>
      <c r="C159" s="449" t="s">
        <v>2711</v>
      </c>
      <c r="D159" s="447" t="s">
        <v>1914</v>
      </c>
      <c r="E159" s="447" t="s">
        <v>26</v>
      </c>
      <c r="F159" s="450">
        <v>17.038</v>
      </c>
      <c r="G159" s="450">
        <f t="shared" ref="G159:G225" si="54">Y159-(Y159*$Z$14)</f>
        <v>708.95100000000002</v>
      </c>
      <c r="H159" s="450">
        <f>ROUND(G159*(1+$X$13),2)</f>
        <v>899.02</v>
      </c>
      <c r="I159" s="451">
        <f>ROUND(H159*F159,2)</f>
        <v>15317.5</v>
      </c>
      <c r="J159" s="452"/>
      <c r="K159" s="452"/>
      <c r="L159" s="452"/>
      <c r="M159" s="452">
        <v>1712.97</v>
      </c>
      <c r="N159" s="452">
        <v>2172.2199999999998</v>
      </c>
      <c r="O159" s="452">
        <v>37010.28</v>
      </c>
      <c r="P159" s="493"/>
      <c r="Q159" s="451">
        <f>ROUND(P159*N159,2)</f>
        <v>0</v>
      </c>
      <c r="R159" s="452">
        <f>F159</f>
        <v>17.038</v>
      </c>
      <c r="S159" s="452">
        <f>ROUND(R159*N159,2)</f>
        <v>37010.28</v>
      </c>
      <c r="T159" s="452">
        <f t="shared" si="52"/>
        <v>0</v>
      </c>
      <c r="U159" s="452">
        <f t="shared" si="51"/>
        <v>0</v>
      </c>
      <c r="V159" s="453"/>
      <c r="W159" s="453"/>
      <c r="X159" s="42">
        <f>'COMPOSIÇÃO DE CUSTOS'!G313</f>
        <v>708.95</v>
      </c>
      <c r="Y159" s="336">
        <v>834.06</v>
      </c>
      <c r="Z159" s="39">
        <f t="shared" ref="Z159:Z225" si="55">G159-Y159</f>
        <v>-125.10899999999992</v>
      </c>
      <c r="AA159" s="39">
        <f t="shared" ref="AA159:AA225" si="56">F159*G159</f>
        <v>12079.107138000001</v>
      </c>
      <c r="AB159" s="39"/>
      <c r="AC159" s="39">
        <f t="shared" ref="AC159:AC225" si="57">F159*H159</f>
        <v>15317.502759999999</v>
      </c>
      <c r="AD159" s="39" t="e">
        <f>IF(B159&lt;&gt;0,VLOOKUP(B159,#REF!,2,FALSE),"")</f>
        <v>#REF!</v>
      </c>
      <c r="AF159" s="38">
        <f t="shared" si="49"/>
        <v>-17.038</v>
      </c>
    </row>
    <row r="160" spans="1:32" s="55" customFormat="1">
      <c r="A160" s="21"/>
      <c r="B160" s="20"/>
      <c r="C160" s="19"/>
      <c r="D160" s="21"/>
      <c r="E160" s="21"/>
      <c r="F160" s="22"/>
      <c r="G160" s="22"/>
      <c r="H160" s="22"/>
      <c r="I160" s="147"/>
      <c r="J160" s="148"/>
      <c r="K160" s="148"/>
      <c r="L160" s="148"/>
      <c r="M160" s="148"/>
      <c r="N160" s="148"/>
      <c r="O160" s="148"/>
      <c r="P160" s="494"/>
      <c r="Q160" s="147"/>
      <c r="R160" s="148"/>
      <c r="S160" s="148"/>
      <c r="T160" s="148" t="str">
        <f t="shared" si="52"/>
        <v xml:space="preserve"> </v>
      </c>
      <c r="U160" s="148"/>
      <c r="V160" s="379"/>
      <c r="W160" s="379"/>
      <c r="X160" s="57" t="str">
        <f>IF(B160&lt;&gt;0,VLOOKUP(B160,#REF!,4,FALSE),"")</f>
        <v/>
      </c>
      <c r="Y160" s="334" t="s">
        <v>1891</v>
      </c>
      <c r="Z160" s="58"/>
      <c r="AA160" s="58">
        <f t="shared" si="56"/>
        <v>0</v>
      </c>
      <c r="AB160" s="58"/>
      <c r="AC160" s="58">
        <f t="shared" si="57"/>
        <v>0</v>
      </c>
      <c r="AD160" s="58" t="str">
        <f>IF(B160&lt;&gt;0,VLOOKUP(B160,#REF!,2,FALSE),"")</f>
        <v/>
      </c>
      <c r="AF160" s="55">
        <f t="shared" si="49"/>
        <v>0</v>
      </c>
    </row>
    <row r="161" spans="1:32" s="55" customFormat="1">
      <c r="A161" s="69" t="s">
        <v>783</v>
      </c>
      <c r="B161" s="129"/>
      <c r="C161" s="229" t="s">
        <v>90</v>
      </c>
      <c r="D161" s="230"/>
      <c r="E161" s="230"/>
      <c r="F161" s="230"/>
      <c r="G161" s="22"/>
      <c r="H161" s="230"/>
      <c r="I161" s="445">
        <f>SUM(I162:I162)</f>
        <v>28593.82</v>
      </c>
      <c r="J161" s="440"/>
      <c r="K161" s="440"/>
      <c r="L161" s="440"/>
      <c r="M161" s="440"/>
      <c r="N161" s="440"/>
      <c r="O161" s="440">
        <v>33491.370000000003</v>
      </c>
      <c r="P161" s="492"/>
      <c r="Q161" s="445">
        <f>SUM(Q162:Q162)</f>
        <v>0</v>
      </c>
      <c r="R161" s="440"/>
      <c r="S161" s="440">
        <f>SUM(S162:S162)</f>
        <v>0</v>
      </c>
      <c r="T161" s="148" t="str">
        <f t="shared" si="52"/>
        <v xml:space="preserve"> </v>
      </c>
      <c r="U161" s="440">
        <f t="shared" si="51"/>
        <v>33491.370000000003</v>
      </c>
      <c r="V161" s="330"/>
      <c r="W161" s="330"/>
      <c r="X161" s="57" t="str">
        <f>IF(B161&lt;&gt;0,VLOOKUP(B161,#REF!,4,FALSE),"")</f>
        <v/>
      </c>
      <c r="Y161" s="334" t="s">
        <v>1891</v>
      </c>
      <c r="Z161" s="58"/>
      <c r="AA161" s="58">
        <f t="shared" si="56"/>
        <v>0</v>
      </c>
      <c r="AB161" s="58"/>
      <c r="AC161" s="58">
        <f t="shared" si="57"/>
        <v>0</v>
      </c>
      <c r="AD161" s="58" t="str">
        <f>IF(B161&lt;&gt;0,VLOOKUP(B161,#REF!,2,FALSE),"")</f>
        <v/>
      </c>
      <c r="AE161" s="55">
        <v>42.315000000000005</v>
      </c>
      <c r="AF161" s="55">
        <f t="shared" si="49"/>
        <v>42.315000000000005</v>
      </c>
    </row>
    <row r="162" spans="1:32" ht="46.5" customHeight="1">
      <c r="A162" s="21" t="s">
        <v>784</v>
      </c>
      <c r="B162" s="20" t="s">
        <v>2675</v>
      </c>
      <c r="C162" s="19" t="s">
        <v>91</v>
      </c>
      <c r="D162" s="21" t="s">
        <v>1914</v>
      </c>
      <c r="E162" s="21" t="s">
        <v>26</v>
      </c>
      <c r="F162" s="22">
        <v>44.39</v>
      </c>
      <c r="G162" s="22">
        <f t="shared" si="54"/>
        <v>507.96850000000001</v>
      </c>
      <c r="H162" s="22">
        <f>ROUND(G162*(1+$X$13),2)</f>
        <v>644.15</v>
      </c>
      <c r="I162" s="147">
        <f>ROUND(H162*F162,2)</f>
        <v>28593.82</v>
      </c>
      <c r="J162" s="148"/>
      <c r="K162" s="148"/>
      <c r="L162" s="148"/>
      <c r="M162" s="148">
        <v>594.97</v>
      </c>
      <c r="N162" s="148">
        <v>754.48</v>
      </c>
      <c r="O162" s="148">
        <v>33491.370000000003</v>
      </c>
      <c r="P162" s="494"/>
      <c r="Q162" s="147">
        <f>ROUND(P162*N162,2)</f>
        <v>0</v>
      </c>
      <c r="R162" s="148"/>
      <c r="S162" s="148">
        <f>ROUND(R162*N162,2)</f>
        <v>0</v>
      </c>
      <c r="T162" s="148">
        <f t="shared" si="52"/>
        <v>44.39</v>
      </c>
      <c r="U162" s="148">
        <f t="shared" si="51"/>
        <v>33491.370000000003</v>
      </c>
      <c r="V162" s="379"/>
      <c r="W162" s="379"/>
      <c r="X162" s="57">
        <f>'COMPOSIÇÃO DE CUSTOS'!G2333</f>
        <v>507.98</v>
      </c>
      <c r="Y162" s="334">
        <v>597.61</v>
      </c>
      <c r="Z162" s="58">
        <f t="shared" si="55"/>
        <v>-89.641500000000008</v>
      </c>
      <c r="AA162" s="58">
        <f t="shared" si="56"/>
        <v>22548.721715</v>
      </c>
      <c r="AB162" s="58"/>
      <c r="AC162" s="58">
        <f t="shared" si="57"/>
        <v>28593.818499999998</v>
      </c>
      <c r="AD162" s="58" t="e">
        <f>IF(B162&lt;&gt;0,VLOOKUP(B162,#REF!,2,FALSE),"")</f>
        <v>#REF!</v>
      </c>
      <c r="AF162" s="55">
        <f t="shared" si="49"/>
        <v>-44.39</v>
      </c>
    </row>
    <row r="163" spans="1:32" s="38" customFormat="1" ht="19.5" customHeight="1">
      <c r="A163" s="21"/>
      <c r="B163" s="20"/>
      <c r="C163" s="19"/>
      <c r="D163" s="21"/>
      <c r="E163" s="21"/>
      <c r="F163" s="22"/>
      <c r="G163" s="22"/>
      <c r="H163" s="22"/>
      <c r="I163" s="147"/>
      <c r="J163" s="148"/>
      <c r="K163" s="148"/>
      <c r="L163" s="148"/>
      <c r="M163" s="148"/>
      <c r="N163" s="148"/>
      <c r="O163" s="148"/>
      <c r="P163" s="494"/>
      <c r="Q163" s="147"/>
      <c r="R163" s="148"/>
      <c r="S163" s="148"/>
      <c r="T163" s="148" t="str">
        <f t="shared" si="52"/>
        <v xml:space="preserve"> </v>
      </c>
      <c r="U163" s="148"/>
      <c r="V163" s="379"/>
      <c r="W163" s="379"/>
      <c r="X163" s="58" t="str">
        <f>IF(B163&lt;&gt;0,VLOOKUP(B163,#REF!,4,FALSE),"")</f>
        <v/>
      </c>
      <c r="Y163" s="334" t="s">
        <v>1891</v>
      </c>
      <c r="Z163" s="58"/>
      <c r="AA163" s="58"/>
      <c r="AB163" s="58"/>
      <c r="AC163" s="58">
        <f t="shared" si="57"/>
        <v>0</v>
      </c>
      <c r="AD163" s="58" t="str">
        <f>IF(B163&lt;&gt;0,VLOOKUP(B163,#REF!,2,FALSE),"")</f>
        <v/>
      </c>
      <c r="AF163" s="55">
        <f t="shared" si="49"/>
        <v>0</v>
      </c>
    </row>
    <row r="164" spans="1:32" s="55" customFormat="1" ht="20.25" customHeight="1">
      <c r="A164" s="69" t="s">
        <v>785</v>
      </c>
      <c r="B164" s="129"/>
      <c r="C164" s="229" t="s">
        <v>92</v>
      </c>
      <c r="D164" s="230"/>
      <c r="E164" s="230"/>
      <c r="F164" s="230"/>
      <c r="G164" s="22"/>
      <c r="H164" s="230"/>
      <c r="I164" s="445">
        <f>ROUND(SUM(I165:I170),2)</f>
        <v>164866.06</v>
      </c>
      <c r="J164" s="440"/>
      <c r="K164" s="440"/>
      <c r="L164" s="440"/>
      <c r="M164" s="440"/>
      <c r="N164" s="440"/>
      <c r="O164" s="440">
        <v>213458.9</v>
      </c>
      <c r="P164" s="492"/>
      <c r="Q164" s="445">
        <f>ROUND(SUM(Q165:Q170),2)</f>
        <v>0</v>
      </c>
      <c r="R164" s="440"/>
      <c r="S164" s="440">
        <f>ROUND(SUM(S165:S170),2)</f>
        <v>0</v>
      </c>
      <c r="T164" s="148" t="str">
        <f t="shared" si="52"/>
        <v xml:space="preserve"> </v>
      </c>
      <c r="U164" s="440">
        <f t="shared" si="51"/>
        <v>213458.9</v>
      </c>
      <c r="V164" s="330"/>
      <c r="W164" s="330"/>
      <c r="X164" s="58" t="str">
        <f>IF(B164&lt;&gt;0,VLOOKUP(B164,#REF!,4,FALSE),"")</f>
        <v/>
      </c>
      <c r="Y164" s="334" t="s">
        <v>1891</v>
      </c>
      <c r="Z164" s="58"/>
      <c r="AA164" s="58"/>
      <c r="AB164" s="58"/>
      <c r="AC164" s="58">
        <f t="shared" si="57"/>
        <v>0</v>
      </c>
      <c r="AD164" s="58" t="str">
        <f>IF(B164&lt;&gt;0,VLOOKUP(B164,#REF!,2,FALSE),"")</f>
        <v/>
      </c>
      <c r="AE164" s="55">
        <v>409.52</v>
      </c>
      <c r="AF164" s="55">
        <f t="shared" si="49"/>
        <v>409.52</v>
      </c>
    </row>
    <row r="165" spans="1:32" s="55" customFormat="1" ht="60" customHeight="1">
      <c r="A165" s="21" t="s">
        <v>786</v>
      </c>
      <c r="B165" s="20">
        <v>92580</v>
      </c>
      <c r="C165" s="19" t="s">
        <v>1565</v>
      </c>
      <c r="D165" s="21" t="s">
        <v>12</v>
      </c>
      <c r="E165" s="21" t="s">
        <v>26</v>
      </c>
      <c r="F165" s="22">
        <v>409.52</v>
      </c>
      <c r="G165" s="22">
        <f t="shared" si="54"/>
        <v>37.4255</v>
      </c>
      <c r="H165" s="22">
        <f t="shared" ref="H165:H170" si="58">ROUND(G165*(1+$X$13),2)</f>
        <v>47.46</v>
      </c>
      <c r="I165" s="147">
        <f t="shared" ref="I165:I170" si="59">ROUND(H165*F165,2)</f>
        <v>19435.82</v>
      </c>
      <c r="J165" s="148"/>
      <c r="K165" s="148"/>
      <c r="L165" s="148"/>
      <c r="M165" s="148">
        <v>47.35</v>
      </c>
      <c r="N165" s="148">
        <v>60.04</v>
      </c>
      <c r="O165" s="148">
        <v>24587.58</v>
      </c>
      <c r="P165" s="494"/>
      <c r="Q165" s="147">
        <f t="shared" ref="Q165:Q170" si="60">ROUND(P165*N165,2)</f>
        <v>0</v>
      </c>
      <c r="R165" s="148"/>
      <c r="S165" s="148">
        <f t="shared" ref="S165:S170" si="61">ROUND(R165*N165,2)</f>
        <v>0</v>
      </c>
      <c r="T165" s="148">
        <f t="shared" si="52"/>
        <v>409.52</v>
      </c>
      <c r="U165" s="148">
        <f t="shared" si="51"/>
        <v>24587.58</v>
      </c>
      <c r="V165" s="379"/>
      <c r="W165" s="379"/>
      <c r="X165" s="58" t="e">
        <f>IF(B165&lt;&gt;0,VLOOKUP(B165,#REF!,4,FALSE),"")</f>
        <v>#REF!</v>
      </c>
      <c r="Y165" s="334" t="s">
        <v>3209</v>
      </c>
      <c r="Z165" s="58">
        <f t="shared" si="55"/>
        <v>-6.6045000000000016</v>
      </c>
      <c r="AA165" s="58">
        <f t="shared" si="56"/>
        <v>15326.490759999999</v>
      </c>
      <c r="AB165" s="58"/>
      <c r="AC165" s="58">
        <f t="shared" si="57"/>
        <v>19435.819199999998</v>
      </c>
      <c r="AD165" s="58" t="e">
        <f>IF(B165&lt;&gt;0,VLOOKUP(B165,#REF!,2,FALSE),"")</f>
        <v>#REF!</v>
      </c>
      <c r="AE165" s="55">
        <v>409.52</v>
      </c>
      <c r="AF165" s="55">
        <f t="shared" si="49"/>
        <v>0</v>
      </c>
    </row>
    <row r="166" spans="1:32" s="55" customFormat="1" ht="63.75" customHeight="1">
      <c r="A166" s="21" t="s">
        <v>787</v>
      </c>
      <c r="B166" s="20">
        <v>94216</v>
      </c>
      <c r="C166" s="19" t="s">
        <v>1566</v>
      </c>
      <c r="D166" s="21" t="s">
        <v>12</v>
      </c>
      <c r="E166" s="21" t="s">
        <v>26</v>
      </c>
      <c r="F166" s="22">
        <v>409.52</v>
      </c>
      <c r="G166" s="22">
        <f t="shared" si="54"/>
        <v>185.30849999999998</v>
      </c>
      <c r="H166" s="22">
        <f t="shared" si="58"/>
        <v>234.99</v>
      </c>
      <c r="I166" s="147">
        <f t="shared" si="59"/>
        <v>96233.1</v>
      </c>
      <c r="J166" s="148"/>
      <c r="K166" s="148"/>
      <c r="L166" s="148"/>
      <c r="M166" s="148">
        <v>258.16000000000003</v>
      </c>
      <c r="N166" s="148">
        <v>327.37</v>
      </c>
      <c r="O166" s="148">
        <v>134064.56</v>
      </c>
      <c r="P166" s="494"/>
      <c r="Q166" s="147">
        <f t="shared" si="60"/>
        <v>0</v>
      </c>
      <c r="R166" s="148"/>
      <c r="S166" s="148">
        <f t="shared" si="61"/>
        <v>0</v>
      </c>
      <c r="T166" s="148">
        <f t="shared" si="52"/>
        <v>409.52</v>
      </c>
      <c r="U166" s="148">
        <f t="shared" si="51"/>
        <v>134064.56</v>
      </c>
      <c r="V166" s="379"/>
      <c r="W166" s="379"/>
      <c r="X166" s="58" t="e">
        <f>IF(B166&lt;&gt;0,VLOOKUP(B166,#REF!,4,FALSE),"")</f>
        <v>#REF!</v>
      </c>
      <c r="Y166" s="334" t="s">
        <v>3144</v>
      </c>
      <c r="Z166" s="58">
        <f t="shared" si="55"/>
        <v>-32.70150000000001</v>
      </c>
      <c r="AA166" s="58">
        <f t="shared" si="56"/>
        <v>75887.536919999984</v>
      </c>
      <c r="AB166" s="58"/>
      <c r="AC166" s="58">
        <f t="shared" si="57"/>
        <v>96233.104800000001</v>
      </c>
      <c r="AD166" s="58" t="e">
        <f>IF(B166&lt;&gt;0,VLOOKUP(B166,#REF!,2,FALSE),"")</f>
        <v>#REF!</v>
      </c>
      <c r="AE166" s="55">
        <v>194.5</v>
      </c>
      <c r="AF166" s="55">
        <f t="shared" ref="AF166:AF193" si="62">AE166-F166</f>
        <v>-215.01999999999998</v>
      </c>
    </row>
    <row r="167" spans="1:32" ht="60">
      <c r="A167" s="21" t="s">
        <v>788</v>
      </c>
      <c r="B167" s="20">
        <v>71623</v>
      </c>
      <c r="C167" s="19" t="s">
        <v>93</v>
      </c>
      <c r="D167" s="21" t="s">
        <v>1914</v>
      </c>
      <c r="E167" s="21" t="s">
        <v>52</v>
      </c>
      <c r="F167" s="22">
        <v>194.5</v>
      </c>
      <c r="G167" s="22">
        <f t="shared" si="54"/>
        <v>26.8855</v>
      </c>
      <c r="H167" s="22">
        <f t="shared" si="58"/>
        <v>34.090000000000003</v>
      </c>
      <c r="I167" s="147">
        <f t="shared" si="59"/>
        <v>6630.51</v>
      </c>
      <c r="J167" s="148"/>
      <c r="K167" s="148"/>
      <c r="L167" s="148"/>
      <c r="M167" s="148">
        <v>29.95</v>
      </c>
      <c r="N167" s="148">
        <v>37.979999999999997</v>
      </c>
      <c r="O167" s="148">
        <v>7387.11</v>
      </c>
      <c r="P167" s="494"/>
      <c r="Q167" s="147">
        <f t="shared" si="60"/>
        <v>0</v>
      </c>
      <c r="R167" s="148"/>
      <c r="S167" s="148">
        <f t="shared" si="61"/>
        <v>0</v>
      </c>
      <c r="T167" s="148">
        <f t="shared" si="52"/>
        <v>194.5</v>
      </c>
      <c r="U167" s="148">
        <f t="shared" si="51"/>
        <v>7387.11</v>
      </c>
      <c r="V167" s="379"/>
      <c r="W167" s="379"/>
      <c r="X167" s="57">
        <f>'COMPOSIÇÃO DE CUSTOS'!G367</f>
        <v>26.88</v>
      </c>
      <c r="Y167" s="334">
        <v>31.63</v>
      </c>
      <c r="Z167" s="58">
        <f t="shared" si="55"/>
        <v>-4.7444999999999986</v>
      </c>
      <c r="AA167" s="58">
        <f t="shared" si="56"/>
        <v>5229.2297500000004</v>
      </c>
      <c r="AB167" s="58"/>
      <c r="AC167" s="58">
        <f t="shared" si="57"/>
        <v>6630.505000000001</v>
      </c>
      <c r="AD167" s="58" t="e">
        <f>IF(B167&lt;&gt;0,VLOOKUP(B167,#REF!,2,FALSE),"")</f>
        <v>#REF!</v>
      </c>
      <c r="AE167" s="2">
        <v>80</v>
      </c>
      <c r="AF167" s="55">
        <f t="shared" si="62"/>
        <v>-114.5</v>
      </c>
    </row>
    <row r="168" spans="1:32" s="55" customFormat="1" ht="30">
      <c r="A168" s="21" t="s">
        <v>789</v>
      </c>
      <c r="B168" s="20" t="s">
        <v>2072</v>
      </c>
      <c r="C168" s="19" t="s">
        <v>94</v>
      </c>
      <c r="D168" s="21" t="s">
        <v>1914</v>
      </c>
      <c r="E168" s="21" t="s">
        <v>52</v>
      </c>
      <c r="F168" s="22">
        <v>80</v>
      </c>
      <c r="G168" s="22">
        <f t="shared" si="54"/>
        <v>29.384499999999999</v>
      </c>
      <c r="H168" s="22">
        <f t="shared" si="58"/>
        <v>37.26</v>
      </c>
      <c r="I168" s="147">
        <f t="shared" si="59"/>
        <v>2980.8</v>
      </c>
      <c r="J168" s="148"/>
      <c r="K168" s="148"/>
      <c r="L168" s="148"/>
      <c r="M168" s="148">
        <v>32.729999999999997</v>
      </c>
      <c r="N168" s="148">
        <v>41.5</v>
      </c>
      <c r="O168" s="148">
        <v>3320</v>
      </c>
      <c r="P168" s="494"/>
      <c r="Q168" s="147">
        <f t="shared" si="60"/>
        <v>0</v>
      </c>
      <c r="R168" s="148"/>
      <c r="S168" s="148">
        <f t="shared" si="61"/>
        <v>0</v>
      </c>
      <c r="T168" s="148">
        <f t="shared" si="52"/>
        <v>80</v>
      </c>
      <c r="U168" s="148">
        <f t="shared" si="51"/>
        <v>3320</v>
      </c>
      <c r="V168" s="379"/>
      <c r="W168" s="379"/>
      <c r="X168" s="57">
        <f>'COMPOSIÇÃO DE CUSTOS'!G376</f>
        <v>29.37</v>
      </c>
      <c r="Y168" s="334">
        <v>34.57</v>
      </c>
      <c r="Z168" s="58">
        <f t="shared" si="55"/>
        <v>-5.1855000000000011</v>
      </c>
      <c r="AA168" s="58">
        <f t="shared" si="56"/>
        <v>2350.7599999999998</v>
      </c>
      <c r="AB168" s="58"/>
      <c r="AC168" s="58">
        <f t="shared" si="57"/>
        <v>2980.7999999999997</v>
      </c>
      <c r="AD168" s="58" t="e">
        <f>IF(B168&lt;&gt;0,VLOOKUP(B168,#REF!,2,FALSE),"")</f>
        <v>#REF!</v>
      </c>
      <c r="AE168" s="55">
        <v>154.19</v>
      </c>
      <c r="AF168" s="55">
        <f t="shared" si="62"/>
        <v>74.19</v>
      </c>
    </row>
    <row r="169" spans="1:32" ht="27.75" customHeight="1">
      <c r="A169" s="21" t="s">
        <v>790</v>
      </c>
      <c r="B169" s="20" t="s">
        <v>2712</v>
      </c>
      <c r="C169" s="19" t="s">
        <v>2713</v>
      </c>
      <c r="D169" s="21" t="s">
        <v>70</v>
      </c>
      <c r="E169" s="21" t="s">
        <v>52</v>
      </c>
      <c r="F169" s="22">
        <v>154.19</v>
      </c>
      <c r="G169" s="22">
        <f t="shared" si="54"/>
        <v>195.99299999999999</v>
      </c>
      <c r="H169" s="22">
        <f t="shared" si="58"/>
        <v>248.54</v>
      </c>
      <c r="I169" s="147">
        <f t="shared" si="59"/>
        <v>38322.379999999997</v>
      </c>
      <c r="J169" s="148"/>
      <c r="K169" s="148"/>
      <c r="L169" s="148"/>
      <c r="M169" s="148">
        <v>218.34</v>
      </c>
      <c r="N169" s="148">
        <v>276.88</v>
      </c>
      <c r="O169" s="148">
        <v>42692.13</v>
      </c>
      <c r="P169" s="494"/>
      <c r="Q169" s="147">
        <f t="shared" si="60"/>
        <v>0</v>
      </c>
      <c r="R169" s="148"/>
      <c r="S169" s="148">
        <f t="shared" si="61"/>
        <v>0</v>
      </c>
      <c r="T169" s="148">
        <f t="shared" si="52"/>
        <v>154.19</v>
      </c>
      <c r="U169" s="148">
        <f t="shared" si="51"/>
        <v>42692.13</v>
      </c>
      <c r="V169" s="379"/>
      <c r="W169" s="379"/>
      <c r="X169" s="57">
        <f>'COMPOSIÇÃO DE CUSTOS'!G2443</f>
        <v>196</v>
      </c>
      <c r="Y169" s="334">
        <v>230.58</v>
      </c>
      <c r="Z169" s="58">
        <f t="shared" si="55"/>
        <v>-34.587000000000018</v>
      </c>
      <c r="AA169" s="58">
        <f t="shared" si="56"/>
        <v>30220.160669999997</v>
      </c>
      <c r="AB169" s="58"/>
      <c r="AC169" s="58">
        <f t="shared" si="57"/>
        <v>38322.382599999997</v>
      </c>
      <c r="AD169" s="58" t="e">
        <f>IF(B169&lt;&gt;0,VLOOKUP(B169,#REF!,2,FALSE),"")</f>
        <v>#REF!</v>
      </c>
      <c r="AE169" s="2">
        <v>20.88</v>
      </c>
      <c r="AF169" s="55">
        <f t="shared" si="62"/>
        <v>-133.31</v>
      </c>
    </row>
    <row r="170" spans="1:32" s="38" customFormat="1" ht="30">
      <c r="A170" s="21" t="s">
        <v>791</v>
      </c>
      <c r="B170" s="20">
        <v>100563</v>
      </c>
      <c r="C170" s="19" t="s">
        <v>95</v>
      </c>
      <c r="D170" s="21" t="s">
        <v>1914</v>
      </c>
      <c r="E170" s="21" t="s">
        <v>26</v>
      </c>
      <c r="F170" s="22">
        <v>20.88</v>
      </c>
      <c r="G170" s="22">
        <f t="shared" si="54"/>
        <v>47.719000000000001</v>
      </c>
      <c r="H170" s="22">
        <f t="shared" si="58"/>
        <v>60.51</v>
      </c>
      <c r="I170" s="147">
        <f t="shared" si="59"/>
        <v>1263.45</v>
      </c>
      <c r="J170" s="148"/>
      <c r="K170" s="148"/>
      <c r="L170" s="148"/>
      <c r="M170" s="148">
        <v>53.16</v>
      </c>
      <c r="N170" s="148">
        <v>67.41</v>
      </c>
      <c r="O170" s="148">
        <v>1407.52</v>
      </c>
      <c r="P170" s="494"/>
      <c r="Q170" s="147">
        <f t="shared" si="60"/>
        <v>0</v>
      </c>
      <c r="R170" s="148"/>
      <c r="S170" s="148">
        <f t="shared" si="61"/>
        <v>0</v>
      </c>
      <c r="T170" s="148">
        <f t="shared" si="52"/>
        <v>20.88</v>
      </c>
      <c r="U170" s="148">
        <f t="shared" si="51"/>
        <v>1407.52</v>
      </c>
      <c r="V170" s="379"/>
      <c r="W170" s="379"/>
      <c r="X170" s="57">
        <f>'COMPOSIÇÃO DE CUSTOS'!G386</f>
        <v>47.72</v>
      </c>
      <c r="Y170" s="334">
        <v>56.14</v>
      </c>
      <c r="Z170" s="58">
        <f t="shared" si="55"/>
        <v>-8.4209999999999994</v>
      </c>
      <c r="AA170" s="58">
        <f t="shared" si="56"/>
        <v>996.37271999999996</v>
      </c>
      <c r="AB170" s="58"/>
      <c r="AC170" s="58">
        <f t="shared" si="57"/>
        <v>1263.4487999999999</v>
      </c>
      <c r="AD170" s="58"/>
      <c r="AF170" s="55">
        <f t="shared" si="62"/>
        <v>-20.88</v>
      </c>
    </row>
    <row r="171" spans="1:32" ht="19.5" customHeight="1">
      <c r="A171" s="21"/>
      <c r="B171" s="20"/>
      <c r="C171" s="19"/>
      <c r="D171" s="21"/>
      <c r="E171" s="21"/>
      <c r="F171" s="22"/>
      <c r="G171" s="22"/>
      <c r="H171" s="22"/>
      <c r="I171" s="147"/>
      <c r="J171" s="148"/>
      <c r="K171" s="148"/>
      <c r="L171" s="148"/>
      <c r="M171" s="148"/>
      <c r="N171" s="148"/>
      <c r="O171" s="148"/>
      <c r="P171" s="494"/>
      <c r="Q171" s="147"/>
      <c r="R171" s="148"/>
      <c r="S171" s="148"/>
      <c r="T171" s="148" t="str">
        <f t="shared" si="52"/>
        <v xml:space="preserve"> </v>
      </c>
      <c r="U171" s="148"/>
      <c r="V171" s="379"/>
      <c r="W171" s="379"/>
      <c r="X171" s="58" t="str">
        <f>IF(B171&lt;&gt;0,VLOOKUP(B171,#REF!,4,FALSE),"")</f>
        <v/>
      </c>
      <c r="Y171" s="334" t="s">
        <v>1891</v>
      </c>
      <c r="Z171" s="58"/>
      <c r="AA171" s="58">
        <f t="shared" si="56"/>
        <v>0</v>
      </c>
      <c r="AB171" s="58"/>
      <c r="AC171" s="58">
        <f t="shared" si="57"/>
        <v>0</v>
      </c>
      <c r="AD171" s="58" t="str">
        <f>IF(B171&lt;&gt;0,VLOOKUP(B171,#REF!,2,FALSE),"")</f>
        <v/>
      </c>
      <c r="AF171" s="55">
        <f t="shared" si="62"/>
        <v>0</v>
      </c>
    </row>
    <row r="172" spans="1:32" ht="22.5" customHeight="1">
      <c r="A172" s="69" t="s">
        <v>792</v>
      </c>
      <c r="B172" s="129"/>
      <c r="C172" s="229" t="s">
        <v>96</v>
      </c>
      <c r="D172" s="230"/>
      <c r="E172" s="230"/>
      <c r="F172" s="230"/>
      <c r="G172" s="22"/>
      <c r="H172" s="230"/>
      <c r="I172" s="445">
        <f>ROUND(SUM(I173:I174),2)</f>
        <v>93401.33</v>
      </c>
      <c r="J172" s="440"/>
      <c r="K172" s="440"/>
      <c r="L172" s="440"/>
      <c r="M172" s="440"/>
      <c r="N172" s="440"/>
      <c r="O172" s="440">
        <v>108470.38</v>
      </c>
      <c r="P172" s="492"/>
      <c r="Q172" s="445">
        <f>ROUND(SUM(Q173:Q174),2)</f>
        <v>0</v>
      </c>
      <c r="R172" s="440"/>
      <c r="S172" s="440">
        <f>ROUND(SUM(S173:S174),2)</f>
        <v>0</v>
      </c>
      <c r="T172" s="148" t="str">
        <f t="shared" si="52"/>
        <v xml:space="preserve"> </v>
      </c>
      <c r="U172" s="440">
        <f t="shared" si="51"/>
        <v>108470.38</v>
      </c>
      <c r="V172" s="330"/>
      <c r="W172" s="330"/>
      <c r="X172" s="58" t="str">
        <f>IF(B172&lt;&gt;0,VLOOKUP(B172,#REF!,4,FALSE),"")</f>
        <v/>
      </c>
      <c r="Y172" s="334" t="s">
        <v>1891</v>
      </c>
      <c r="Z172" s="58"/>
      <c r="AA172" s="58">
        <f t="shared" si="56"/>
        <v>0</v>
      </c>
      <c r="AB172" s="58"/>
      <c r="AC172" s="58">
        <f t="shared" si="57"/>
        <v>0</v>
      </c>
      <c r="AD172" s="58" t="str">
        <f>IF(B172&lt;&gt;0,VLOOKUP(B172,#REF!,2,FALSE),"")</f>
        <v/>
      </c>
      <c r="AE172" s="2">
        <v>347.4</v>
      </c>
      <c r="AF172" s="55">
        <f t="shared" si="62"/>
        <v>347.4</v>
      </c>
    </row>
    <row r="173" spans="1:32" s="38" customFormat="1" ht="48.75" customHeight="1">
      <c r="A173" s="21" t="s">
        <v>793</v>
      </c>
      <c r="B173" s="20">
        <v>96114</v>
      </c>
      <c r="C173" s="19" t="s">
        <v>2685</v>
      </c>
      <c r="D173" s="21" t="s">
        <v>12</v>
      </c>
      <c r="E173" s="21" t="s">
        <v>26</v>
      </c>
      <c r="F173" s="22">
        <v>347.4</v>
      </c>
      <c r="G173" s="22">
        <f t="shared" si="54"/>
        <v>51.705500000000001</v>
      </c>
      <c r="H173" s="22">
        <f>ROUND(G173*(1+$X$13),2)</f>
        <v>65.569999999999993</v>
      </c>
      <c r="I173" s="147">
        <f>ROUND(H173*F173,2)</f>
        <v>22779.02</v>
      </c>
      <c r="J173" s="148"/>
      <c r="K173" s="148"/>
      <c r="L173" s="148"/>
      <c r="M173" s="148">
        <v>67.64</v>
      </c>
      <c r="N173" s="148">
        <v>85.77</v>
      </c>
      <c r="O173" s="148">
        <v>29796.5</v>
      </c>
      <c r="P173" s="494"/>
      <c r="Q173" s="147">
        <f>ROUND(P173*H173,2)</f>
        <v>0</v>
      </c>
      <c r="R173" s="148"/>
      <c r="S173" s="148">
        <f>ROUND(R173*P173,2)</f>
        <v>0</v>
      </c>
      <c r="T173" s="148">
        <f t="shared" si="52"/>
        <v>347.4</v>
      </c>
      <c r="U173" s="148">
        <f t="shared" si="51"/>
        <v>29796.5</v>
      </c>
      <c r="V173" s="379"/>
      <c r="W173" s="379"/>
      <c r="X173" s="58" t="e">
        <f>IF(B173&lt;&gt;0,VLOOKUP(B173,#REF!,4,FALSE),"")</f>
        <v>#REF!</v>
      </c>
      <c r="Y173" s="334" t="s">
        <v>3305</v>
      </c>
      <c r="Z173" s="58">
        <f t="shared" si="55"/>
        <v>-9.1244999999999976</v>
      </c>
      <c r="AA173" s="58">
        <f t="shared" si="56"/>
        <v>17962.490699999998</v>
      </c>
      <c r="AB173" s="58"/>
      <c r="AC173" s="58">
        <f t="shared" si="57"/>
        <v>22779.017999999996</v>
      </c>
      <c r="AD173" s="58" t="e">
        <f>IF(B173&lt;&gt;0,VLOOKUP(B173,#REF!,2,FALSE),"")</f>
        <v>#REF!</v>
      </c>
      <c r="AE173" s="38">
        <v>727.99</v>
      </c>
      <c r="AF173" s="55">
        <f t="shared" si="62"/>
        <v>380.59000000000003</v>
      </c>
    </row>
    <row r="174" spans="1:32" ht="30">
      <c r="A174" s="21" t="s">
        <v>794</v>
      </c>
      <c r="B174" s="20">
        <v>9083</v>
      </c>
      <c r="C174" s="19" t="s">
        <v>2714</v>
      </c>
      <c r="D174" s="21" t="s">
        <v>44</v>
      </c>
      <c r="E174" s="21" t="s">
        <v>26</v>
      </c>
      <c r="F174" s="22">
        <v>727.99</v>
      </c>
      <c r="G174" s="22">
        <f t="shared" si="54"/>
        <v>76.5</v>
      </c>
      <c r="H174" s="22">
        <f>ROUND(G174*(1+$X$13),2)</f>
        <v>97.01</v>
      </c>
      <c r="I174" s="147">
        <f>ROUND(H174*F174,2)</f>
        <v>70622.31</v>
      </c>
      <c r="J174" s="148"/>
      <c r="K174" s="148"/>
      <c r="L174" s="148"/>
      <c r="M174" s="148">
        <v>85.22</v>
      </c>
      <c r="N174" s="148">
        <v>108.07</v>
      </c>
      <c r="O174" s="148">
        <v>78673.88</v>
      </c>
      <c r="P174" s="494"/>
      <c r="Q174" s="147">
        <f>ROUND(P174*H174,2)</f>
        <v>0</v>
      </c>
      <c r="R174" s="148"/>
      <c r="S174" s="148">
        <f>ROUND(R174*P174,2)</f>
        <v>0</v>
      </c>
      <c r="T174" s="148">
        <f t="shared" si="52"/>
        <v>727.99</v>
      </c>
      <c r="U174" s="148">
        <f t="shared" si="51"/>
        <v>78673.88</v>
      </c>
      <c r="V174" s="379"/>
      <c r="W174" s="379"/>
      <c r="X174" s="33">
        <f>'COMPOSIÇÃO DE CUSTOS'!G2359</f>
        <v>76.5</v>
      </c>
      <c r="Y174" s="337">
        <v>90</v>
      </c>
      <c r="Z174" s="30">
        <f t="shared" si="55"/>
        <v>-13.5</v>
      </c>
      <c r="AA174" s="30">
        <f t="shared" si="56"/>
        <v>55691.235000000001</v>
      </c>
      <c r="AB174" s="30"/>
      <c r="AC174" s="30">
        <f t="shared" si="57"/>
        <v>70622.309900000007</v>
      </c>
      <c r="AD174" s="30" t="e">
        <f>IF(B174&lt;&gt;0,VLOOKUP(B174,#REF!,2,FALSE),"")</f>
        <v>#REF!</v>
      </c>
      <c r="AF174" s="2">
        <f t="shared" si="62"/>
        <v>-727.99</v>
      </c>
    </row>
    <row r="175" spans="1:32" ht="21" customHeight="1">
      <c r="A175" s="21"/>
      <c r="B175" s="20"/>
      <c r="C175" s="19"/>
      <c r="D175" s="21"/>
      <c r="E175" s="21"/>
      <c r="F175" s="22"/>
      <c r="G175" s="22"/>
      <c r="H175" s="22"/>
      <c r="I175" s="147"/>
      <c r="J175" s="148"/>
      <c r="K175" s="148"/>
      <c r="L175" s="148"/>
      <c r="M175" s="148"/>
      <c r="N175" s="148"/>
      <c r="O175" s="148"/>
      <c r="P175" s="494"/>
      <c r="Q175" s="147"/>
      <c r="R175" s="148"/>
      <c r="S175" s="148"/>
      <c r="T175" s="148" t="str">
        <f t="shared" si="52"/>
        <v xml:space="preserve"> </v>
      </c>
      <c r="U175" s="148"/>
      <c r="V175" s="379"/>
      <c r="W175" s="379"/>
      <c r="X175" s="58" t="str">
        <f>IF(B175&lt;&gt;0,VLOOKUP(B175,#REF!,4,FALSE),"")</f>
        <v/>
      </c>
      <c r="Y175" s="334" t="s">
        <v>1891</v>
      </c>
      <c r="Z175" s="58"/>
      <c r="AA175" s="58">
        <f t="shared" si="56"/>
        <v>0</v>
      </c>
      <c r="AB175" s="58"/>
      <c r="AC175" s="58">
        <f t="shared" si="57"/>
        <v>0</v>
      </c>
      <c r="AD175" s="58" t="str">
        <f>IF(B175&lt;&gt;0,VLOOKUP(B175,#REF!,2,FALSE),"")</f>
        <v/>
      </c>
      <c r="AF175" s="55">
        <f t="shared" si="62"/>
        <v>0</v>
      </c>
    </row>
    <row r="176" spans="1:32" s="55" customFormat="1" ht="21" customHeight="1">
      <c r="A176" s="69" t="s">
        <v>795</v>
      </c>
      <c r="B176" s="129"/>
      <c r="C176" s="229" t="s">
        <v>98</v>
      </c>
      <c r="D176" s="230"/>
      <c r="E176" s="230"/>
      <c r="F176" s="230"/>
      <c r="G176" s="22"/>
      <c r="H176" s="230"/>
      <c r="I176" s="445">
        <f>ROUND(SUM(I177:I185),2)</f>
        <v>180547.32</v>
      </c>
      <c r="J176" s="440"/>
      <c r="K176" s="440"/>
      <c r="L176" s="440"/>
      <c r="M176" s="440"/>
      <c r="N176" s="440"/>
      <c r="O176" s="440">
        <v>204137.13</v>
      </c>
      <c r="P176" s="492"/>
      <c r="Q176" s="445">
        <f>ROUND(SUM(Q177:Q186),2)</f>
        <v>19019.169999999998</v>
      </c>
      <c r="R176" s="440"/>
      <c r="S176" s="445">
        <f>ROUND(SUM(S177:S186),2)</f>
        <v>3989.18</v>
      </c>
      <c r="T176" s="148" t="str">
        <f t="shared" si="52"/>
        <v xml:space="preserve"> </v>
      </c>
      <c r="U176" s="440">
        <f t="shared" si="51"/>
        <v>219167.12</v>
      </c>
      <c r="V176" s="330"/>
      <c r="W176" s="330"/>
      <c r="X176" s="58" t="str">
        <f>IF(B176&lt;&gt;0,VLOOKUP(B176,#REF!,4,FALSE),"")</f>
        <v/>
      </c>
      <c r="Y176" s="334" t="s">
        <v>1891</v>
      </c>
      <c r="Z176" s="58"/>
      <c r="AA176" s="58">
        <f t="shared" si="56"/>
        <v>0</v>
      </c>
      <c r="AB176" s="58"/>
      <c r="AC176" s="58">
        <f t="shared" si="57"/>
        <v>0</v>
      </c>
      <c r="AD176" s="58" t="str">
        <f>IF(B176&lt;&gt;0,VLOOKUP(B176,#REF!,2,FALSE),"")</f>
        <v/>
      </c>
      <c r="AE176" s="55">
        <v>3341.9679999999998</v>
      </c>
      <c r="AF176" s="55">
        <f t="shared" si="62"/>
        <v>3341.9679999999998</v>
      </c>
    </row>
    <row r="177" spans="1:32" s="38" customFormat="1" ht="60">
      <c r="A177" s="447" t="s">
        <v>796</v>
      </c>
      <c r="B177" s="448">
        <v>87878</v>
      </c>
      <c r="C177" s="449" t="s">
        <v>1567</v>
      </c>
      <c r="D177" s="447" t="s">
        <v>12</v>
      </c>
      <c r="E177" s="447" t="s">
        <v>26</v>
      </c>
      <c r="F177" s="450">
        <v>3341.9679999999998</v>
      </c>
      <c r="G177" s="450">
        <f t="shared" si="54"/>
        <v>2.9155000000000002</v>
      </c>
      <c r="H177" s="450">
        <f t="shared" ref="H177:H186" si="63">ROUND(G177*(1+$X$13),2)</f>
        <v>3.7</v>
      </c>
      <c r="I177" s="451">
        <f t="shared" ref="I177:I185" si="64">ROUND(H177*F177,2)</f>
        <v>12365.28</v>
      </c>
      <c r="J177" s="452"/>
      <c r="K177" s="452"/>
      <c r="L177" s="452"/>
      <c r="M177" s="452">
        <v>3.25</v>
      </c>
      <c r="N177" s="452">
        <v>4.12</v>
      </c>
      <c r="O177" s="452">
        <v>13768.91</v>
      </c>
      <c r="P177" s="493"/>
      <c r="Q177" s="451">
        <f>ROUND(P177*N177,2)</f>
        <v>0</v>
      </c>
      <c r="R177" s="452">
        <f>F177-2*1186.86</f>
        <v>968.24800000000005</v>
      </c>
      <c r="S177" s="452">
        <f>ROUND(R177*N177,2)</f>
        <v>3989.18</v>
      </c>
      <c r="T177" s="452">
        <f t="shared" si="52"/>
        <v>2373.7199999999998</v>
      </c>
      <c r="U177" s="452">
        <f t="shared" si="51"/>
        <v>9779.73</v>
      </c>
      <c r="V177" s="453"/>
      <c r="W177" s="453"/>
      <c r="X177" s="39" t="e">
        <f>IF(B177&lt;&gt;0,VLOOKUP(B177,#REF!,4,FALSE),"")</f>
        <v>#REF!</v>
      </c>
      <c r="Y177" s="336" t="s">
        <v>3132</v>
      </c>
      <c r="Z177" s="39">
        <f t="shared" si="55"/>
        <v>-0.51449999999999996</v>
      </c>
      <c r="AA177" s="39">
        <f t="shared" si="56"/>
        <v>9743.5077039999996</v>
      </c>
      <c r="AB177" s="39"/>
      <c r="AC177" s="39">
        <f t="shared" si="57"/>
        <v>12365.2816</v>
      </c>
      <c r="AD177" s="39" t="e">
        <f>IF(B177&lt;&gt;0,VLOOKUP(B177,#REF!,2,FALSE),"")</f>
        <v>#REF!</v>
      </c>
      <c r="AE177" s="38">
        <v>1976.5</v>
      </c>
      <c r="AF177" s="38">
        <f t="shared" si="62"/>
        <v>-1365.4679999999998</v>
      </c>
    </row>
    <row r="178" spans="1:32" s="38" customFormat="1" ht="90">
      <c r="A178" s="447" t="s">
        <v>797</v>
      </c>
      <c r="B178" s="448">
        <v>87556</v>
      </c>
      <c r="C178" s="449" t="s">
        <v>2715</v>
      </c>
      <c r="D178" s="447" t="s">
        <v>12</v>
      </c>
      <c r="E178" s="447" t="s">
        <v>26</v>
      </c>
      <c r="F178" s="450">
        <v>1976.5</v>
      </c>
      <c r="G178" s="450">
        <f t="shared" si="54"/>
        <v>27.9055</v>
      </c>
      <c r="H178" s="450">
        <f t="shared" si="63"/>
        <v>35.39</v>
      </c>
      <c r="I178" s="451">
        <f t="shared" si="64"/>
        <v>69948.34</v>
      </c>
      <c r="J178" s="452"/>
      <c r="K178" s="452"/>
      <c r="L178" s="452"/>
      <c r="M178" s="452">
        <v>32</v>
      </c>
      <c r="N178" s="452">
        <v>40.58</v>
      </c>
      <c r="O178" s="452">
        <v>80206.37</v>
      </c>
      <c r="P178" s="493">
        <f>T177-P186-F178</f>
        <v>33.979999999999791</v>
      </c>
      <c r="Q178" s="451">
        <f t="shared" ref="Q178:Q186" si="65">ROUND(P178*N178,2)</f>
        <v>1378.91</v>
      </c>
      <c r="R178" s="452"/>
      <c r="S178" s="452">
        <f t="shared" ref="S178:S185" si="66">ROUND(R178*N178,2)</f>
        <v>0</v>
      </c>
      <c r="T178" s="452">
        <f t="shared" si="52"/>
        <v>2010.4799999999998</v>
      </c>
      <c r="U178" s="452">
        <f t="shared" si="51"/>
        <v>81585.279999999999</v>
      </c>
      <c r="V178" s="453"/>
      <c r="W178" s="453"/>
      <c r="X178" s="39" t="e">
        <f>IF(B178&lt;&gt;0,VLOOKUP(B178,#REF!,4,FALSE),"")</f>
        <v>#REF!</v>
      </c>
      <c r="Y178" s="336" t="s">
        <v>3142</v>
      </c>
      <c r="Z178" s="39">
        <f t="shared" si="55"/>
        <v>-4.9244999999999983</v>
      </c>
      <c r="AA178" s="39">
        <f t="shared" si="56"/>
        <v>55155.22075</v>
      </c>
      <c r="AB178" s="39"/>
      <c r="AC178" s="39">
        <f t="shared" si="57"/>
        <v>69948.335000000006</v>
      </c>
      <c r="AD178" s="39" t="e">
        <f>IF(B178&lt;&gt;0,VLOOKUP(B178,#REF!,2,FALSE),"")</f>
        <v>#REF!</v>
      </c>
      <c r="AE178" s="38">
        <v>45.5</v>
      </c>
      <c r="AF178" s="38">
        <f t="shared" si="62"/>
        <v>-1931</v>
      </c>
    </row>
    <row r="179" spans="1:32" s="55" customFormat="1" ht="75">
      <c r="A179" s="21" t="s">
        <v>798</v>
      </c>
      <c r="B179" s="20">
        <v>87273</v>
      </c>
      <c r="C179" s="19" t="s">
        <v>2716</v>
      </c>
      <c r="D179" s="21" t="s">
        <v>12</v>
      </c>
      <c r="E179" s="21" t="s">
        <v>26</v>
      </c>
      <c r="F179" s="22">
        <v>45.5</v>
      </c>
      <c r="G179" s="22">
        <f t="shared" si="54"/>
        <v>49.410499999999999</v>
      </c>
      <c r="H179" s="22">
        <f t="shared" si="63"/>
        <v>62.66</v>
      </c>
      <c r="I179" s="147">
        <f t="shared" si="64"/>
        <v>2851.03</v>
      </c>
      <c r="J179" s="148"/>
      <c r="K179" s="148"/>
      <c r="L179" s="148"/>
      <c r="M179" s="148">
        <v>67.709999999999994</v>
      </c>
      <c r="N179" s="148">
        <v>85.86</v>
      </c>
      <c r="O179" s="148">
        <v>3906.63</v>
      </c>
      <c r="P179" s="494"/>
      <c r="Q179" s="147">
        <f t="shared" si="65"/>
        <v>0</v>
      </c>
      <c r="R179" s="148"/>
      <c r="S179" s="148">
        <f t="shared" si="66"/>
        <v>0</v>
      </c>
      <c r="T179" s="148">
        <f t="shared" si="52"/>
        <v>45.5</v>
      </c>
      <c r="U179" s="148">
        <f t="shared" si="51"/>
        <v>3906.63</v>
      </c>
      <c r="V179" s="379"/>
      <c r="W179" s="379"/>
      <c r="X179" s="58" t="e">
        <f>IF(B179&lt;&gt;0,VLOOKUP(B179,#REF!,4,FALSE),"")</f>
        <v>#REF!</v>
      </c>
      <c r="Y179" s="334" t="s">
        <v>3312</v>
      </c>
      <c r="Z179" s="58">
        <f t="shared" si="55"/>
        <v>-8.7195000000000036</v>
      </c>
      <c r="AA179" s="58">
        <f t="shared" si="56"/>
        <v>2248.1777499999998</v>
      </c>
      <c r="AB179" s="58"/>
      <c r="AC179" s="58">
        <f t="shared" si="57"/>
        <v>2851.0299999999997</v>
      </c>
      <c r="AD179" s="58" t="e">
        <f>IF(B179&lt;&gt;0,VLOOKUP(B179,#REF!,2,FALSE),"")</f>
        <v>#REF!</v>
      </c>
      <c r="AE179" s="55">
        <v>317.74</v>
      </c>
      <c r="AF179" s="55">
        <f t="shared" si="62"/>
        <v>272.24</v>
      </c>
    </row>
    <row r="180" spans="1:32" ht="79.5" customHeight="1">
      <c r="A180" s="21" t="s">
        <v>799</v>
      </c>
      <c r="B180" s="20">
        <v>87273</v>
      </c>
      <c r="C180" s="19" t="s">
        <v>2717</v>
      </c>
      <c r="D180" s="21" t="s">
        <v>12</v>
      </c>
      <c r="E180" s="21" t="s">
        <v>26</v>
      </c>
      <c r="F180" s="22">
        <v>317.74</v>
      </c>
      <c r="G180" s="22">
        <f t="shared" si="54"/>
        <v>49.410499999999999</v>
      </c>
      <c r="H180" s="22">
        <f t="shared" si="63"/>
        <v>62.66</v>
      </c>
      <c r="I180" s="147">
        <f t="shared" si="64"/>
        <v>19909.59</v>
      </c>
      <c r="J180" s="148"/>
      <c r="K180" s="148"/>
      <c r="L180" s="148"/>
      <c r="M180" s="148">
        <v>55.04</v>
      </c>
      <c r="N180" s="148">
        <v>69.8</v>
      </c>
      <c r="O180" s="148">
        <v>22178.25</v>
      </c>
      <c r="P180" s="494"/>
      <c r="Q180" s="147">
        <f t="shared" si="65"/>
        <v>0</v>
      </c>
      <c r="R180" s="148"/>
      <c r="S180" s="148">
        <f t="shared" si="66"/>
        <v>0</v>
      </c>
      <c r="T180" s="148">
        <f t="shared" si="52"/>
        <v>317.74</v>
      </c>
      <c r="U180" s="148">
        <f t="shared" si="51"/>
        <v>22178.25</v>
      </c>
      <c r="V180" s="379"/>
      <c r="W180" s="379"/>
      <c r="X180" s="57" t="e">
        <f>IF(B180&lt;&gt;0,VLOOKUP(B180,#REF!,4,FALSE),"")</f>
        <v>#REF!</v>
      </c>
      <c r="Y180" s="334" t="s">
        <v>3312</v>
      </c>
      <c r="Z180" s="58">
        <f t="shared" si="55"/>
        <v>-8.7195000000000036</v>
      </c>
      <c r="AA180" s="58">
        <f t="shared" si="56"/>
        <v>15699.69227</v>
      </c>
      <c r="AB180" s="58"/>
      <c r="AC180" s="58">
        <f t="shared" si="57"/>
        <v>19909.588400000001</v>
      </c>
      <c r="AD180" s="58" t="e">
        <f>IF(B180&lt;&gt;0,VLOOKUP(B180,#REF!,2,FALSE),"")</f>
        <v>#REF!</v>
      </c>
      <c r="AE180" s="2">
        <v>198.46</v>
      </c>
      <c r="AF180" s="55">
        <f t="shared" si="62"/>
        <v>-119.28</v>
      </c>
    </row>
    <row r="181" spans="1:32" s="38" customFormat="1" ht="46.5" customHeight="1">
      <c r="A181" s="21" t="s">
        <v>800</v>
      </c>
      <c r="B181" s="20">
        <v>8854</v>
      </c>
      <c r="C181" s="19" t="s">
        <v>104</v>
      </c>
      <c r="D181" s="21" t="s">
        <v>44</v>
      </c>
      <c r="E181" s="21" t="s">
        <v>26</v>
      </c>
      <c r="F181" s="22">
        <v>198.46</v>
      </c>
      <c r="G181" s="22">
        <f t="shared" si="54"/>
        <v>83.078999999999994</v>
      </c>
      <c r="H181" s="22">
        <f t="shared" si="63"/>
        <v>105.35</v>
      </c>
      <c r="I181" s="147">
        <f t="shared" si="64"/>
        <v>20907.759999999998</v>
      </c>
      <c r="J181" s="148"/>
      <c r="K181" s="148"/>
      <c r="L181" s="148"/>
      <c r="M181" s="148">
        <v>92.55</v>
      </c>
      <c r="N181" s="148">
        <v>117.36</v>
      </c>
      <c r="O181" s="148">
        <v>23291.27</v>
      </c>
      <c r="P181" s="494"/>
      <c r="Q181" s="147">
        <f t="shared" si="65"/>
        <v>0</v>
      </c>
      <c r="R181" s="148"/>
      <c r="S181" s="148">
        <f t="shared" si="66"/>
        <v>0</v>
      </c>
      <c r="T181" s="148">
        <f t="shared" si="52"/>
        <v>198.46</v>
      </c>
      <c r="U181" s="148">
        <f t="shared" si="51"/>
        <v>23291.27</v>
      </c>
      <c r="V181" s="379"/>
      <c r="W181" s="379"/>
      <c r="X181" s="57">
        <f>'COMPOSIÇÃO DE CUSTOS'!G424</f>
        <v>83.08</v>
      </c>
      <c r="Y181" s="334">
        <v>97.74</v>
      </c>
      <c r="Z181" s="58">
        <f t="shared" si="55"/>
        <v>-14.661000000000001</v>
      </c>
      <c r="AA181" s="58">
        <f t="shared" si="56"/>
        <v>16487.858339999999</v>
      </c>
      <c r="AB181" s="58"/>
      <c r="AC181" s="58">
        <f t="shared" si="57"/>
        <v>20907.760999999999</v>
      </c>
      <c r="AD181" s="58" t="e">
        <f>IF(B181&lt;&gt;0,VLOOKUP(B181,#REF!,2,FALSE),"")</f>
        <v>#REF!</v>
      </c>
      <c r="AE181" s="38">
        <v>208</v>
      </c>
      <c r="AF181" s="55">
        <f t="shared" si="62"/>
        <v>9.539999999999992</v>
      </c>
    </row>
    <row r="182" spans="1:32" s="55" customFormat="1" ht="50.25" customHeight="1">
      <c r="A182" s="21" t="s">
        <v>801</v>
      </c>
      <c r="B182" s="20">
        <v>8854</v>
      </c>
      <c r="C182" s="19" t="s">
        <v>2718</v>
      </c>
      <c r="D182" s="21" t="s">
        <v>44</v>
      </c>
      <c r="E182" s="21" t="s">
        <v>26</v>
      </c>
      <c r="F182" s="22">
        <v>208</v>
      </c>
      <c r="G182" s="22">
        <f t="shared" si="54"/>
        <v>83.078999999999994</v>
      </c>
      <c r="H182" s="22">
        <f t="shared" si="63"/>
        <v>105.35</v>
      </c>
      <c r="I182" s="147">
        <f t="shared" si="64"/>
        <v>21912.799999999999</v>
      </c>
      <c r="J182" s="148"/>
      <c r="K182" s="148"/>
      <c r="L182" s="148"/>
      <c r="M182" s="148">
        <v>92.55</v>
      </c>
      <c r="N182" s="148">
        <v>117.36</v>
      </c>
      <c r="O182" s="148">
        <v>24410.880000000001</v>
      </c>
      <c r="P182" s="494"/>
      <c r="Q182" s="147">
        <f t="shared" si="65"/>
        <v>0</v>
      </c>
      <c r="R182" s="148"/>
      <c r="S182" s="148">
        <f t="shared" si="66"/>
        <v>0</v>
      </c>
      <c r="T182" s="148">
        <f t="shared" si="52"/>
        <v>208</v>
      </c>
      <c r="U182" s="148">
        <f t="shared" si="51"/>
        <v>24410.880000000001</v>
      </c>
      <c r="V182" s="379"/>
      <c r="W182" s="379"/>
      <c r="X182" s="57">
        <f>X181</f>
        <v>83.08</v>
      </c>
      <c r="Y182" s="334">
        <v>97.74</v>
      </c>
      <c r="Z182" s="58">
        <f t="shared" si="55"/>
        <v>-14.661000000000001</v>
      </c>
      <c r="AA182" s="58">
        <f t="shared" si="56"/>
        <v>17280.431999999997</v>
      </c>
      <c r="AB182" s="58"/>
      <c r="AC182" s="58">
        <f t="shared" si="57"/>
        <v>21912.799999999999</v>
      </c>
      <c r="AD182" s="58" t="e">
        <f>IF(B182&lt;&gt;0,VLOOKUP(B182,#REF!,2,FALSE),"")</f>
        <v>#REF!</v>
      </c>
      <c r="AE182" s="55">
        <v>25.74</v>
      </c>
      <c r="AF182" s="55">
        <f t="shared" si="62"/>
        <v>-182.26</v>
      </c>
    </row>
    <row r="183" spans="1:32" ht="49.5" customHeight="1">
      <c r="A183" s="21" t="s">
        <v>802</v>
      </c>
      <c r="B183" s="20">
        <v>8854</v>
      </c>
      <c r="C183" s="19" t="s">
        <v>105</v>
      </c>
      <c r="D183" s="21" t="s">
        <v>44</v>
      </c>
      <c r="E183" s="21" t="s">
        <v>26</v>
      </c>
      <c r="F183" s="22">
        <v>25.74</v>
      </c>
      <c r="G183" s="22">
        <f t="shared" si="54"/>
        <v>83.078999999999994</v>
      </c>
      <c r="H183" s="22">
        <f t="shared" si="63"/>
        <v>105.35</v>
      </c>
      <c r="I183" s="147">
        <f t="shared" si="64"/>
        <v>2711.71</v>
      </c>
      <c r="J183" s="148"/>
      <c r="K183" s="148"/>
      <c r="L183" s="148"/>
      <c r="M183" s="148">
        <v>92.55</v>
      </c>
      <c r="N183" s="148">
        <v>117.36</v>
      </c>
      <c r="O183" s="148">
        <v>3020.85</v>
      </c>
      <c r="P183" s="494"/>
      <c r="Q183" s="147">
        <f t="shared" si="65"/>
        <v>0</v>
      </c>
      <c r="R183" s="148"/>
      <c r="S183" s="148">
        <f t="shared" si="66"/>
        <v>0</v>
      </c>
      <c r="T183" s="148">
        <f t="shared" si="52"/>
        <v>25.74</v>
      </c>
      <c r="U183" s="148">
        <f t="shared" si="51"/>
        <v>3020.85</v>
      </c>
      <c r="V183" s="379"/>
      <c r="W183" s="379"/>
      <c r="X183" s="57">
        <f>X181</f>
        <v>83.08</v>
      </c>
      <c r="Y183" s="334">
        <v>97.74</v>
      </c>
      <c r="Z183" s="58">
        <f t="shared" si="55"/>
        <v>-14.661000000000001</v>
      </c>
      <c r="AA183" s="58">
        <f t="shared" si="56"/>
        <v>2138.4534599999997</v>
      </c>
      <c r="AB183" s="58"/>
      <c r="AC183" s="58">
        <f t="shared" si="57"/>
        <v>2711.7089999999998</v>
      </c>
      <c r="AD183" s="58" t="e">
        <f>IF(B183&lt;&gt;0,VLOOKUP(B183,#REF!,2,FALSE),"")</f>
        <v>#REF!</v>
      </c>
      <c r="AE183" s="2">
        <v>157.37749999999997</v>
      </c>
      <c r="AF183" s="55">
        <f t="shared" si="62"/>
        <v>131.63749999999996</v>
      </c>
    </row>
    <row r="184" spans="1:32" s="23" customFormat="1" ht="37.5" customHeight="1">
      <c r="A184" s="21" t="s">
        <v>803</v>
      </c>
      <c r="B184" s="20">
        <v>7284</v>
      </c>
      <c r="C184" s="19" t="s">
        <v>107</v>
      </c>
      <c r="D184" s="21" t="s">
        <v>44</v>
      </c>
      <c r="E184" s="21" t="s">
        <v>52</v>
      </c>
      <c r="F184" s="22">
        <v>157.37749999999997</v>
      </c>
      <c r="G184" s="22">
        <f t="shared" si="54"/>
        <v>74.468500000000006</v>
      </c>
      <c r="H184" s="22">
        <f t="shared" si="63"/>
        <v>94.43</v>
      </c>
      <c r="I184" s="147">
        <f t="shared" si="64"/>
        <v>14861.16</v>
      </c>
      <c r="J184" s="148"/>
      <c r="K184" s="148"/>
      <c r="L184" s="148"/>
      <c r="M184" s="148">
        <v>82.96</v>
      </c>
      <c r="N184" s="148">
        <v>105.2</v>
      </c>
      <c r="O184" s="148">
        <v>16556.11</v>
      </c>
      <c r="P184" s="494"/>
      <c r="Q184" s="147">
        <f t="shared" si="65"/>
        <v>0</v>
      </c>
      <c r="R184" s="148"/>
      <c r="S184" s="148">
        <f t="shared" si="66"/>
        <v>0</v>
      </c>
      <c r="T184" s="148">
        <f t="shared" si="52"/>
        <v>157.37749999999997</v>
      </c>
      <c r="U184" s="148">
        <f t="shared" si="51"/>
        <v>16556.11</v>
      </c>
      <c r="V184" s="379"/>
      <c r="W184" s="379"/>
      <c r="X184" s="57">
        <f>'COMPOSIÇÃO DE CUSTOS'!G2128</f>
        <v>74.47</v>
      </c>
      <c r="Y184" s="334">
        <v>87.61</v>
      </c>
      <c r="Z184" s="58">
        <f t="shared" si="55"/>
        <v>-13.141499999999994</v>
      </c>
      <c r="AA184" s="58">
        <f t="shared" si="56"/>
        <v>11719.666358749999</v>
      </c>
      <c r="AB184" s="58"/>
      <c r="AC184" s="58">
        <f t="shared" si="57"/>
        <v>14861.157324999998</v>
      </c>
      <c r="AD184" s="58" t="e">
        <f>IF(B184&lt;&gt;0,VLOOKUP(B184,#REF!,2,FALSE),"")</f>
        <v>#REF!</v>
      </c>
      <c r="AE184" s="23">
        <v>317.60000000000002</v>
      </c>
      <c r="AF184" s="55">
        <f t="shared" si="62"/>
        <v>160.22250000000005</v>
      </c>
    </row>
    <row r="185" spans="1:32" s="38" customFormat="1" ht="47.25" customHeight="1">
      <c r="A185" s="447" t="s">
        <v>804</v>
      </c>
      <c r="B185" s="448">
        <v>10708</v>
      </c>
      <c r="C185" s="449" t="s">
        <v>1770</v>
      </c>
      <c r="D185" s="447" t="s">
        <v>12</v>
      </c>
      <c r="E185" s="447" t="s">
        <v>26</v>
      </c>
      <c r="F185" s="450">
        <v>317.60000000000002</v>
      </c>
      <c r="G185" s="450">
        <f t="shared" si="54"/>
        <v>37.442499999999995</v>
      </c>
      <c r="H185" s="450">
        <f t="shared" si="63"/>
        <v>47.48</v>
      </c>
      <c r="I185" s="451">
        <f t="shared" si="64"/>
        <v>15079.65</v>
      </c>
      <c r="J185" s="452"/>
      <c r="K185" s="452"/>
      <c r="L185" s="452"/>
      <c r="M185" s="452">
        <v>41.71</v>
      </c>
      <c r="N185" s="452">
        <v>52.89</v>
      </c>
      <c r="O185" s="452">
        <v>16797.86</v>
      </c>
      <c r="P185" s="493">
        <f>420.78-F185</f>
        <v>103.17999999999995</v>
      </c>
      <c r="Q185" s="451">
        <f t="shared" si="65"/>
        <v>5457.19</v>
      </c>
      <c r="R185" s="452"/>
      <c r="S185" s="452">
        <f t="shared" si="66"/>
        <v>0</v>
      </c>
      <c r="T185" s="452">
        <f t="shared" si="52"/>
        <v>420.78</v>
      </c>
      <c r="U185" s="452">
        <f t="shared" si="51"/>
        <v>22255.05</v>
      </c>
      <c r="V185" s="453"/>
      <c r="W185" s="453"/>
      <c r="X185" s="42" t="e">
        <f>IF(B185&lt;&gt;0,VLOOKUP(B185,#REF!,4,FALSE),"")</f>
        <v>#REF!</v>
      </c>
      <c r="Y185" s="336" t="s">
        <v>3315</v>
      </c>
      <c r="Z185" s="39">
        <f t="shared" si="55"/>
        <v>-6.6075000000000017</v>
      </c>
      <c r="AA185" s="39">
        <f t="shared" si="56"/>
        <v>11891.737999999999</v>
      </c>
      <c r="AB185" s="39"/>
      <c r="AC185" s="39">
        <f t="shared" si="57"/>
        <v>15079.647999999999</v>
      </c>
      <c r="AD185" s="39" t="e">
        <f>IF(B185&lt;&gt;0,VLOOKUP(B185,#REF!,2,FALSE),"")</f>
        <v>#REF!</v>
      </c>
      <c r="AF185" s="38">
        <f t="shared" si="62"/>
        <v>-317.60000000000002</v>
      </c>
    </row>
    <row r="186" spans="1:32" s="38" customFormat="1" ht="113.25" customHeight="1">
      <c r="A186" s="447" t="s">
        <v>4118</v>
      </c>
      <c r="B186" s="448">
        <v>87535</v>
      </c>
      <c r="C186" s="449" t="s">
        <v>1568</v>
      </c>
      <c r="D186" s="447" t="s">
        <v>12</v>
      </c>
      <c r="E186" s="447" t="s">
        <v>26</v>
      </c>
      <c r="F186" s="450"/>
      <c r="G186" s="450">
        <f>'PLANILHA ORÇA - CORREGEDORIA'!G255</f>
        <v>20.094000000000001</v>
      </c>
      <c r="H186" s="450">
        <f t="shared" si="63"/>
        <v>25.48</v>
      </c>
      <c r="I186" s="451"/>
      <c r="J186" s="452"/>
      <c r="K186" s="452"/>
      <c r="L186" s="452"/>
      <c r="M186" s="452">
        <v>26.45</v>
      </c>
      <c r="N186" s="452">
        <v>33.54</v>
      </c>
      <c r="O186" s="452"/>
      <c r="P186" s="493">
        <f>F179+F180</f>
        <v>363.24</v>
      </c>
      <c r="Q186" s="451">
        <f t="shared" si="65"/>
        <v>12183.07</v>
      </c>
      <c r="R186" s="452"/>
      <c r="S186" s="452"/>
      <c r="T186" s="452">
        <f>F186+P186-R186</f>
        <v>363.24</v>
      </c>
      <c r="U186" s="452">
        <f t="shared" ref="U186" si="67">L186+Q186-S186+O186</f>
        <v>12183.07</v>
      </c>
      <c r="V186" s="453"/>
      <c r="W186" s="453"/>
      <c r="X186" s="42"/>
      <c r="Y186" s="336"/>
      <c r="Z186" s="39"/>
      <c r="AA186" s="39"/>
      <c r="AB186" s="39"/>
      <c r="AC186" s="39"/>
      <c r="AD186" s="39"/>
    </row>
    <row r="187" spans="1:32" ht="20.25" customHeight="1">
      <c r="A187" s="21"/>
      <c r="B187" s="20"/>
      <c r="C187" s="19"/>
      <c r="D187" s="21"/>
      <c r="E187" s="21"/>
      <c r="F187" s="22"/>
      <c r="G187" s="22"/>
      <c r="H187" s="22"/>
      <c r="I187" s="147"/>
      <c r="J187" s="148"/>
      <c r="K187" s="148"/>
      <c r="L187" s="148"/>
      <c r="M187" s="148"/>
      <c r="N187" s="148"/>
      <c r="O187" s="148"/>
      <c r="P187" s="494"/>
      <c r="Q187" s="147"/>
      <c r="R187" s="148"/>
      <c r="S187" s="148"/>
      <c r="T187" s="148" t="str">
        <f t="shared" si="52"/>
        <v xml:space="preserve"> </v>
      </c>
      <c r="U187" s="148"/>
      <c r="V187" s="379"/>
      <c r="W187" s="379"/>
      <c r="X187" s="58" t="str">
        <f>IF(B187&lt;&gt;0,VLOOKUP(B187,#REF!,4,FALSE),"")</f>
        <v/>
      </c>
      <c r="Y187" s="334" t="s">
        <v>1891</v>
      </c>
      <c r="Z187" s="58"/>
      <c r="AA187" s="58">
        <f t="shared" si="56"/>
        <v>0</v>
      </c>
      <c r="AB187" s="58"/>
      <c r="AC187" s="58">
        <f t="shared" si="57"/>
        <v>0</v>
      </c>
      <c r="AD187" s="58" t="str">
        <f>IF(B187&lt;&gt;0,VLOOKUP(B187,#REF!,2,FALSE),"")</f>
        <v/>
      </c>
      <c r="AF187" s="55">
        <f t="shared" si="62"/>
        <v>0</v>
      </c>
    </row>
    <row r="188" spans="1:32" ht="23.25" customHeight="1">
      <c r="A188" s="69" t="s">
        <v>805</v>
      </c>
      <c r="B188" s="129"/>
      <c r="C188" s="229" t="s">
        <v>108</v>
      </c>
      <c r="D188" s="230"/>
      <c r="E188" s="230"/>
      <c r="F188" s="230"/>
      <c r="G188" s="22"/>
      <c r="H188" s="230"/>
      <c r="I188" s="445">
        <f>ROUND(SUM(I189:I194),2)</f>
        <v>211128.85</v>
      </c>
      <c r="J188" s="440"/>
      <c r="K188" s="440"/>
      <c r="L188" s="440"/>
      <c r="M188" s="440"/>
      <c r="N188" s="440"/>
      <c r="O188" s="440">
        <v>317430.53999999998</v>
      </c>
      <c r="P188" s="492"/>
      <c r="Q188" s="445">
        <f>ROUND(SUM(Q189:Q196),2)</f>
        <v>27429.040000000001</v>
      </c>
      <c r="R188" s="440"/>
      <c r="S188" s="440">
        <f>ROUND(SUM(S189:S196),2)</f>
        <v>29234.959999999999</v>
      </c>
      <c r="T188" s="148" t="str">
        <f t="shared" si="52"/>
        <v xml:space="preserve"> </v>
      </c>
      <c r="U188" s="440">
        <f t="shared" si="51"/>
        <v>315624.62</v>
      </c>
      <c r="V188" s="330"/>
      <c r="W188" s="330"/>
      <c r="X188" s="58" t="str">
        <f>IF(B188&lt;&gt;0,VLOOKUP(B188,#REF!,4,FALSE),"")</f>
        <v/>
      </c>
      <c r="Y188" s="334" t="s">
        <v>1891</v>
      </c>
      <c r="Z188" s="58"/>
      <c r="AA188" s="58">
        <f t="shared" si="56"/>
        <v>0</v>
      </c>
      <c r="AB188" s="58"/>
      <c r="AC188" s="58">
        <f t="shared" si="57"/>
        <v>0</v>
      </c>
      <c r="AD188" s="58" t="str">
        <f>IF(B188&lt;&gt;0,VLOOKUP(B188,#REF!,2,FALSE),"")</f>
        <v/>
      </c>
      <c r="AE188" s="2">
        <v>1856.2739999999999</v>
      </c>
      <c r="AF188" s="55">
        <f t="shared" si="62"/>
        <v>1856.2739999999999</v>
      </c>
    </row>
    <row r="189" spans="1:32" s="38" customFormat="1" ht="60">
      <c r="A189" s="447" t="s">
        <v>806</v>
      </c>
      <c r="B189" s="448">
        <v>87622</v>
      </c>
      <c r="C189" s="449" t="s">
        <v>109</v>
      </c>
      <c r="D189" s="447" t="s">
        <v>12</v>
      </c>
      <c r="E189" s="447" t="s">
        <v>26</v>
      </c>
      <c r="F189" s="450">
        <v>1856.2739999999999</v>
      </c>
      <c r="G189" s="450">
        <f t="shared" si="54"/>
        <v>25.848500000000001</v>
      </c>
      <c r="H189" s="450">
        <f t="shared" ref="H189:H194" si="68">ROUND(G189*(1+$X$13),2)</f>
        <v>32.78</v>
      </c>
      <c r="I189" s="451">
        <f t="shared" ref="I189:I194" si="69">ROUND(H189*F189,2)</f>
        <v>60848.66</v>
      </c>
      <c r="J189" s="452"/>
      <c r="K189" s="452"/>
      <c r="L189" s="452"/>
      <c r="M189" s="452">
        <v>35.36</v>
      </c>
      <c r="N189" s="452">
        <v>44.84</v>
      </c>
      <c r="O189" s="452">
        <v>83235.33</v>
      </c>
      <c r="P189" s="493"/>
      <c r="Q189" s="451">
        <f t="shared" ref="Q189:Q194" si="70">ROUND(P189*N189,2)</f>
        <v>0</v>
      </c>
      <c r="R189" s="452">
        <f>-(570.7+58.89+574.7-F189)</f>
        <v>651.98399999999992</v>
      </c>
      <c r="S189" s="452">
        <f t="shared" ref="S189:S194" si="71">ROUND(R189*N189,2)</f>
        <v>29234.959999999999</v>
      </c>
      <c r="T189" s="452">
        <f t="shared" si="52"/>
        <v>1204.29</v>
      </c>
      <c r="U189" s="452">
        <f t="shared" si="51"/>
        <v>54000.37</v>
      </c>
      <c r="V189" s="453"/>
      <c r="W189" s="453"/>
      <c r="X189" s="39" t="e">
        <f>IF(B189&lt;&gt;0,VLOOKUP(B189,#REF!,4,FALSE),"")</f>
        <v>#REF!</v>
      </c>
      <c r="Y189" s="336" t="s">
        <v>3310</v>
      </c>
      <c r="Z189" s="39">
        <f t="shared" si="55"/>
        <v>-4.5614999999999988</v>
      </c>
      <c r="AA189" s="39">
        <f t="shared" si="56"/>
        <v>47981.898488999999</v>
      </c>
      <c r="AB189" s="39"/>
      <c r="AC189" s="39">
        <f t="shared" si="57"/>
        <v>60848.661719999996</v>
      </c>
      <c r="AD189" s="39" t="e">
        <f>IF(B189&lt;&gt;0,VLOOKUP(B189,#REF!,2,FALSE),"")</f>
        <v>#REF!</v>
      </c>
      <c r="AE189" s="38">
        <v>928.91</v>
      </c>
      <c r="AF189" s="38">
        <f t="shared" si="62"/>
        <v>-927.36399999999992</v>
      </c>
    </row>
    <row r="190" spans="1:32" ht="45">
      <c r="A190" s="21" t="s">
        <v>807</v>
      </c>
      <c r="B190" s="20">
        <v>87263</v>
      </c>
      <c r="C190" s="19" t="s">
        <v>2638</v>
      </c>
      <c r="D190" s="21" t="s">
        <v>12</v>
      </c>
      <c r="E190" s="21" t="s">
        <v>26</v>
      </c>
      <c r="F190" s="22">
        <v>928.91</v>
      </c>
      <c r="G190" s="22">
        <f t="shared" si="54"/>
        <v>98.608500000000006</v>
      </c>
      <c r="H190" s="22">
        <f t="shared" si="68"/>
        <v>125.05</v>
      </c>
      <c r="I190" s="147">
        <f t="shared" si="69"/>
        <v>116160.2</v>
      </c>
      <c r="J190" s="148"/>
      <c r="K190" s="148"/>
      <c r="L190" s="148"/>
      <c r="M190" s="148">
        <v>166.55</v>
      </c>
      <c r="N190" s="148">
        <v>211.2</v>
      </c>
      <c r="O190" s="148">
        <v>196185.79</v>
      </c>
      <c r="P190" s="494"/>
      <c r="Q190" s="147">
        <f t="shared" si="70"/>
        <v>0</v>
      </c>
      <c r="R190" s="148"/>
      <c r="S190" s="148">
        <f t="shared" si="71"/>
        <v>0</v>
      </c>
      <c r="T190" s="148">
        <f t="shared" si="52"/>
        <v>928.91</v>
      </c>
      <c r="U190" s="148">
        <f t="shared" si="51"/>
        <v>196185.79</v>
      </c>
      <c r="V190" s="379"/>
      <c r="W190" s="379"/>
      <c r="X190" s="58" t="e">
        <f>IF(B190&lt;&gt;0,VLOOKUP(B190,#REF!,4,FALSE),"")</f>
        <v>#REF!</v>
      </c>
      <c r="Y190" s="334" t="s">
        <v>3183</v>
      </c>
      <c r="Z190" s="58">
        <f t="shared" si="55"/>
        <v>-17.401499999999999</v>
      </c>
      <c r="AA190" s="58">
        <f t="shared" si="56"/>
        <v>91598.421734999996</v>
      </c>
      <c r="AB190" s="58"/>
      <c r="AC190" s="58">
        <f t="shared" si="57"/>
        <v>116160.19549999999</v>
      </c>
      <c r="AD190" s="58" t="e">
        <f>IF(B190&lt;&gt;0,VLOOKUP(B190,#REF!,2,FALSE),"")</f>
        <v>#REF!</v>
      </c>
      <c r="AE190" s="2">
        <v>154.30000000000001</v>
      </c>
      <c r="AF190" s="55">
        <f t="shared" si="62"/>
        <v>-774.6099999999999</v>
      </c>
    </row>
    <row r="191" spans="1:32" s="55" customFormat="1" ht="45">
      <c r="A191" s="21" t="s">
        <v>808</v>
      </c>
      <c r="B191" s="20">
        <v>11808</v>
      </c>
      <c r="C191" s="19" t="s">
        <v>2639</v>
      </c>
      <c r="D191" s="21" t="s">
        <v>44</v>
      </c>
      <c r="E191" s="21" t="s">
        <v>26</v>
      </c>
      <c r="F191" s="22">
        <v>154.30000000000001</v>
      </c>
      <c r="G191" s="22">
        <f t="shared" si="54"/>
        <v>82.12700000000001</v>
      </c>
      <c r="H191" s="22">
        <f t="shared" si="68"/>
        <v>104.15</v>
      </c>
      <c r="I191" s="147">
        <f t="shared" si="69"/>
        <v>16070.35</v>
      </c>
      <c r="J191" s="148"/>
      <c r="K191" s="148"/>
      <c r="L191" s="148"/>
      <c r="M191" s="148">
        <v>91.49</v>
      </c>
      <c r="N191" s="148">
        <v>116.02</v>
      </c>
      <c r="O191" s="148">
        <v>17901.89</v>
      </c>
      <c r="P191" s="494"/>
      <c r="Q191" s="147">
        <f t="shared" si="70"/>
        <v>0</v>
      </c>
      <c r="R191" s="148"/>
      <c r="S191" s="148">
        <f t="shared" si="71"/>
        <v>0</v>
      </c>
      <c r="T191" s="148">
        <f t="shared" si="52"/>
        <v>154.30000000000001</v>
      </c>
      <c r="U191" s="148">
        <f t="shared" si="51"/>
        <v>17901.89</v>
      </c>
      <c r="V191" s="379"/>
      <c r="W191" s="379"/>
      <c r="X191" s="57">
        <f>'COMPOSIÇÃO DE CUSTOS'!G2315</f>
        <v>82.13</v>
      </c>
      <c r="Y191" s="334">
        <v>96.62</v>
      </c>
      <c r="Z191" s="58">
        <f t="shared" si="55"/>
        <v>-14.492999999999995</v>
      </c>
      <c r="AA191" s="58">
        <f t="shared" si="56"/>
        <v>12672.196100000003</v>
      </c>
      <c r="AB191" s="58"/>
      <c r="AC191" s="58">
        <f t="shared" si="57"/>
        <v>16070.345000000001</v>
      </c>
      <c r="AD191" s="58" t="e">
        <f>IF(B191&lt;&gt;0,VLOOKUP(B191,#REF!,2,FALSE),"")</f>
        <v>#REF!</v>
      </c>
      <c r="AE191" s="55">
        <v>16.850000000000001</v>
      </c>
      <c r="AF191" s="55">
        <f t="shared" si="62"/>
        <v>-137.45000000000002</v>
      </c>
    </row>
    <row r="192" spans="1:32" s="38" customFormat="1" ht="30">
      <c r="A192" s="447" t="s">
        <v>809</v>
      </c>
      <c r="B192" s="448">
        <v>7285</v>
      </c>
      <c r="C192" s="449" t="s">
        <v>2004</v>
      </c>
      <c r="D192" s="447" t="s">
        <v>44</v>
      </c>
      <c r="E192" s="447" t="s">
        <v>52</v>
      </c>
      <c r="F192" s="450">
        <v>16.850000000000001</v>
      </c>
      <c r="G192" s="450">
        <f t="shared" si="54"/>
        <v>48.841000000000001</v>
      </c>
      <c r="H192" s="450">
        <f t="shared" si="68"/>
        <v>61.94</v>
      </c>
      <c r="I192" s="451">
        <f t="shared" si="69"/>
        <v>1043.69</v>
      </c>
      <c r="J192" s="452"/>
      <c r="K192" s="452"/>
      <c r="L192" s="452"/>
      <c r="M192" s="452">
        <v>54.41</v>
      </c>
      <c r="N192" s="452">
        <v>69</v>
      </c>
      <c r="O192" s="452">
        <v>1162.6500000000001</v>
      </c>
      <c r="P192" s="493">
        <f>41.7-F192</f>
        <v>24.85</v>
      </c>
      <c r="Q192" s="451">
        <f t="shared" si="70"/>
        <v>1714.65</v>
      </c>
      <c r="R192" s="452"/>
      <c r="S192" s="452">
        <f t="shared" si="71"/>
        <v>0</v>
      </c>
      <c r="T192" s="452">
        <f t="shared" si="52"/>
        <v>41.7</v>
      </c>
      <c r="U192" s="452">
        <f t="shared" si="51"/>
        <v>2877.3</v>
      </c>
      <c r="V192" s="453"/>
      <c r="W192" s="453"/>
      <c r="X192" s="42">
        <f>'COMPOSIÇÃO DE CUSTOS'!G2121</f>
        <v>48.84</v>
      </c>
      <c r="Y192" s="336">
        <v>57.46</v>
      </c>
      <c r="Z192" s="39">
        <f t="shared" si="55"/>
        <v>-8.6189999999999998</v>
      </c>
      <c r="AA192" s="39">
        <f t="shared" si="56"/>
        <v>822.97085000000004</v>
      </c>
      <c r="AB192" s="39"/>
      <c r="AC192" s="39">
        <f t="shared" si="57"/>
        <v>1043.6890000000001</v>
      </c>
      <c r="AD192" s="39" t="e">
        <f>IF(B192&lt;&gt;0,VLOOKUP(B192,#REF!,2,FALSE),"")</f>
        <v>#REF!</v>
      </c>
      <c r="AE192" s="38">
        <v>48.15</v>
      </c>
      <c r="AF192" s="38">
        <f t="shared" si="62"/>
        <v>31.299999999999997</v>
      </c>
    </row>
    <row r="193" spans="1:32" s="55" customFormat="1" ht="45">
      <c r="A193" s="21" t="s">
        <v>810</v>
      </c>
      <c r="B193" s="20">
        <v>84190</v>
      </c>
      <c r="C193" s="19" t="s">
        <v>2719</v>
      </c>
      <c r="D193" s="21" t="s">
        <v>1914</v>
      </c>
      <c r="E193" s="21" t="s">
        <v>26</v>
      </c>
      <c r="F193" s="22">
        <v>48.15</v>
      </c>
      <c r="G193" s="22">
        <f t="shared" si="54"/>
        <v>215.36450000000002</v>
      </c>
      <c r="H193" s="22">
        <f t="shared" si="68"/>
        <v>273.10000000000002</v>
      </c>
      <c r="I193" s="147">
        <f t="shared" si="69"/>
        <v>13149.77</v>
      </c>
      <c r="J193" s="148"/>
      <c r="K193" s="148"/>
      <c r="L193" s="148"/>
      <c r="M193" s="148">
        <v>239.92</v>
      </c>
      <c r="N193" s="148">
        <v>304.24</v>
      </c>
      <c r="O193" s="148">
        <v>14649.16</v>
      </c>
      <c r="P193" s="494"/>
      <c r="Q193" s="147">
        <f t="shared" si="70"/>
        <v>0</v>
      </c>
      <c r="R193" s="148"/>
      <c r="S193" s="148">
        <f t="shared" si="71"/>
        <v>0</v>
      </c>
      <c r="T193" s="148">
        <f t="shared" si="52"/>
        <v>48.15</v>
      </c>
      <c r="U193" s="148">
        <f t="shared" si="51"/>
        <v>14649.16</v>
      </c>
      <c r="V193" s="379"/>
      <c r="W193" s="379"/>
      <c r="X193" s="57">
        <f>'COMPOSIÇÃO DE CUSTOS'!G2452</f>
        <v>215.37</v>
      </c>
      <c r="Y193" s="334">
        <v>253.37</v>
      </c>
      <c r="Z193" s="58">
        <f t="shared" si="55"/>
        <v>-38.005499999999984</v>
      </c>
      <c r="AA193" s="58">
        <f t="shared" si="56"/>
        <v>10369.800675</v>
      </c>
      <c r="AB193" s="58"/>
      <c r="AC193" s="58">
        <f t="shared" si="57"/>
        <v>13149.765000000001</v>
      </c>
      <c r="AD193" s="58" t="e">
        <f>IF(B193&lt;&gt;0,VLOOKUP(B193,#REF!,2,FALSE),"")</f>
        <v>#REF!</v>
      </c>
      <c r="AF193" s="55">
        <f t="shared" si="62"/>
        <v>-48.15</v>
      </c>
    </row>
    <row r="194" spans="1:32" s="55" customFormat="1" ht="30">
      <c r="A194" s="21" t="s">
        <v>3433</v>
      </c>
      <c r="B194" s="20">
        <v>11903</v>
      </c>
      <c r="C194" s="19" t="s">
        <v>3434</v>
      </c>
      <c r="D194" s="21" t="s">
        <v>44</v>
      </c>
      <c r="E194" s="21" t="s">
        <v>52</v>
      </c>
      <c r="F194" s="22">
        <v>23.17</v>
      </c>
      <c r="G194" s="22">
        <f t="shared" si="54"/>
        <v>131.24</v>
      </c>
      <c r="H194" s="22">
        <f t="shared" si="68"/>
        <v>166.43</v>
      </c>
      <c r="I194" s="147">
        <f t="shared" si="69"/>
        <v>3856.18</v>
      </c>
      <c r="J194" s="148"/>
      <c r="K194" s="148"/>
      <c r="L194" s="148"/>
      <c r="M194" s="148">
        <v>146.19999999999999</v>
      </c>
      <c r="N194" s="148">
        <v>185.4</v>
      </c>
      <c r="O194" s="148">
        <v>4295.72</v>
      </c>
      <c r="P194" s="494"/>
      <c r="Q194" s="147">
        <f t="shared" si="70"/>
        <v>0</v>
      </c>
      <c r="R194" s="148"/>
      <c r="S194" s="148">
        <f t="shared" si="71"/>
        <v>0</v>
      </c>
      <c r="T194" s="148">
        <f t="shared" si="52"/>
        <v>23.17</v>
      </c>
      <c r="U194" s="148">
        <f t="shared" si="51"/>
        <v>4295.72</v>
      </c>
      <c r="V194" s="379"/>
      <c r="W194" s="379"/>
      <c r="X194" s="57">
        <f>'COMPOSIÇÃO DE CUSTOS'!G2583</f>
        <v>131.22999999999999</v>
      </c>
      <c r="Y194" s="334">
        <v>154.4</v>
      </c>
      <c r="Z194" s="58">
        <f t="shared" si="55"/>
        <v>-23.159999999999997</v>
      </c>
      <c r="AA194" s="58">
        <f t="shared" si="56"/>
        <v>3040.8308000000006</v>
      </c>
      <c r="AB194" s="58"/>
      <c r="AC194" s="58">
        <f t="shared" si="57"/>
        <v>3856.1831000000006</v>
      </c>
      <c r="AD194" s="58"/>
    </row>
    <row r="195" spans="1:32" s="38" customFormat="1" ht="23.25" customHeight="1">
      <c r="A195" s="447" t="s">
        <v>3779</v>
      </c>
      <c r="B195" s="448">
        <v>88650</v>
      </c>
      <c r="C195" s="449" t="s">
        <v>3780</v>
      </c>
      <c r="D195" s="447" t="s">
        <v>12</v>
      </c>
      <c r="E195" s="447" t="s">
        <v>52</v>
      </c>
      <c r="F195" s="450"/>
      <c r="G195" s="450">
        <f>(W195-(W195*$Z$14))*'PLANILHA ORÇA - CORREGEDORIA'!$S$16</f>
        <v>12.01625122512587</v>
      </c>
      <c r="H195" s="450">
        <f>ROUND(G195*(1+$X$13),2)</f>
        <v>15.24</v>
      </c>
      <c r="I195" s="451"/>
      <c r="J195" s="452"/>
      <c r="K195" s="452"/>
      <c r="L195" s="452"/>
      <c r="M195" s="452"/>
      <c r="N195" s="452"/>
      <c r="O195" s="452"/>
      <c r="P195" s="493">
        <v>426.38</v>
      </c>
      <c r="Q195" s="451">
        <f>ROUND(P195*H195,2)</f>
        <v>6498.03</v>
      </c>
      <c r="R195" s="452"/>
      <c r="S195" s="452"/>
      <c r="T195" s="452">
        <f>P195</f>
        <v>426.38</v>
      </c>
      <c r="U195" s="452">
        <f t="shared" si="51"/>
        <v>6498.03</v>
      </c>
      <c r="V195" s="453"/>
      <c r="W195" s="453">
        <v>12.69</v>
      </c>
      <c r="X195" s="42"/>
      <c r="Y195" s="336"/>
      <c r="Z195" s="39"/>
      <c r="AA195" s="39"/>
      <c r="AB195" s="39"/>
      <c r="AC195" s="39"/>
      <c r="AD195" s="39"/>
    </row>
    <row r="196" spans="1:32" s="38" customFormat="1" ht="55.5" customHeight="1">
      <c r="A196" s="447" t="s">
        <v>3812</v>
      </c>
      <c r="B196" s="448">
        <v>83534</v>
      </c>
      <c r="C196" s="449" t="s">
        <v>49</v>
      </c>
      <c r="D196" s="447" t="s">
        <v>1914</v>
      </c>
      <c r="E196" s="447" t="s">
        <v>35</v>
      </c>
      <c r="F196" s="450"/>
      <c r="G196" s="450">
        <v>477.23250000000007</v>
      </c>
      <c r="H196" s="450">
        <v>605.17999999999995</v>
      </c>
      <c r="I196" s="451"/>
      <c r="J196" s="452"/>
      <c r="K196" s="452"/>
      <c r="L196" s="452"/>
      <c r="M196" s="452"/>
      <c r="N196" s="452"/>
      <c r="O196" s="452"/>
      <c r="P196" s="493">
        <f>570.07*0.05</f>
        <v>28.503500000000003</v>
      </c>
      <c r="Q196" s="451">
        <f>ROUND(P196*H196*'PLANILHA ORÇA - CORREGEDORIA'!$S$16,2)</f>
        <v>19216.36</v>
      </c>
      <c r="R196" s="452"/>
      <c r="S196" s="452"/>
      <c r="T196" s="452">
        <f>P196</f>
        <v>28.503500000000003</v>
      </c>
      <c r="U196" s="452">
        <f t="shared" si="51"/>
        <v>19216.36</v>
      </c>
      <c r="V196" s="453"/>
      <c r="W196" s="453"/>
      <c r="X196" s="42"/>
      <c r="Y196" s="336"/>
      <c r="Z196" s="39"/>
      <c r="AA196" s="39"/>
      <c r="AB196" s="39"/>
      <c r="AC196" s="39"/>
      <c r="AD196" s="39"/>
    </row>
    <row r="197" spans="1:32" s="55" customFormat="1" ht="22.5" customHeight="1">
      <c r="A197" s="21"/>
      <c r="B197" s="20"/>
      <c r="C197" s="19"/>
      <c r="D197" s="21"/>
      <c r="E197" s="21"/>
      <c r="F197" s="22"/>
      <c r="G197" s="22"/>
      <c r="H197" s="22"/>
      <c r="I197" s="147"/>
      <c r="J197" s="148"/>
      <c r="K197" s="148"/>
      <c r="L197" s="148"/>
      <c r="M197" s="148"/>
      <c r="N197" s="148"/>
      <c r="O197" s="148"/>
      <c r="P197" s="494"/>
      <c r="Q197" s="147"/>
      <c r="R197" s="148"/>
      <c r="S197" s="148"/>
      <c r="T197" s="148" t="str">
        <f t="shared" si="52"/>
        <v xml:space="preserve"> </v>
      </c>
      <c r="U197" s="148"/>
      <c r="V197" s="379"/>
      <c r="W197" s="379"/>
      <c r="X197" s="58" t="str">
        <f>IF(B197&lt;&gt;0,VLOOKUP(B197,#REF!,4,FALSE),"")</f>
        <v/>
      </c>
      <c r="Y197" s="334" t="s">
        <v>1891</v>
      </c>
      <c r="Z197" s="58"/>
      <c r="AA197" s="58">
        <f t="shared" si="56"/>
        <v>0</v>
      </c>
      <c r="AB197" s="58"/>
      <c r="AC197" s="58">
        <f t="shared" si="57"/>
        <v>0</v>
      </c>
      <c r="AD197" s="58" t="str">
        <f>IF(B197&lt;&gt;0,VLOOKUP(B197,#REF!,2,FALSE),"")</f>
        <v/>
      </c>
      <c r="AF197" s="55">
        <f t="shared" ref="AF197:AF260" si="72">AE197-F197</f>
        <v>0</v>
      </c>
    </row>
    <row r="198" spans="1:32" s="55" customFormat="1">
      <c r="A198" s="69" t="s">
        <v>811</v>
      </c>
      <c r="B198" s="129"/>
      <c r="C198" s="229" t="s">
        <v>110</v>
      </c>
      <c r="D198" s="230"/>
      <c r="E198" s="230"/>
      <c r="F198" s="230"/>
      <c r="G198" s="22"/>
      <c r="H198" s="230"/>
      <c r="I198" s="445">
        <f>ROUND(SUM(I199:I203),2)</f>
        <v>137507.1</v>
      </c>
      <c r="J198" s="440"/>
      <c r="K198" s="440"/>
      <c r="L198" s="440"/>
      <c r="M198" s="440"/>
      <c r="N198" s="440"/>
      <c r="O198" s="440">
        <v>162157.67000000001</v>
      </c>
      <c r="P198" s="492"/>
      <c r="Q198" s="445">
        <f>ROUND(SUM(Q199:Q203),2)</f>
        <v>0</v>
      </c>
      <c r="R198" s="440"/>
      <c r="S198" s="440">
        <f>ROUND(SUM(S199:S203),2)</f>
        <v>0</v>
      </c>
      <c r="T198" s="148" t="str">
        <f t="shared" si="52"/>
        <v xml:space="preserve"> </v>
      </c>
      <c r="U198" s="440">
        <f t="shared" si="51"/>
        <v>162157.67000000001</v>
      </c>
      <c r="V198" s="330"/>
      <c r="W198" s="330"/>
      <c r="X198" s="58" t="str">
        <f>IF(B198&lt;&gt;0,VLOOKUP(B198,#REF!,4,FALSE),"")</f>
        <v/>
      </c>
      <c r="Y198" s="334" t="s">
        <v>1891</v>
      </c>
      <c r="Z198" s="58"/>
      <c r="AA198" s="58">
        <f t="shared" si="56"/>
        <v>0</v>
      </c>
      <c r="AB198" s="58"/>
      <c r="AC198" s="58">
        <f t="shared" si="57"/>
        <v>0</v>
      </c>
      <c r="AD198" s="58" t="str">
        <f>IF(B198&lt;&gt;0,VLOOKUP(B198,#REF!,2,FALSE),"")</f>
        <v/>
      </c>
      <c r="AE198" s="55">
        <v>399.72899999999998</v>
      </c>
      <c r="AF198" s="55">
        <f t="shared" si="72"/>
        <v>399.72899999999998</v>
      </c>
    </row>
    <row r="199" spans="1:32" s="55" customFormat="1" ht="30">
      <c r="A199" s="21" t="s">
        <v>812</v>
      </c>
      <c r="B199" s="20">
        <v>72961</v>
      </c>
      <c r="C199" s="19" t="s">
        <v>111</v>
      </c>
      <c r="D199" s="21" t="s">
        <v>1914</v>
      </c>
      <c r="E199" s="21" t="s">
        <v>26</v>
      </c>
      <c r="F199" s="22">
        <v>399.72899999999998</v>
      </c>
      <c r="G199" s="22">
        <f t="shared" si="54"/>
        <v>1.3260000000000001</v>
      </c>
      <c r="H199" s="22">
        <f>ROUND(G199*(1+$X$13),2)</f>
        <v>1.68</v>
      </c>
      <c r="I199" s="147">
        <f>ROUND(H199*F199,2)</f>
        <v>671.54</v>
      </c>
      <c r="J199" s="148"/>
      <c r="K199" s="148"/>
      <c r="L199" s="148"/>
      <c r="M199" s="148">
        <v>1.48</v>
      </c>
      <c r="N199" s="148">
        <v>1.88</v>
      </c>
      <c r="O199" s="148">
        <v>751.49</v>
      </c>
      <c r="P199" s="494"/>
      <c r="Q199" s="147">
        <f>ROUND(P199*N199,2)</f>
        <v>0</v>
      </c>
      <c r="R199" s="148"/>
      <c r="S199" s="148">
        <f>ROUND(R199*N199,2)</f>
        <v>0</v>
      </c>
      <c r="T199" s="148">
        <f t="shared" si="52"/>
        <v>399.72899999999998</v>
      </c>
      <c r="U199" s="148">
        <f t="shared" si="51"/>
        <v>751.49</v>
      </c>
      <c r="V199" s="379"/>
      <c r="W199" s="379"/>
      <c r="X199" s="57">
        <f>'COMPOSIÇÃO DE CUSTOS'!G442</f>
        <v>1.33</v>
      </c>
      <c r="Y199" s="334">
        <v>1.56</v>
      </c>
      <c r="Z199" s="58">
        <f t="shared" si="55"/>
        <v>-0.23399999999999999</v>
      </c>
      <c r="AA199" s="58">
        <f t="shared" si="56"/>
        <v>530.04065400000002</v>
      </c>
      <c r="AB199" s="58"/>
      <c r="AC199" s="58">
        <f t="shared" si="57"/>
        <v>671.54471999999998</v>
      </c>
      <c r="AD199" s="58" t="e">
        <f>IF(B199&lt;&gt;0,VLOOKUP(B199,#REF!,2,FALSE),"")</f>
        <v>#REF!</v>
      </c>
      <c r="AE199" s="55">
        <v>19.986000000000001</v>
      </c>
      <c r="AF199" s="55">
        <f t="shared" si="72"/>
        <v>-379.74299999999999</v>
      </c>
    </row>
    <row r="200" spans="1:32" s="55" customFormat="1" ht="50.25" customHeight="1">
      <c r="A200" s="21" t="s">
        <v>813</v>
      </c>
      <c r="B200" s="20">
        <v>83534</v>
      </c>
      <c r="C200" s="19" t="s">
        <v>49</v>
      </c>
      <c r="D200" s="21" t="s">
        <v>1914</v>
      </c>
      <c r="E200" s="21" t="s">
        <v>35</v>
      </c>
      <c r="F200" s="22">
        <v>19.986000000000001</v>
      </c>
      <c r="G200" s="22">
        <f t="shared" si="54"/>
        <v>477.23250000000007</v>
      </c>
      <c r="H200" s="22">
        <f>ROUND(G200*(1+$X$13),2)</f>
        <v>605.17999999999995</v>
      </c>
      <c r="I200" s="147">
        <f>ROUND(H200*F200,2)</f>
        <v>12095.13</v>
      </c>
      <c r="J200" s="148"/>
      <c r="K200" s="148"/>
      <c r="L200" s="148"/>
      <c r="M200" s="148">
        <v>531.64</v>
      </c>
      <c r="N200" s="148">
        <v>674.17</v>
      </c>
      <c r="O200" s="148">
        <v>13473.96</v>
      </c>
      <c r="P200" s="494"/>
      <c r="Q200" s="147">
        <f>ROUND(P200*N200,2)</f>
        <v>0</v>
      </c>
      <c r="R200" s="148"/>
      <c r="S200" s="148">
        <f>ROUND(R200*N200,2)</f>
        <v>0</v>
      </c>
      <c r="T200" s="148">
        <f t="shared" si="52"/>
        <v>19.986000000000001</v>
      </c>
      <c r="U200" s="148">
        <f t="shared" si="51"/>
        <v>13473.96</v>
      </c>
      <c r="V200" s="379"/>
      <c r="W200" s="379"/>
      <c r="X200" s="57">
        <f>'COMPOSIÇÃO DE CUSTOS'!G38</f>
        <v>477.22999999999996</v>
      </c>
      <c r="Y200" s="334">
        <v>561.45000000000005</v>
      </c>
      <c r="Z200" s="58">
        <f t="shared" si="55"/>
        <v>-84.217499999999973</v>
      </c>
      <c r="AA200" s="58">
        <f t="shared" si="56"/>
        <v>9537.9687450000019</v>
      </c>
      <c r="AB200" s="58"/>
      <c r="AC200" s="58">
        <f t="shared" si="57"/>
        <v>12095.127479999999</v>
      </c>
      <c r="AD200" s="58" t="e">
        <f>IF(B200&lt;&gt;0,VLOOKUP(B200,#REF!,2,FALSE),"")</f>
        <v>#REF!</v>
      </c>
      <c r="AE200" s="55">
        <v>226.971</v>
      </c>
      <c r="AF200" s="55">
        <f t="shared" si="72"/>
        <v>206.98500000000001</v>
      </c>
    </row>
    <row r="201" spans="1:32" s="55" customFormat="1" ht="90">
      <c r="A201" s="21" t="s">
        <v>814</v>
      </c>
      <c r="B201" s="20">
        <v>94275</v>
      </c>
      <c r="C201" s="19" t="s">
        <v>1570</v>
      </c>
      <c r="D201" s="21" t="s">
        <v>12</v>
      </c>
      <c r="E201" s="21" t="s">
        <v>52</v>
      </c>
      <c r="F201" s="22">
        <v>226.971</v>
      </c>
      <c r="G201" s="22">
        <f t="shared" si="54"/>
        <v>32.223499999999994</v>
      </c>
      <c r="H201" s="22">
        <f>ROUND(G201*(1+$X$13),2)</f>
        <v>40.86</v>
      </c>
      <c r="I201" s="147">
        <f>ROUND(H201*F201,2)</f>
        <v>9274.0400000000009</v>
      </c>
      <c r="J201" s="148"/>
      <c r="K201" s="148"/>
      <c r="L201" s="148"/>
      <c r="M201" s="148">
        <v>35.9</v>
      </c>
      <c r="N201" s="148">
        <v>45.52</v>
      </c>
      <c r="O201" s="148">
        <v>10331.719999999999</v>
      </c>
      <c r="P201" s="494"/>
      <c r="Q201" s="147">
        <f>ROUND(P201*N201,2)</f>
        <v>0</v>
      </c>
      <c r="R201" s="148"/>
      <c r="S201" s="148">
        <f>ROUND(R201*N201,2)</f>
        <v>0</v>
      </c>
      <c r="T201" s="148">
        <f t="shared" si="52"/>
        <v>226.971</v>
      </c>
      <c r="U201" s="148">
        <f t="shared" si="51"/>
        <v>10331.719999999999</v>
      </c>
      <c r="V201" s="379"/>
      <c r="W201" s="379"/>
      <c r="X201" s="57" t="e">
        <f>IF(B201&lt;&gt;0,VLOOKUP(B201,#REF!,4,FALSE),"")</f>
        <v>#REF!</v>
      </c>
      <c r="Y201" s="334" t="s">
        <v>3158</v>
      </c>
      <c r="Z201" s="58">
        <f t="shared" si="55"/>
        <v>-5.6865000000000023</v>
      </c>
      <c r="AA201" s="58">
        <f t="shared" si="56"/>
        <v>7313.8000184999992</v>
      </c>
      <c r="AB201" s="58"/>
      <c r="AC201" s="58">
        <f t="shared" si="57"/>
        <v>9274.0350600000002</v>
      </c>
      <c r="AD201" s="58" t="e">
        <f>IF(B201&lt;&gt;0,VLOOKUP(B201,#REF!,2,FALSE),"")</f>
        <v>#REF!</v>
      </c>
      <c r="AE201" s="55">
        <v>386.68</v>
      </c>
      <c r="AF201" s="55">
        <f t="shared" si="72"/>
        <v>159.709</v>
      </c>
    </row>
    <row r="202" spans="1:32" s="38" customFormat="1" ht="60">
      <c r="A202" s="21" t="s">
        <v>815</v>
      </c>
      <c r="B202" s="20">
        <v>73465</v>
      </c>
      <c r="C202" s="19" t="s">
        <v>112</v>
      </c>
      <c r="D202" s="21" t="s">
        <v>1914</v>
      </c>
      <c r="E202" s="21" t="s">
        <v>26</v>
      </c>
      <c r="F202" s="22">
        <v>386.68</v>
      </c>
      <c r="G202" s="22">
        <f t="shared" si="54"/>
        <v>27.412500000000001</v>
      </c>
      <c r="H202" s="22">
        <f>ROUND(G202*(1+$X$13),2)</f>
        <v>34.76</v>
      </c>
      <c r="I202" s="147">
        <f>ROUND(H202*F202,2)</f>
        <v>13441</v>
      </c>
      <c r="J202" s="148"/>
      <c r="K202" s="148"/>
      <c r="L202" s="148"/>
      <c r="M202" s="148">
        <v>33.229999999999997</v>
      </c>
      <c r="N202" s="148">
        <v>42.14</v>
      </c>
      <c r="O202" s="148">
        <v>16294.7</v>
      </c>
      <c r="P202" s="494"/>
      <c r="Q202" s="147">
        <f>ROUND(P202*N202,2)</f>
        <v>0</v>
      </c>
      <c r="R202" s="148"/>
      <c r="S202" s="148">
        <f>ROUND(R202*N202,2)</f>
        <v>0</v>
      </c>
      <c r="T202" s="148">
        <f t="shared" si="52"/>
        <v>386.68</v>
      </c>
      <c r="U202" s="148">
        <f t="shared" si="51"/>
        <v>16294.7</v>
      </c>
      <c r="V202" s="379"/>
      <c r="W202" s="379"/>
      <c r="X202" s="57">
        <f>'COMPOSIÇÃO DE CUSTOS'!G449</f>
        <v>27.41</v>
      </c>
      <c r="Y202" s="334">
        <v>32.25</v>
      </c>
      <c r="Z202" s="58">
        <f t="shared" si="55"/>
        <v>-4.8374999999999986</v>
      </c>
      <c r="AA202" s="58">
        <f t="shared" si="56"/>
        <v>10599.8655</v>
      </c>
      <c r="AB202" s="58"/>
      <c r="AC202" s="58">
        <f t="shared" si="57"/>
        <v>13440.996799999999</v>
      </c>
      <c r="AD202" s="58" t="e">
        <f>IF(B202&lt;&gt;0,VLOOKUP(B202,#REF!,2,FALSE),"")</f>
        <v>#REF!</v>
      </c>
      <c r="AE202" s="38">
        <v>258.07</v>
      </c>
      <c r="AF202" s="55">
        <f t="shared" si="72"/>
        <v>-128.61000000000001</v>
      </c>
    </row>
    <row r="203" spans="1:32" s="23" customFormat="1" ht="75">
      <c r="A203" s="21" t="s">
        <v>816</v>
      </c>
      <c r="B203" s="20" t="s">
        <v>2086</v>
      </c>
      <c r="C203" s="19" t="s">
        <v>113</v>
      </c>
      <c r="D203" s="21" t="s">
        <v>70</v>
      </c>
      <c r="E203" s="21" t="s">
        <v>26</v>
      </c>
      <c r="F203" s="22">
        <v>258.07</v>
      </c>
      <c r="G203" s="22">
        <f t="shared" si="54"/>
        <v>311.75450000000001</v>
      </c>
      <c r="H203" s="22">
        <f>ROUND(G203*(1+$X$13),2)</f>
        <v>395.34</v>
      </c>
      <c r="I203" s="147">
        <f>ROUND(H203*F203,2)</f>
        <v>102025.39</v>
      </c>
      <c r="J203" s="148"/>
      <c r="K203" s="148"/>
      <c r="L203" s="148"/>
      <c r="M203" s="148">
        <v>370.67</v>
      </c>
      <c r="N203" s="148">
        <v>470.05</v>
      </c>
      <c r="O203" s="148">
        <v>121305.8</v>
      </c>
      <c r="P203" s="494"/>
      <c r="Q203" s="147">
        <f>ROUND(P203*N203,2)</f>
        <v>0</v>
      </c>
      <c r="R203" s="148"/>
      <c r="S203" s="148">
        <f>ROUND(R203*N203,2)</f>
        <v>0</v>
      </c>
      <c r="T203" s="148">
        <f t="shared" si="52"/>
        <v>258.07</v>
      </c>
      <c r="U203" s="148">
        <f t="shared" si="51"/>
        <v>121305.8</v>
      </c>
      <c r="V203" s="379"/>
      <c r="W203" s="379"/>
      <c r="X203" s="57">
        <f>'COMPOSIÇÃO DE CUSTOS'!G460</f>
        <v>311.76</v>
      </c>
      <c r="Y203" s="334">
        <v>366.77</v>
      </c>
      <c r="Z203" s="58">
        <f t="shared" si="55"/>
        <v>-55.015499999999975</v>
      </c>
      <c r="AA203" s="58">
        <f t="shared" si="56"/>
        <v>80454.483815</v>
      </c>
      <c r="AB203" s="58"/>
      <c r="AC203" s="58">
        <f t="shared" si="57"/>
        <v>102025.39379999999</v>
      </c>
      <c r="AD203" s="58" t="e">
        <f>IF(B203&lt;&gt;0,VLOOKUP(B203,#REF!,2,FALSE),"")</f>
        <v>#REF!</v>
      </c>
      <c r="AF203" s="55">
        <f t="shared" si="72"/>
        <v>-258.07</v>
      </c>
    </row>
    <row r="204" spans="1:32" ht="27" customHeight="1">
      <c r="A204" s="21"/>
      <c r="B204" s="20"/>
      <c r="C204" s="19"/>
      <c r="D204" s="21"/>
      <c r="E204" s="21"/>
      <c r="F204" s="22"/>
      <c r="G204" s="22"/>
      <c r="H204" s="22"/>
      <c r="I204" s="147"/>
      <c r="J204" s="148"/>
      <c r="K204" s="148"/>
      <c r="L204" s="148"/>
      <c r="M204" s="148"/>
      <c r="N204" s="148"/>
      <c r="O204" s="148"/>
      <c r="P204" s="494"/>
      <c r="Q204" s="147"/>
      <c r="R204" s="148"/>
      <c r="S204" s="148"/>
      <c r="T204" s="148" t="str">
        <f t="shared" si="52"/>
        <v xml:space="preserve"> </v>
      </c>
      <c r="U204" s="148"/>
      <c r="V204" s="379"/>
      <c r="W204" s="379"/>
      <c r="X204" s="58" t="str">
        <f>IF(B204&lt;&gt;0,VLOOKUP(B204,#REF!,4,FALSE),"")</f>
        <v/>
      </c>
      <c r="Y204" s="334" t="s">
        <v>1891</v>
      </c>
      <c r="Z204" s="58"/>
      <c r="AA204" s="58">
        <f t="shared" si="56"/>
        <v>0</v>
      </c>
      <c r="AB204" s="58"/>
      <c r="AC204" s="58">
        <f t="shared" si="57"/>
        <v>0</v>
      </c>
      <c r="AD204" s="58" t="str">
        <f>IF(B204&lt;&gt;0,VLOOKUP(B204,#REF!,2,FALSE),"")</f>
        <v/>
      </c>
      <c r="AF204" s="55">
        <f t="shared" si="72"/>
        <v>0</v>
      </c>
    </row>
    <row r="205" spans="1:32" s="38" customFormat="1">
      <c r="A205" s="69" t="s">
        <v>817</v>
      </c>
      <c r="B205" s="129"/>
      <c r="C205" s="229" t="s">
        <v>114</v>
      </c>
      <c r="D205" s="230"/>
      <c r="E205" s="230"/>
      <c r="F205" s="230"/>
      <c r="G205" s="22"/>
      <c r="H205" s="230"/>
      <c r="I205" s="445">
        <f>ROUND(I206+I368+I405+I887,2)</f>
        <v>2521593.89</v>
      </c>
      <c r="J205" s="440"/>
      <c r="K205" s="440"/>
      <c r="L205" s="440"/>
      <c r="M205" s="440"/>
      <c r="N205" s="440"/>
      <c r="O205" s="440">
        <v>2829539.34</v>
      </c>
      <c r="P205" s="492"/>
      <c r="Q205" s="445">
        <f>ROUND(Q206+Q368+Q405+Q887,2)</f>
        <v>488313.37</v>
      </c>
      <c r="R205" s="440"/>
      <c r="S205" s="440">
        <f>ROUND(S206+S368+S405+S887,2)</f>
        <v>481363.41</v>
      </c>
      <c r="T205" s="148" t="str">
        <f t="shared" si="52"/>
        <v xml:space="preserve"> </v>
      </c>
      <c r="U205" s="440">
        <f t="shared" si="51"/>
        <v>2836489.3</v>
      </c>
      <c r="V205" s="330"/>
      <c r="W205" s="330"/>
      <c r="X205" s="58" t="str">
        <f>IF(B205&lt;&gt;0,VLOOKUP(B205,#REF!,4,FALSE),"")</f>
        <v/>
      </c>
      <c r="Y205" s="334" t="s">
        <v>1891</v>
      </c>
      <c r="Z205" s="58"/>
      <c r="AA205" s="58">
        <f t="shared" si="56"/>
        <v>0</v>
      </c>
      <c r="AB205" s="58"/>
      <c r="AC205" s="58">
        <f t="shared" si="57"/>
        <v>0</v>
      </c>
      <c r="AD205" s="58" t="str">
        <f>IF(B205&lt;&gt;0,VLOOKUP(B205,#REF!,2,FALSE),"")</f>
        <v/>
      </c>
      <c r="AF205" s="55">
        <f t="shared" si="72"/>
        <v>0</v>
      </c>
    </row>
    <row r="206" spans="1:32">
      <c r="A206" s="69" t="s">
        <v>818</v>
      </c>
      <c r="B206" s="129"/>
      <c r="C206" s="229" t="s">
        <v>115</v>
      </c>
      <c r="D206" s="230"/>
      <c r="E206" s="230"/>
      <c r="F206" s="230"/>
      <c r="G206" s="22"/>
      <c r="H206" s="230"/>
      <c r="I206" s="445">
        <f>SUM(I209:I366)</f>
        <v>333930.67</v>
      </c>
      <c r="J206" s="440"/>
      <c r="K206" s="440"/>
      <c r="L206" s="440"/>
      <c r="M206" s="440"/>
      <c r="N206" s="440"/>
      <c r="O206" s="440">
        <v>359600.52000000008</v>
      </c>
      <c r="P206" s="492"/>
      <c r="Q206" s="445">
        <f>SUM(Q209:Q366)</f>
        <v>31068.680000000004</v>
      </c>
      <c r="R206" s="440"/>
      <c r="S206" s="440">
        <f>SUM(S209:S366)</f>
        <v>0</v>
      </c>
      <c r="T206" s="148" t="str">
        <f t="shared" si="52"/>
        <v xml:space="preserve"> </v>
      </c>
      <c r="U206" s="440">
        <f t="shared" si="51"/>
        <v>390669.20000000007</v>
      </c>
      <c r="V206" s="330"/>
      <c r="W206" s="330"/>
      <c r="X206" s="58" t="str">
        <f>IF(B206&lt;&gt;0,VLOOKUP(B206,#REF!,4,FALSE),"")</f>
        <v/>
      </c>
      <c r="Y206" s="334" t="s">
        <v>1891</v>
      </c>
      <c r="Z206" s="58"/>
      <c r="AA206" s="58">
        <f t="shared" si="56"/>
        <v>0</v>
      </c>
      <c r="AB206" s="58"/>
      <c r="AC206" s="58">
        <f t="shared" si="57"/>
        <v>0</v>
      </c>
      <c r="AD206" s="58" t="str">
        <f>IF(B206&lt;&gt;0,VLOOKUP(B206,#REF!,2,FALSE),"")</f>
        <v/>
      </c>
      <c r="AF206" s="55">
        <f t="shared" si="72"/>
        <v>0</v>
      </c>
    </row>
    <row r="207" spans="1:32" s="55" customFormat="1">
      <c r="A207" s="69" t="s">
        <v>819</v>
      </c>
      <c r="B207" s="129"/>
      <c r="C207" s="229" t="s">
        <v>116</v>
      </c>
      <c r="D207" s="230"/>
      <c r="E207" s="230"/>
      <c r="F207" s="230"/>
      <c r="G207" s="22"/>
      <c r="H207" s="230"/>
      <c r="I207" s="445"/>
      <c r="J207" s="440"/>
      <c r="K207" s="440"/>
      <c r="L207" s="440"/>
      <c r="M207" s="440"/>
      <c r="N207" s="440"/>
      <c r="O207" s="440"/>
      <c r="P207" s="492"/>
      <c r="Q207" s="445"/>
      <c r="R207" s="440"/>
      <c r="S207" s="440"/>
      <c r="T207" s="148" t="str">
        <f t="shared" si="52"/>
        <v xml:space="preserve"> </v>
      </c>
      <c r="U207" s="148"/>
      <c r="V207" s="330"/>
      <c r="W207" s="330"/>
      <c r="X207" s="58" t="str">
        <f>IF(B207&lt;&gt;0,VLOOKUP(B207,#REF!,4,FALSE),"")</f>
        <v/>
      </c>
      <c r="Y207" s="334" t="s">
        <v>1891</v>
      </c>
      <c r="Z207" s="58"/>
      <c r="AA207" s="58">
        <f t="shared" si="56"/>
        <v>0</v>
      </c>
      <c r="AB207" s="58"/>
      <c r="AC207" s="58">
        <f t="shared" si="57"/>
        <v>0</v>
      </c>
      <c r="AD207" s="58" t="str">
        <f>IF(B207&lt;&gt;0,VLOOKUP(B207,#REF!,2,FALSE),"")</f>
        <v/>
      </c>
      <c r="AF207" s="55">
        <f t="shared" si="72"/>
        <v>0</v>
      </c>
    </row>
    <row r="208" spans="1:32" s="55" customFormat="1">
      <c r="A208" s="69" t="s">
        <v>820</v>
      </c>
      <c r="B208" s="129"/>
      <c r="C208" s="229" t="s">
        <v>117</v>
      </c>
      <c r="D208" s="230"/>
      <c r="E208" s="230"/>
      <c r="F208" s="230"/>
      <c r="G208" s="22"/>
      <c r="H208" s="230"/>
      <c r="I208" s="445"/>
      <c r="J208" s="440"/>
      <c r="K208" s="440"/>
      <c r="L208" s="440"/>
      <c r="M208" s="440"/>
      <c r="N208" s="440"/>
      <c r="O208" s="440"/>
      <c r="P208" s="492"/>
      <c r="Q208" s="445"/>
      <c r="R208" s="440"/>
      <c r="S208" s="440"/>
      <c r="T208" s="148" t="str">
        <f t="shared" si="52"/>
        <v xml:space="preserve"> </v>
      </c>
      <c r="U208" s="148"/>
      <c r="V208" s="330"/>
      <c r="W208" s="330"/>
      <c r="X208" s="58" t="str">
        <f>IF(B208&lt;&gt;0,VLOOKUP(B208,#REF!,4,FALSE),"")</f>
        <v/>
      </c>
      <c r="Y208" s="334" t="s">
        <v>1891</v>
      </c>
      <c r="Z208" s="58"/>
      <c r="AA208" s="58">
        <f t="shared" si="56"/>
        <v>0</v>
      </c>
      <c r="AB208" s="58"/>
      <c r="AC208" s="58">
        <f t="shared" si="57"/>
        <v>0</v>
      </c>
      <c r="AD208" s="58" t="str">
        <f>IF(B208&lt;&gt;0,VLOOKUP(B208,#REF!,2,FALSE),"")</f>
        <v/>
      </c>
      <c r="AE208" s="55">
        <v>26</v>
      </c>
      <c r="AF208" s="55">
        <f t="shared" si="72"/>
        <v>26</v>
      </c>
    </row>
    <row r="209" spans="1:32" s="55" customFormat="1">
      <c r="A209" s="21" t="s">
        <v>821</v>
      </c>
      <c r="B209" s="20" t="s">
        <v>2087</v>
      </c>
      <c r="C209" s="19" t="s">
        <v>118</v>
      </c>
      <c r="D209" s="21" t="s">
        <v>70</v>
      </c>
      <c r="E209" s="21" t="s">
        <v>17</v>
      </c>
      <c r="F209" s="22">
        <v>26</v>
      </c>
      <c r="G209" s="22">
        <f t="shared" si="54"/>
        <v>4.2330000000000005</v>
      </c>
      <c r="H209" s="22">
        <f t="shared" ref="H209:H242" si="73">ROUND(G209*(1+$X$13),2)</f>
        <v>5.37</v>
      </c>
      <c r="I209" s="147">
        <f t="shared" ref="I209:I242" si="74">ROUND(H209*F209,2)</f>
        <v>139.62</v>
      </c>
      <c r="J209" s="148"/>
      <c r="K209" s="148"/>
      <c r="L209" s="148"/>
      <c r="M209" s="148">
        <v>4.72</v>
      </c>
      <c r="N209" s="148">
        <v>5.99</v>
      </c>
      <c r="O209" s="148">
        <v>155.74</v>
      </c>
      <c r="P209" s="494"/>
      <c r="Q209" s="147">
        <f>ROUND(P209*N209,2)</f>
        <v>0</v>
      </c>
      <c r="R209" s="148"/>
      <c r="S209" s="148">
        <f>ROUND(R209*N209,2)</f>
        <v>0</v>
      </c>
      <c r="T209" s="148">
        <f t="shared" si="52"/>
        <v>26</v>
      </c>
      <c r="U209" s="148">
        <f t="shared" si="51"/>
        <v>155.74</v>
      </c>
      <c r="V209" s="379"/>
      <c r="W209" s="379"/>
      <c r="X209" s="57">
        <f>'COMPOSIÇÃO DE CUSTOS'!G469</f>
        <v>4.21</v>
      </c>
      <c r="Y209" s="334">
        <v>4.9800000000000004</v>
      </c>
      <c r="Z209" s="58">
        <f t="shared" si="55"/>
        <v>-0.74699999999999989</v>
      </c>
      <c r="AA209" s="58">
        <f t="shared" si="56"/>
        <v>110.05800000000002</v>
      </c>
      <c r="AB209" s="58"/>
      <c r="AC209" s="58">
        <f t="shared" si="57"/>
        <v>139.62</v>
      </c>
      <c r="AD209" s="58" t="e">
        <f>IF(B209&lt;&gt;0,VLOOKUP(B209,#REF!,2,FALSE),"")</f>
        <v>#REF!</v>
      </c>
      <c r="AE209" s="55">
        <v>6</v>
      </c>
      <c r="AF209" s="55">
        <f t="shared" si="72"/>
        <v>-20</v>
      </c>
    </row>
    <row r="210" spans="1:32" s="55" customFormat="1">
      <c r="A210" s="21" t="s">
        <v>822</v>
      </c>
      <c r="B210" s="20" t="s">
        <v>2088</v>
      </c>
      <c r="C210" s="19" t="s">
        <v>119</v>
      </c>
      <c r="D210" s="21" t="s">
        <v>70</v>
      </c>
      <c r="E210" s="21" t="s">
        <v>17</v>
      </c>
      <c r="F210" s="22">
        <v>6</v>
      </c>
      <c r="G210" s="22">
        <f t="shared" si="54"/>
        <v>10.7865</v>
      </c>
      <c r="H210" s="22">
        <f t="shared" si="73"/>
        <v>13.68</v>
      </c>
      <c r="I210" s="147">
        <f t="shared" si="74"/>
        <v>82.08</v>
      </c>
      <c r="J210" s="148"/>
      <c r="K210" s="148"/>
      <c r="L210" s="148"/>
      <c r="M210" s="148">
        <v>12.02</v>
      </c>
      <c r="N210" s="148">
        <v>15.24</v>
      </c>
      <c r="O210" s="148">
        <v>91.44</v>
      </c>
      <c r="P210" s="494"/>
      <c r="Q210" s="147">
        <f t="shared" ref="Q210:Q273" si="75">ROUND(P210*N210,2)</f>
        <v>0</v>
      </c>
      <c r="R210" s="148"/>
      <c r="S210" s="148">
        <f t="shared" ref="S210:S273" si="76">ROUND(R210*N210,2)</f>
        <v>0</v>
      </c>
      <c r="T210" s="148">
        <f t="shared" si="52"/>
        <v>6</v>
      </c>
      <c r="U210" s="148">
        <f t="shared" si="51"/>
        <v>91.44</v>
      </c>
      <c r="V210" s="379"/>
      <c r="W210" s="379"/>
      <c r="X210" s="57">
        <f>'COMPOSIÇÃO DE CUSTOS'!G478</f>
        <v>10.78</v>
      </c>
      <c r="Y210" s="334">
        <v>12.69</v>
      </c>
      <c r="Z210" s="58">
        <f t="shared" si="55"/>
        <v>-1.9034999999999993</v>
      </c>
      <c r="AA210" s="58">
        <f t="shared" si="56"/>
        <v>64.718999999999994</v>
      </c>
      <c r="AB210" s="58"/>
      <c r="AC210" s="58">
        <f t="shared" si="57"/>
        <v>82.08</v>
      </c>
      <c r="AD210" s="58" t="e">
        <f>IF(B210&lt;&gt;0,VLOOKUP(B210,#REF!,2,FALSE),"")</f>
        <v>#REF!</v>
      </c>
      <c r="AE210" s="55">
        <v>3</v>
      </c>
      <c r="AF210" s="55">
        <f t="shared" si="72"/>
        <v>-3</v>
      </c>
    </row>
    <row r="211" spans="1:32" ht="36" customHeight="1">
      <c r="A211" s="21" t="s">
        <v>823</v>
      </c>
      <c r="B211" s="20" t="s">
        <v>2089</v>
      </c>
      <c r="C211" s="19" t="s">
        <v>120</v>
      </c>
      <c r="D211" s="21" t="s">
        <v>70</v>
      </c>
      <c r="E211" s="21" t="s">
        <v>17</v>
      </c>
      <c r="F211" s="22">
        <v>3</v>
      </c>
      <c r="G211" s="22">
        <f t="shared" si="54"/>
        <v>15.928999999999998</v>
      </c>
      <c r="H211" s="22">
        <f t="shared" si="73"/>
        <v>20.2</v>
      </c>
      <c r="I211" s="147">
        <f t="shared" si="74"/>
        <v>60.6</v>
      </c>
      <c r="J211" s="148"/>
      <c r="K211" s="148"/>
      <c r="L211" s="148"/>
      <c r="M211" s="148">
        <v>17.75</v>
      </c>
      <c r="N211" s="148">
        <v>22.51</v>
      </c>
      <c r="O211" s="148">
        <v>67.53</v>
      </c>
      <c r="P211" s="494"/>
      <c r="Q211" s="147">
        <f t="shared" si="75"/>
        <v>0</v>
      </c>
      <c r="R211" s="148"/>
      <c r="S211" s="148">
        <f t="shared" si="76"/>
        <v>0</v>
      </c>
      <c r="T211" s="148">
        <f t="shared" si="52"/>
        <v>3</v>
      </c>
      <c r="U211" s="148">
        <f t="shared" si="51"/>
        <v>67.53</v>
      </c>
      <c r="V211" s="379"/>
      <c r="W211" s="379"/>
      <c r="X211" s="57">
        <f>'COMPOSIÇÃO DE CUSTOS'!G487</f>
        <v>15.92</v>
      </c>
      <c r="Y211" s="334">
        <v>18.739999999999998</v>
      </c>
      <c r="Z211" s="58">
        <f t="shared" si="55"/>
        <v>-2.8109999999999999</v>
      </c>
      <c r="AA211" s="58">
        <f t="shared" si="56"/>
        <v>47.786999999999992</v>
      </c>
      <c r="AB211" s="58"/>
      <c r="AC211" s="58">
        <f t="shared" si="57"/>
        <v>60.599999999999994</v>
      </c>
      <c r="AD211" s="58" t="e">
        <f>IF(B211&lt;&gt;0,VLOOKUP(B211,#REF!,2,FALSE),"")</f>
        <v>#REF!</v>
      </c>
      <c r="AE211" s="2">
        <v>9</v>
      </c>
      <c r="AF211" s="55">
        <f t="shared" si="72"/>
        <v>6</v>
      </c>
    </row>
    <row r="212" spans="1:32" s="38" customFormat="1" ht="53.25" customHeight="1">
      <c r="A212" s="21" t="s">
        <v>824</v>
      </c>
      <c r="B212" s="20">
        <v>89491</v>
      </c>
      <c r="C212" s="19" t="s">
        <v>1571</v>
      </c>
      <c r="D212" s="21" t="s">
        <v>12</v>
      </c>
      <c r="E212" s="21" t="s">
        <v>17</v>
      </c>
      <c r="F212" s="22">
        <v>9</v>
      </c>
      <c r="G212" s="22">
        <f t="shared" si="54"/>
        <v>37.910000000000004</v>
      </c>
      <c r="H212" s="22">
        <f t="shared" si="73"/>
        <v>48.07</v>
      </c>
      <c r="I212" s="147">
        <f t="shared" si="74"/>
        <v>432.63</v>
      </c>
      <c r="J212" s="148"/>
      <c r="K212" s="148"/>
      <c r="L212" s="148"/>
      <c r="M212" s="148">
        <v>42.23</v>
      </c>
      <c r="N212" s="148">
        <v>53.55</v>
      </c>
      <c r="O212" s="148">
        <v>481.95</v>
      </c>
      <c r="P212" s="494"/>
      <c r="Q212" s="147">
        <f t="shared" si="75"/>
        <v>0</v>
      </c>
      <c r="R212" s="148"/>
      <c r="S212" s="148">
        <f t="shared" si="76"/>
        <v>0</v>
      </c>
      <c r="T212" s="148">
        <f t="shared" si="52"/>
        <v>9</v>
      </c>
      <c r="U212" s="148">
        <f t="shared" si="51"/>
        <v>481.95</v>
      </c>
      <c r="V212" s="379"/>
      <c r="W212" s="379"/>
      <c r="X212" s="58" t="e">
        <f>IF(B212&lt;&gt;0,VLOOKUP(B212,#REF!,4,FALSE),"")</f>
        <v>#REF!</v>
      </c>
      <c r="Y212" s="334" t="s">
        <v>3290</v>
      </c>
      <c r="Z212" s="58">
        <f t="shared" si="55"/>
        <v>-6.6899999999999977</v>
      </c>
      <c r="AA212" s="58">
        <f t="shared" si="56"/>
        <v>341.19000000000005</v>
      </c>
      <c r="AB212" s="58"/>
      <c r="AC212" s="58">
        <f t="shared" si="57"/>
        <v>432.63</v>
      </c>
      <c r="AD212" s="58" t="e">
        <f>IF(B212&lt;&gt;0,VLOOKUP(B212,#REF!,2,FALSE),"")</f>
        <v>#REF!</v>
      </c>
      <c r="AE212" s="38">
        <v>18</v>
      </c>
      <c r="AF212" s="55">
        <f t="shared" si="72"/>
        <v>9</v>
      </c>
    </row>
    <row r="213" spans="1:32" s="23" customFormat="1" ht="45">
      <c r="A213" s="21" t="s">
        <v>825</v>
      </c>
      <c r="B213" s="20">
        <v>89482</v>
      </c>
      <c r="C213" s="19" t="s">
        <v>1572</v>
      </c>
      <c r="D213" s="21" t="s">
        <v>12</v>
      </c>
      <c r="E213" s="21" t="s">
        <v>17</v>
      </c>
      <c r="F213" s="22">
        <v>18</v>
      </c>
      <c r="G213" s="22">
        <f t="shared" si="54"/>
        <v>15.988499999999998</v>
      </c>
      <c r="H213" s="22">
        <f t="shared" si="73"/>
        <v>20.28</v>
      </c>
      <c r="I213" s="147">
        <f t="shared" si="74"/>
        <v>365.04</v>
      </c>
      <c r="J213" s="148"/>
      <c r="K213" s="148"/>
      <c r="L213" s="148"/>
      <c r="M213" s="148">
        <v>17.809999999999999</v>
      </c>
      <c r="N213" s="148">
        <v>22.58</v>
      </c>
      <c r="O213" s="148">
        <v>406.44</v>
      </c>
      <c r="P213" s="494"/>
      <c r="Q213" s="147">
        <f t="shared" si="75"/>
        <v>0</v>
      </c>
      <c r="R213" s="148"/>
      <c r="S213" s="148">
        <f t="shared" si="76"/>
        <v>0</v>
      </c>
      <c r="T213" s="148">
        <f t="shared" si="52"/>
        <v>18</v>
      </c>
      <c r="U213" s="148">
        <f t="shared" si="51"/>
        <v>406.44</v>
      </c>
      <c r="V213" s="379"/>
      <c r="W213" s="379"/>
      <c r="X213" s="58" t="e">
        <f>IF(B213&lt;&gt;0,VLOOKUP(B213,#REF!,4,FALSE),"")</f>
        <v>#REF!</v>
      </c>
      <c r="Y213" s="334" t="s">
        <v>1889</v>
      </c>
      <c r="Z213" s="58">
        <f t="shared" si="55"/>
        <v>-2.8215000000000003</v>
      </c>
      <c r="AA213" s="58">
        <f t="shared" si="56"/>
        <v>287.79299999999995</v>
      </c>
      <c r="AB213" s="58"/>
      <c r="AC213" s="58">
        <f t="shared" si="57"/>
        <v>365.04</v>
      </c>
      <c r="AD213" s="58" t="e">
        <f>IF(B213&lt;&gt;0,VLOOKUP(B213,#REF!,2,FALSE),"")</f>
        <v>#REF!</v>
      </c>
      <c r="AE213" s="23">
        <v>2</v>
      </c>
      <c r="AF213" s="55">
        <f t="shared" si="72"/>
        <v>-16</v>
      </c>
    </row>
    <row r="214" spans="1:32" s="23" customFormat="1" ht="60">
      <c r="A214" s="21" t="s">
        <v>826</v>
      </c>
      <c r="B214" s="20">
        <v>89710</v>
      </c>
      <c r="C214" s="19" t="s">
        <v>1573</v>
      </c>
      <c r="D214" s="21" t="s">
        <v>12</v>
      </c>
      <c r="E214" s="21" t="s">
        <v>17</v>
      </c>
      <c r="F214" s="22">
        <v>2</v>
      </c>
      <c r="G214" s="22">
        <f t="shared" si="54"/>
        <v>6.7915000000000001</v>
      </c>
      <c r="H214" s="22">
        <f t="shared" si="73"/>
        <v>8.61</v>
      </c>
      <c r="I214" s="147">
        <f t="shared" si="74"/>
        <v>17.22</v>
      </c>
      <c r="J214" s="148"/>
      <c r="K214" s="148"/>
      <c r="L214" s="148"/>
      <c r="M214" s="148">
        <v>7.57</v>
      </c>
      <c r="N214" s="148">
        <v>9.6</v>
      </c>
      <c r="O214" s="148">
        <v>19.2</v>
      </c>
      <c r="P214" s="494"/>
      <c r="Q214" s="147">
        <f t="shared" si="75"/>
        <v>0</v>
      </c>
      <c r="R214" s="148"/>
      <c r="S214" s="148">
        <f t="shared" si="76"/>
        <v>0</v>
      </c>
      <c r="T214" s="148">
        <f t="shared" si="52"/>
        <v>2</v>
      </c>
      <c r="U214" s="148">
        <f t="shared" si="51"/>
        <v>19.2</v>
      </c>
      <c r="V214" s="379"/>
      <c r="W214" s="379"/>
      <c r="X214" s="58" t="e">
        <f>IF(B214&lt;&gt;0,VLOOKUP(B214,#REF!,4,FALSE),"")</f>
        <v>#REF!</v>
      </c>
      <c r="Y214" s="334" t="s">
        <v>3291</v>
      </c>
      <c r="Z214" s="58">
        <f t="shared" si="55"/>
        <v>-1.1985000000000001</v>
      </c>
      <c r="AA214" s="58">
        <f t="shared" si="56"/>
        <v>13.583</v>
      </c>
      <c r="AB214" s="58"/>
      <c r="AC214" s="58">
        <f t="shared" si="57"/>
        <v>17.22</v>
      </c>
      <c r="AD214" s="58" t="e">
        <f>IF(B214&lt;&gt;0,VLOOKUP(B214,#REF!,2,FALSE),"")</f>
        <v>#REF!</v>
      </c>
      <c r="AE214" s="23">
        <v>1162</v>
      </c>
      <c r="AF214" s="55">
        <f t="shared" si="72"/>
        <v>1160</v>
      </c>
    </row>
    <row r="215" spans="1:32" s="23" customFormat="1" ht="45">
      <c r="A215" s="21" t="s">
        <v>827</v>
      </c>
      <c r="B215" s="20">
        <v>89356</v>
      </c>
      <c r="C215" s="19" t="s">
        <v>1574</v>
      </c>
      <c r="D215" s="21" t="s">
        <v>12</v>
      </c>
      <c r="E215" s="21" t="s">
        <v>52</v>
      </c>
      <c r="F215" s="22">
        <v>1162</v>
      </c>
      <c r="G215" s="22">
        <f t="shared" si="54"/>
        <v>13.506500000000001</v>
      </c>
      <c r="H215" s="22">
        <f t="shared" si="73"/>
        <v>17.13</v>
      </c>
      <c r="I215" s="147">
        <f t="shared" si="74"/>
        <v>19905.060000000001</v>
      </c>
      <c r="J215" s="148"/>
      <c r="K215" s="148"/>
      <c r="L215" s="148"/>
      <c r="M215" s="148">
        <v>15.17</v>
      </c>
      <c r="N215" s="148">
        <v>19.239999999999998</v>
      </c>
      <c r="O215" s="148">
        <v>22356.880000000001</v>
      </c>
      <c r="P215" s="494"/>
      <c r="Q215" s="147">
        <f t="shared" si="75"/>
        <v>0</v>
      </c>
      <c r="R215" s="148"/>
      <c r="S215" s="148">
        <f t="shared" si="76"/>
        <v>0</v>
      </c>
      <c r="T215" s="148">
        <f t="shared" si="52"/>
        <v>1162</v>
      </c>
      <c r="U215" s="148">
        <f t="shared" ref="U215:U278" si="77">L215+Q215-S215+O215</f>
        <v>22356.880000000001</v>
      </c>
      <c r="V215" s="379"/>
      <c r="W215" s="379"/>
      <c r="X215" s="58" t="e">
        <f>IF(B215&lt;&gt;0,VLOOKUP(B215,#REF!,4,FALSE),"")</f>
        <v>#REF!</v>
      </c>
      <c r="Y215" s="334" t="s">
        <v>1881</v>
      </c>
      <c r="Z215" s="58">
        <f t="shared" si="55"/>
        <v>-2.3834999999999997</v>
      </c>
      <c r="AA215" s="58">
        <f t="shared" si="56"/>
        <v>15694.553000000002</v>
      </c>
      <c r="AB215" s="58"/>
      <c r="AC215" s="58">
        <f t="shared" si="57"/>
        <v>19905.059999999998</v>
      </c>
      <c r="AD215" s="58" t="e">
        <f>IF(B215&lt;&gt;0,VLOOKUP(B215,#REF!,2,FALSE),"")</f>
        <v>#REF!</v>
      </c>
      <c r="AE215" s="23">
        <v>246</v>
      </c>
      <c r="AF215" s="55">
        <f t="shared" si="72"/>
        <v>-916</v>
      </c>
    </row>
    <row r="216" spans="1:32" s="55" customFormat="1" ht="45">
      <c r="A216" s="21" t="s">
        <v>828</v>
      </c>
      <c r="B216" s="20">
        <v>89357</v>
      </c>
      <c r="C216" s="19" t="s">
        <v>1575</v>
      </c>
      <c r="D216" s="21" t="s">
        <v>12</v>
      </c>
      <c r="E216" s="21" t="s">
        <v>52</v>
      </c>
      <c r="F216" s="22">
        <v>246</v>
      </c>
      <c r="G216" s="22">
        <f t="shared" si="54"/>
        <v>19.975000000000001</v>
      </c>
      <c r="H216" s="22">
        <f t="shared" si="73"/>
        <v>25.33</v>
      </c>
      <c r="I216" s="147">
        <f t="shared" si="74"/>
        <v>6231.18</v>
      </c>
      <c r="J216" s="148"/>
      <c r="K216" s="148"/>
      <c r="L216" s="148"/>
      <c r="M216" s="148">
        <v>22.25</v>
      </c>
      <c r="N216" s="148">
        <v>28.22</v>
      </c>
      <c r="O216" s="148">
        <v>6942.12</v>
      </c>
      <c r="P216" s="494"/>
      <c r="Q216" s="147">
        <f t="shared" si="75"/>
        <v>0</v>
      </c>
      <c r="R216" s="148"/>
      <c r="S216" s="148">
        <f t="shared" si="76"/>
        <v>0</v>
      </c>
      <c r="T216" s="148">
        <f t="shared" si="52"/>
        <v>246</v>
      </c>
      <c r="U216" s="148">
        <f t="shared" si="77"/>
        <v>6942.12</v>
      </c>
      <c r="V216" s="379"/>
      <c r="W216" s="379"/>
      <c r="X216" s="58" t="e">
        <f>IF(B216&lt;&gt;0,VLOOKUP(B216,#REF!,4,FALSE),"")</f>
        <v>#REF!</v>
      </c>
      <c r="Y216" s="334" t="s">
        <v>3266</v>
      </c>
      <c r="Z216" s="58">
        <f t="shared" si="55"/>
        <v>-3.5249999999999986</v>
      </c>
      <c r="AA216" s="58">
        <f t="shared" si="56"/>
        <v>4913.8500000000004</v>
      </c>
      <c r="AB216" s="58"/>
      <c r="AC216" s="58">
        <f t="shared" si="57"/>
        <v>6231.1799999999994</v>
      </c>
      <c r="AD216" s="58" t="e">
        <f>IF(B216&lt;&gt;0,VLOOKUP(B216,#REF!,2,FALSE),"")</f>
        <v>#REF!</v>
      </c>
      <c r="AE216" s="55">
        <v>486</v>
      </c>
      <c r="AF216" s="55">
        <f t="shared" si="72"/>
        <v>240</v>
      </c>
    </row>
    <row r="217" spans="1:32" s="55" customFormat="1" ht="45">
      <c r="A217" s="21" t="s">
        <v>829</v>
      </c>
      <c r="B217" s="20">
        <v>89448</v>
      </c>
      <c r="C217" s="19" t="s">
        <v>1576</v>
      </c>
      <c r="D217" s="21" t="s">
        <v>12</v>
      </c>
      <c r="E217" s="21" t="s">
        <v>52</v>
      </c>
      <c r="F217" s="22">
        <v>486</v>
      </c>
      <c r="G217" s="22">
        <f t="shared" si="54"/>
        <v>12.5885</v>
      </c>
      <c r="H217" s="22">
        <f t="shared" si="73"/>
        <v>15.96</v>
      </c>
      <c r="I217" s="147">
        <f t="shared" si="74"/>
        <v>7756.56</v>
      </c>
      <c r="J217" s="148"/>
      <c r="K217" s="148"/>
      <c r="L217" s="148"/>
      <c r="M217" s="148">
        <v>14.02</v>
      </c>
      <c r="N217" s="148">
        <v>17.78</v>
      </c>
      <c r="O217" s="148">
        <v>8641.08</v>
      </c>
      <c r="P217" s="494"/>
      <c r="Q217" s="147">
        <f t="shared" si="75"/>
        <v>0</v>
      </c>
      <c r="R217" s="148"/>
      <c r="S217" s="148">
        <f t="shared" si="76"/>
        <v>0</v>
      </c>
      <c r="T217" s="148">
        <f t="shared" ref="T217:T280" si="78">IF(F217&gt;0,F217+P217-R217," ")</f>
        <v>486</v>
      </c>
      <c r="U217" s="148">
        <f t="shared" si="77"/>
        <v>8641.08</v>
      </c>
      <c r="V217" s="379"/>
      <c r="W217" s="379"/>
      <c r="X217" s="58" t="e">
        <f>IF(B217&lt;&gt;0,VLOOKUP(B217,#REF!,4,FALSE),"")</f>
        <v>#REF!</v>
      </c>
      <c r="Y217" s="334" t="s">
        <v>3267</v>
      </c>
      <c r="Z217" s="58">
        <f t="shared" si="55"/>
        <v>-2.2215000000000007</v>
      </c>
      <c r="AA217" s="58">
        <f t="shared" si="56"/>
        <v>6118.0109999999995</v>
      </c>
      <c r="AB217" s="58"/>
      <c r="AC217" s="58">
        <f t="shared" si="57"/>
        <v>7756.56</v>
      </c>
      <c r="AD217" s="58" t="e">
        <f>IF(B217&lt;&gt;0,VLOOKUP(B217,#REF!,2,FALSE),"")</f>
        <v>#REF!</v>
      </c>
      <c r="AE217" s="55">
        <v>216</v>
      </c>
      <c r="AF217" s="55">
        <f t="shared" si="72"/>
        <v>-270</v>
      </c>
    </row>
    <row r="218" spans="1:32" ht="48.75" customHeight="1">
      <c r="A218" s="21" t="s">
        <v>830</v>
      </c>
      <c r="B218" s="20">
        <v>89449</v>
      </c>
      <c r="C218" s="19" t="s">
        <v>1577</v>
      </c>
      <c r="D218" s="21" t="s">
        <v>12</v>
      </c>
      <c r="E218" s="21" t="s">
        <v>52</v>
      </c>
      <c r="F218" s="22">
        <v>216</v>
      </c>
      <c r="G218" s="22">
        <f t="shared" si="54"/>
        <v>14.466999999999999</v>
      </c>
      <c r="H218" s="22">
        <f t="shared" si="73"/>
        <v>18.350000000000001</v>
      </c>
      <c r="I218" s="147">
        <f t="shared" si="74"/>
        <v>3963.6</v>
      </c>
      <c r="J218" s="148"/>
      <c r="K218" s="148"/>
      <c r="L218" s="148"/>
      <c r="M218" s="148">
        <v>16.12</v>
      </c>
      <c r="N218" s="148">
        <v>20.440000000000001</v>
      </c>
      <c r="O218" s="148">
        <v>4415.04</v>
      </c>
      <c r="P218" s="494"/>
      <c r="Q218" s="147">
        <f t="shared" si="75"/>
        <v>0</v>
      </c>
      <c r="R218" s="148"/>
      <c r="S218" s="148">
        <f t="shared" si="76"/>
        <v>0</v>
      </c>
      <c r="T218" s="148">
        <f t="shared" si="78"/>
        <v>216</v>
      </c>
      <c r="U218" s="148">
        <f t="shared" si="77"/>
        <v>4415.04</v>
      </c>
      <c r="V218" s="379"/>
      <c r="W218" s="379"/>
      <c r="X218" s="58" t="e">
        <f>IF(B218&lt;&gt;0,VLOOKUP(B218,#REF!,4,FALSE),"")</f>
        <v>#REF!</v>
      </c>
      <c r="Y218" s="334" t="s">
        <v>1860</v>
      </c>
      <c r="Z218" s="58">
        <f t="shared" si="55"/>
        <v>-2.5530000000000008</v>
      </c>
      <c r="AA218" s="58">
        <f t="shared" si="56"/>
        <v>3124.8719999999998</v>
      </c>
      <c r="AB218" s="58"/>
      <c r="AC218" s="58">
        <f t="shared" si="57"/>
        <v>3963.6000000000004</v>
      </c>
      <c r="AD218" s="58" t="e">
        <f>IF(B218&lt;&gt;0,VLOOKUP(B218,#REF!,2,FALSE),"")</f>
        <v>#REF!</v>
      </c>
      <c r="AE218" s="2">
        <v>216</v>
      </c>
      <c r="AF218" s="55">
        <f t="shared" si="72"/>
        <v>0</v>
      </c>
    </row>
    <row r="219" spans="1:32" s="38" customFormat="1" ht="45">
      <c r="A219" s="21" t="s">
        <v>831</v>
      </c>
      <c r="B219" s="20">
        <v>89451</v>
      </c>
      <c r="C219" s="19" t="s">
        <v>1578</v>
      </c>
      <c r="D219" s="21" t="s">
        <v>12</v>
      </c>
      <c r="E219" s="21" t="s">
        <v>52</v>
      </c>
      <c r="F219" s="22">
        <v>216</v>
      </c>
      <c r="G219" s="22">
        <f t="shared" si="54"/>
        <v>39.856499999999997</v>
      </c>
      <c r="H219" s="22">
        <f t="shared" si="73"/>
        <v>50.54</v>
      </c>
      <c r="I219" s="147">
        <f t="shared" si="74"/>
        <v>10916.64</v>
      </c>
      <c r="J219" s="148"/>
      <c r="K219" s="148"/>
      <c r="L219" s="148"/>
      <c r="M219" s="148">
        <v>44.4</v>
      </c>
      <c r="N219" s="148">
        <v>56.3</v>
      </c>
      <c r="O219" s="148">
        <v>12160.8</v>
      </c>
      <c r="P219" s="494"/>
      <c r="Q219" s="147">
        <f t="shared" si="75"/>
        <v>0</v>
      </c>
      <c r="R219" s="148"/>
      <c r="S219" s="148">
        <f t="shared" si="76"/>
        <v>0</v>
      </c>
      <c r="T219" s="148">
        <f t="shared" si="78"/>
        <v>216</v>
      </c>
      <c r="U219" s="148">
        <f t="shared" si="77"/>
        <v>12160.8</v>
      </c>
      <c r="V219" s="379"/>
      <c r="W219" s="379"/>
      <c r="X219" s="58" t="e">
        <f>IF(B219&lt;&gt;0,VLOOKUP(B219,#REF!,4,FALSE),"")</f>
        <v>#REF!</v>
      </c>
      <c r="Y219" s="334" t="s">
        <v>3268</v>
      </c>
      <c r="Z219" s="58">
        <f t="shared" si="55"/>
        <v>-7.0335000000000036</v>
      </c>
      <c r="AA219" s="58">
        <f t="shared" si="56"/>
        <v>8609.003999999999</v>
      </c>
      <c r="AB219" s="58"/>
      <c r="AC219" s="58">
        <f t="shared" si="57"/>
        <v>10916.64</v>
      </c>
      <c r="AD219" s="58" t="e">
        <f>IF(B219&lt;&gt;0,VLOOKUP(B219,#REF!,2,FALSE),"")</f>
        <v>#REF!</v>
      </c>
      <c r="AE219" s="38">
        <v>2</v>
      </c>
      <c r="AF219" s="55">
        <f t="shared" si="72"/>
        <v>-214</v>
      </c>
    </row>
    <row r="220" spans="1:32" s="38" customFormat="1" ht="39.75" customHeight="1">
      <c r="A220" s="21" t="s">
        <v>832</v>
      </c>
      <c r="B220" s="20">
        <v>11880</v>
      </c>
      <c r="C220" s="19" t="s">
        <v>121</v>
      </c>
      <c r="D220" s="21" t="s">
        <v>1914</v>
      </c>
      <c r="E220" s="21" t="s">
        <v>17</v>
      </c>
      <c r="F220" s="22">
        <v>2</v>
      </c>
      <c r="G220" s="22">
        <f t="shared" si="54"/>
        <v>63.605499999999999</v>
      </c>
      <c r="H220" s="22">
        <f t="shared" si="73"/>
        <v>80.66</v>
      </c>
      <c r="I220" s="147">
        <f t="shared" si="74"/>
        <v>161.32</v>
      </c>
      <c r="J220" s="148"/>
      <c r="K220" s="148"/>
      <c r="L220" s="148"/>
      <c r="M220" s="148">
        <v>70.86</v>
      </c>
      <c r="N220" s="148">
        <v>89.86</v>
      </c>
      <c r="O220" s="148">
        <v>179.72</v>
      </c>
      <c r="P220" s="494"/>
      <c r="Q220" s="147">
        <f t="shared" si="75"/>
        <v>0</v>
      </c>
      <c r="R220" s="148"/>
      <c r="S220" s="148">
        <f t="shared" si="76"/>
        <v>0</v>
      </c>
      <c r="T220" s="148">
        <f t="shared" si="78"/>
        <v>2</v>
      </c>
      <c r="U220" s="148">
        <f t="shared" si="77"/>
        <v>179.72</v>
      </c>
      <c r="V220" s="379"/>
      <c r="W220" s="379"/>
      <c r="X220" s="57">
        <f>'COMPOSIÇÃO DE CUSTOS'!G500</f>
        <v>63.61</v>
      </c>
      <c r="Y220" s="334">
        <v>74.83</v>
      </c>
      <c r="Z220" s="58">
        <f t="shared" si="55"/>
        <v>-11.224499999999999</v>
      </c>
      <c r="AA220" s="58">
        <f t="shared" si="56"/>
        <v>127.211</v>
      </c>
      <c r="AB220" s="58"/>
      <c r="AC220" s="58">
        <f t="shared" si="57"/>
        <v>161.32</v>
      </c>
      <c r="AD220" s="58" t="e">
        <f>IF(B220&lt;&gt;0,VLOOKUP(B220,#REF!,2,FALSE),"")</f>
        <v>#REF!</v>
      </c>
      <c r="AE220" s="38">
        <v>55</v>
      </c>
      <c r="AF220" s="55">
        <f t="shared" si="72"/>
        <v>53</v>
      </c>
    </row>
    <row r="221" spans="1:32" s="23" customFormat="1" ht="30">
      <c r="A221" s="21" t="s">
        <v>833</v>
      </c>
      <c r="B221" s="20">
        <v>7752</v>
      </c>
      <c r="C221" s="19" t="s">
        <v>122</v>
      </c>
      <c r="D221" s="21" t="s">
        <v>1914</v>
      </c>
      <c r="E221" s="21" t="s">
        <v>17</v>
      </c>
      <c r="F221" s="22">
        <v>55</v>
      </c>
      <c r="G221" s="22">
        <f t="shared" si="54"/>
        <v>64.336500000000001</v>
      </c>
      <c r="H221" s="22">
        <f t="shared" si="73"/>
        <v>81.59</v>
      </c>
      <c r="I221" s="147">
        <f t="shared" si="74"/>
        <v>4487.45</v>
      </c>
      <c r="J221" s="148"/>
      <c r="K221" s="148"/>
      <c r="L221" s="148"/>
      <c r="M221" s="148">
        <v>71.67</v>
      </c>
      <c r="N221" s="148">
        <v>90.88</v>
      </c>
      <c r="O221" s="148">
        <v>4998.3999999999996</v>
      </c>
      <c r="P221" s="494"/>
      <c r="Q221" s="147">
        <f t="shared" si="75"/>
        <v>0</v>
      </c>
      <c r="R221" s="148"/>
      <c r="S221" s="148">
        <f t="shared" si="76"/>
        <v>0</v>
      </c>
      <c r="T221" s="148">
        <f t="shared" si="78"/>
        <v>55</v>
      </c>
      <c r="U221" s="148">
        <f t="shared" si="77"/>
        <v>4998.3999999999996</v>
      </c>
      <c r="V221" s="379"/>
      <c r="W221" s="379"/>
      <c r="X221" s="57">
        <f>'COMPOSIÇÃO DE CUSTOS'!G507</f>
        <v>64.34</v>
      </c>
      <c r="Y221" s="334">
        <v>75.69</v>
      </c>
      <c r="Z221" s="58">
        <f t="shared" si="55"/>
        <v>-11.353499999999997</v>
      </c>
      <c r="AA221" s="58">
        <f t="shared" si="56"/>
        <v>3538.5075000000002</v>
      </c>
      <c r="AB221" s="58"/>
      <c r="AC221" s="58">
        <f t="shared" si="57"/>
        <v>4487.45</v>
      </c>
      <c r="AD221" s="58" t="e">
        <f>IF(B221&lt;&gt;0,VLOOKUP(B221,#REF!,2,FALSE),"")</f>
        <v>#REF!</v>
      </c>
      <c r="AE221" s="23">
        <v>162</v>
      </c>
      <c r="AF221" s="55">
        <f t="shared" si="72"/>
        <v>107</v>
      </c>
    </row>
    <row r="222" spans="1:32" s="23" customFormat="1" ht="45">
      <c r="A222" s="21" t="s">
        <v>834</v>
      </c>
      <c r="B222" s="20">
        <v>89425</v>
      </c>
      <c r="C222" s="19" t="s">
        <v>1579</v>
      </c>
      <c r="D222" s="21" t="s">
        <v>12</v>
      </c>
      <c r="E222" s="21" t="s">
        <v>17</v>
      </c>
      <c r="F222" s="22">
        <v>162</v>
      </c>
      <c r="G222" s="22">
        <f t="shared" si="54"/>
        <v>11.866000000000001</v>
      </c>
      <c r="H222" s="22">
        <f t="shared" si="73"/>
        <v>15.05</v>
      </c>
      <c r="I222" s="147">
        <f t="shared" si="74"/>
        <v>2438.1</v>
      </c>
      <c r="J222" s="148"/>
      <c r="K222" s="148"/>
      <c r="L222" s="148"/>
      <c r="M222" s="148">
        <v>13.22</v>
      </c>
      <c r="N222" s="148">
        <v>16.760000000000002</v>
      </c>
      <c r="O222" s="148">
        <v>2715.12</v>
      </c>
      <c r="P222" s="494"/>
      <c r="Q222" s="147">
        <f t="shared" si="75"/>
        <v>0</v>
      </c>
      <c r="R222" s="148"/>
      <c r="S222" s="148">
        <f t="shared" si="76"/>
        <v>0</v>
      </c>
      <c r="T222" s="148">
        <f t="shared" si="78"/>
        <v>162</v>
      </c>
      <c r="U222" s="148">
        <f t="shared" si="77"/>
        <v>2715.12</v>
      </c>
      <c r="V222" s="379"/>
      <c r="W222" s="379"/>
      <c r="X222" s="57" t="e">
        <f>IF(B222&lt;&gt;0,VLOOKUP(B222,#REF!,4,FALSE),"")</f>
        <v>#REF!</v>
      </c>
      <c r="Y222" s="334" t="s">
        <v>1867</v>
      </c>
      <c r="Z222" s="58">
        <f t="shared" si="55"/>
        <v>-2.0939999999999994</v>
      </c>
      <c r="AA222" s="58">
        <f t="shared" si="56"/>
        <v>1922.2920000000001</v>
      </c>
      <c r="AB222" s="58"/>
      <c r="AC222" s="58">
        <f t="shared" si="57"/>
        <v>2438.1</v>
      </c>
      <c r="AD222" s="58" t="e">
        <f>IF(B222&lt;&gt;0,VLOOKUP(B222,#REF!,2,FALSE),"")</f>
        <v>#REF!</v>
      </c>
      <c r="AE222" s="23">
        <v>19</v>
      </c>
      <c r="AF222" s="55">
        <f t="shared" si="72"/>
        <v>-143</v>
      </c>
    </row>
    <row r="223" spans="1:32" ht="45">
      <c r="A223" s="21" t="s">
        <v>835</v>
      </c>
      <c r="B223" s="20">
        <v>89432</v>
      </c>
      <c r="C223" s="19" t="s">
        <v>1580</v>
      </c>
      <c r="D223" s="21" t="s">
        <v>12</v>
      </c>
      <c r="E223" s="21" t="s">
        <v>17</v>
      </c>
      <c r="F223" s="22">
        <v>19</v>
      </c>
      <c r="G223" s="22">
        <f t="shared" si="54"/>
        <v>25.610499999999998</v>
      </c>
      <c r="H223" s="22">
        <f t="shared" si="73"/>
        <v>32.479999999999997</v>
      </c>
      <c r="I223" s="147">
        <f t="shared" si="74"/>
        <v>617.12</v>
      </c>
      <c r="J223" s="148"/>
      <c r="K223" s="148"/>
      <c r="L223" s="148"/>
      <c r="M223" s="148">
        <v>28.53</v>
      </c>
      <c r="N223" s="148">
        <v>36.18</v>
      </c>
      <c r="O223" s="148">
        <v>687.42</v>
      </c>
      <c r="P223" s="494"/>
      <c r="Q223" s="147">
        <f t="shared" si="75"/>
        <v>0</v>
      </c>
      <c r="R223" s="148"/>
      <c r="S223" s="148">
        <f t="shared" si="76"/>
        <v>0</v>
      </c>
      <c r="T223" s="148">
        <f t="shared" si="78"/>
        <v>19</v>
      </c>
      <c r="U223" s="148">
        <f t="shared" si="77"/>
        <v>687.42</v>
      </c>
      <c r="V223" s="379"/>
      <c r="W223" s="379"/>
      <c r="X223" s="57" t="e">
        <f>IF(B223&lt;&gt;0,VLOOKUP(B223,#REF!,4,FALSE),"")</f>
        <v>#REF!</v>
      </c>
      <c r="Y223" s="334" t="s">
        <v>3279</v>
      </c>
      <c r="Z223" s="58">
        <f t="shared" si="55"/>
        <v>-4.5195000000000007</v>
      </c>
      <c r="AA223" s="58">
        <f t="shared" si="56"/>
        <v>486.59949999999998</v>
      </c>
      <c r="AB223" s="58"/>
      <c r="AC223" s="58">
        <f t="shared" si="57"/>
        <v>617.11999999999989</v>
      </c>
      <c r="AD223" s="58" t="e">
        <f>IF(B223&lt;&gt;0,VLOOKUP(B223,#REF!,2,FALSE),"")</f>
        <v>#REF!</v>
      </c>
      <c r="AE223" s="2">
        <v>75</v>
      </c>
      <c r="AF223" s="55">
        <f t="shared" si="72"/>
        <v>56</v>
      </c>
    </row>
    <row r="224" spans="1:32" ht="45">
      <c r="A224" s="21" t="s">
        <v>836</v>
      </c>
      <c r="B224" s="20" t="s">
        <v>2094</v>
      </c>
      <c r="C224" s="19" t="s">
        <v>123</v>
      </c>
      <c r="D224" s="21" t="s">
        <v>1914</v>
      </c>
      <c r="E224" s="21" t="s">
        <v>17</v>
      </c>
      <c r="F224" s="22">
        <v>75</v>
      </c>
      <c r="G224" s="22">
        <f t="shared" si="54"/>
        <v>28.713000000000001</v>
      </c>
      <c r="H224" s="22">
        <f t="shared" si="73"/>
        <v>36.409999999999997</v>
      </c>
      <c r="I224" s="147">
        <f t="shared" si="74"/>
        <v>2730.75</v>
      </c>
      <c r="J224" s="148"/>
      <c r="K224" s="148"/>
      <c r="L224" s="148"/>
      <c r="M224" s="148">
        <v>31.99</v>
      </c>
      <c r="N224" s="148">
        <v>40.57</v>
      </c>
      <c r="O224" s="148">
        <v>3042.75</v>
      </c>
      <c r="P224" s="494"/>
      <c r="Q224" s="147">
        <f t="shared" si="75"/>
        <v>0</v>
      </c>
      <c r="R224" s="148"/>
      <c r="S224" s="148">
        <f t="shared" si="76"/>
        <v>0</v>
      </c>
      <c r="T224" s="148">
        <f t="shared" si="78"/>
        <v>75</v>
      </c>
      <c r="U224" s="148">
        <f t="shared" si="77"/>
        <v>3042.75</v>
      </c>
      <c r="V224" s="379"/>
      <c r="W224" s="379"/>
      <c r="X224" s="57">
        <f>'COMPOSIÇÃO DE CUSTOS'!G517</f>
        <v>28.71</v>
      </c>
      <c r="Y224" s="334">
        <v>33.78</v>
      </c>
      <c r="Z224" s="58">
        <f t="shared" si="55"/>
        <v>-5.0670000000000002</v>
      </c>
      <c r="AA224" s="58">
        <f t="shared" si="56"/>
        <v>2153.4749999999999</v>
      </c>
      <c r="AB224" s="58"/>
      <c r="AC224" s="58">
        <f t="shared" si="57"/>
        <v>2730.7499999999995</v>
      </c>
      <c r="AD224" s="58" t="e">
        <f>IF(B224&lt;&gt;0,VLOOKUP(B224,#REF!,2,FALSE),"")</f>
        <v>#REF!</v>
      </c>
      <c r="AE224" s="2">
        <v>28</v>
      </c>
      <c r="AF224" s="55">
        <f t="shared" si="72"/>
        <v>-47</v>
      </c>
    </row>
    <row r="225" spans="1:32" ht="45">
      <c r="A225" s="21" t="s">
        <v>837</v>
      </c>
      <c r="B225" s="20">
        <v>89577</v>
      </c>
      <c r="C225" s="19" t="s">
        <v>1581</v>
      </c>
      <c r="D225" s="21" t="s">
        <v>12</v>
      </c>
      <c r="E225" s="21" t="s">
        <v>17</v>
      </c>
      <c r="F225" s="22">
        <v>28</v>
      </c>
      <c r="G225" s="22">
        <f t="shared" si="54"/>
        <v>29.724499999999999</v>
      </c>
      <c r="H225" s="22">
        <f t="shared" si="73"/>
        <v>37.69</v>
      </c>
      <c r="I225" s="147">
        <f t="shared" si="74"/>
        <v>1055.32</v>
      </c>
      <c r="J225" s="148"/>
      <c r="K225" s="148"/>
      <c r="L225" s="148"/>
      <c r="M225" s="148">
        <v>33.11</v>
      </c>
      <c r="N225" s="148">
        <v>41.99</v>
      </c>
      <c r="O225" s="148">
        <v>1175.72</v>
      </c>
      <c r="P225" s="494"/>
      <c r="Q225" s="147">
        <f t="shared" si="75"/>
        <v>0</v>
      </c>
      <c r="R225" s="148"/>
      <c r="S225" s="148">
        <f t="shared" si="76"/>
        <v>0</v>
      </c>
      <c r="T225" s="148">
        <f t="shared" si="78"/>
        <v>28</v>
      </c>
      <c r="U225" s="148">
        <f t="shared" si="77"/>
        <v>1175.72</v>
      </c>
      <c r="V225" s="379"/>
      <c r="W225" s="379"/>
      <c r="X225" s="57" t="e">
        <f>IF(B225&lt;&gt;0,VLOOKUP(B225,#REF!,4,FALSE),"")</f>
        <v>#REF!</v>
      </c>
      <c r="Y225" s="334" t="s">
        <v>3187</v>
      </c>
      <c r="Z225" s="58">
        <f t="shared" si="55"/>
        <v>-5.2454999999999998</v>
      </c>
      <c r="AA225" s="58">
        <f t="shared" si="56"/>
        <v>832.28599999999994</v>
      </c>
      <c r="AB225" s="58"/>
      <c r="AC225" s="58">
        <f t="shared" si="57"/>
        <v>1055.32</v>
      </c>
      <c r="AD225" s="58" t="e">
        <f>IF(B225&lt;&gt;0,VLOOKUP(B225,#REF!,2,FALSE),"")</f>
        <v>#REF!</v>
      </c>
      <c r="AE225" s="2">
        <v>3</v>
      </c>
      <c r="AF225" s="55">
        <f t="shared" si="72"/>
        <v>-25</v>
      </c>
    </row>
    <row r="226" spans="1:32" ht="45">
      <c r="A226" s="21" t="s">
        <v>838</v>
      </c>
      <c r="B226" s="20" t="s">
        <v>2097</v>
      </c>
      <c r="C226" s="19" t="s">
        <v>1582</v>
      </c>
      <c r="D226" s="21" t="s">
        <v>1914</v>
      </c>
      <c r="E226" s="21" t="s">
        <v>17</v>
      </c>
      <c r="F226" s="22">
        <v>3</v>
      </c>
      <c r="G226" s="22">
        <f t="shared" ref="G226:G289" si="79">Y226-(Y226*$Z$14)</f>
        <v>5.0830000000000002</v>
      </c>
      <c r="H226" s="22">
        <f t="shared" si="73"/>
        <v>6.45</v>
      </c>
      <c r="I226" s="147">
        <f t="shared" si="74"/>
        <v>19.350000000000001</v>
      </c>
      <c r="J226" s="148"/>
      <c r="K226" s="148"/>
      <c r="L226" s="148"/>
      <c r="M226" s="148">
        <v>5.66</v>
      </c>
      <c r="N226" s="148">
        <v>7.18</v>
      </c>
      <c r="O226" s="148">
        <v>21.54</v>
      </c>
      <c r="P226" s="494"/>
      <c r="Q226" s="147">
        <f t="shared" si="75"/>
        <v>0</v>
      </c>
      <c r="R226" s="148"/>
      <c r="S226" s="148">
        <f t="shared" si="76"/>
        <v>0</v>
      </c>
      <c r="T226" s="148">
        <f t="shared" si="78"/>
        <v>3</v>
      </c>
      <c r="U226" s="148">
        <f t="shared" si="77"/>
        <v>21.54</v>
      </c>
      <c r="V226" s="379"/>
      <c r="W226" s="379"/>
      <c r="X226" s="57">
        <f>'COMPOSIÇÃO DE CUSTOS'!G528</f>
        <v>5.08</v>
      </c>
      <c r="Y226" s="334">
        <v>5.98</v>
      </c>
      <c r="Z226" s="58">
        <f t="shared" ref="Z226:Z289" si="80">G226-Y226</f>
        <v>-0.89700000000000024</v>
      </c>
      <c r="AA226" s="58">
        <f t="shared" ref="AA226:AA289" si="81">F226*G226</f>
        <v>15.249000000000001</v>
      </c>
      <c r="AB226" s="58"/>
      <c r="AC226" s="58">
        <f t="shared" ref="AC226:AC289" si="82">F226*H226</f>
        <v>19.350000000000001</v>
      </c>
      <c r="AD226" s="58" t="e">
        <f>IF(B226&lt;&gt;0,VLOOKUP(B226,#REF!,2,FALSE),"")</f>
        <v>#REF!</v>
      </c>
      <c r="AE226" s="2">
        <v>8</v>
      </c>
      <c r="AF226" s="55">
        <f t="shared" si="72"/>
        <v>5</v>
      </c>
    </row>
    <row r="227" spans="1:32" ht="45">
      <c r="A227" s="21" t="s">
        <v>839</v>
      </c>
      <c r="B227" s="20" t="s">
        <v>2098</v>
      </c>
      <c r="C227" s="19" t="s">
        <v>1583</v>
      </c>
      <c r="D227" s="21" t="s">
        <v>1914</v>
      </c>
      <c r="E227" s="21" t="s">
        <v>17</v>
      </c>
      <c r="F227" s="22">
        <v>8</v>
      </c>
      <c r="G227" s="22">
        <f t="shared" si="79"/>
        <v>7.7860000000000005</v>
      </c>
      <c r="H227" s="22">
        <f t="shared" si="73"/>
        <v>9.8699999999999992</v>
      </c>
      <c r="I227" s="147">
        <f t="shared" si="74"/>
        <v>78.959999999999994</v>
      </c>
      <c r="J227" s="148"/>
      <c r="K227" s="148"/>
      <c r="L227" s="148"/>
      <c r="M227" s="148">
        <v>8.67</v>
      </c>
      <c r="N227" s="148">
        <v>10.99</v>
      </c>
      <c r="O227" s="148">
        <v>87.92</v>
      </c>
      <c r="P227" s="494"/>
      <c r="Q227" s="147">
        <f t="shared" si="75"/>
        <v>0</v>
      </c>
      <c r="R227" s="148"/>
      <c r="S227" s="148">
        <f t="shared" si="76"/>
        <v>0</v>
      </c>
      <c r="T227" s="148">
        <f t="shared" si="78"/>
        <v>8</v>
      </c>
      <c r="U227" s="148">
        <f t="shared" si="77"/>
        <v>87.92</v>
      </c>
      <c r="V227" s="379"/>
      <c r="W227" s="379"/>
      <c r="X227" s="57">
        <f>'COMPOSIÇÃO DE CUSTOS'!G538</f>
        <v>7.79</v>
      </c>
      <c r="Y227" s="334">
        <v>9.16</v>
      </c>
      <c r="Z227" s="58">
        <f t="shared" si="80"/>
        <v>-1.3739999999999997</v>
      </c>
      <c r="AA227" s="58">
        <f t="shared" si="81"/>
        <v>62.288000000000004</v>
      </c>
      <c r="AB227" s="58"/>
      <c r="AC227" s="58">
        <f t="shared" si="82"/>
        <v>78.959999999999994</v>
      </c>
      <c r="AD227" s="58" t="e">
        <f>IF(B227&lt;&gt;0,VLOOKUP(B227,#REF!,2,FALSE),"")</f>
        <v>#REF!</v>
      </c>
      <c r="AE227" s="2">
        <v>6</v>
      </c>
      <c r="AF227" s="55">
        <f t="shared" si="72"/>
        <v>-2</v>
      </c>
    </row>
    <row r="228" spans="1:32" ht="45">
      <c r="A228" s="21" t="s">
        <v>840</v>
      </c>
      <c r="B228" s="20">
        <v>90375</v>
      </c>
      <c r="C228" s="19" t="s">
        <v>1584</v>
      </c>
      <c r="D228" s="21" t="s">
        <v>12</v>
      </c>
      <c r="E228" s="21" t="s">
        <v>17</v>
      </c>
      <c r="F228" s="22">
        <v>6</v>
      </c>
      <c r="G228" s="22">
        <f t="shared" si="79"/>
        <v>6.0350000000000001</v>
      </c>
      <c r="H228" s="22">
        <f t="shared" si="73"/>
        <v>7.65</v>
      </c>
      <c r="I228" s="147">
        <f t="shared" si="74"/>
        <v>45.9</v>
      </c>
      <c r="J228" s="148"/>
      <c r="K228" s="148"/>
      <c r="L228" s="148"/>
      <c r="M228" s="148">
        <v>6.72</v>
      </c>
      <c r="N228" s="148">
        <v>8.52</v>
      </c>
      <c r="O228" s="148">
        <v>51.12</v>
      </c>
      <c r="P228" s="494"/>
      <c r="Q228" s="147">
        <f t="shared" si="75"/>
        <v>0</v>
      </c>
      <c r="R228" s="148"/>
      <c r="S228" s="148">
        <f t="shared" si="76"/>
        <v>0</v>
      </c>
      <c r="T228" s="148">
        <f t="shared" si="78"/>
        <v>6</v>
      </c>
      <c r="U228" s="148">
        <f t="shared" si="77"/>
        <v>51.12</v>
      </c>
      <c r="V228" s="379"/>
      <c r="W228" s="379"/>
      <c r="X228" s="57" t="e">
        <f>IF(B228&lt;&gt;0,VLOOKUP(B228,#REF!,4,FALSE),"")</f>
        <v>#REF!</v>
      </c>
      <c r="Y228" s="334" t="s">
        <v>1909</v>
      </c>
      <c r="Z228" s="58">
        <f t="shared" si="80"/>
        <v>-1.0649999999999995</v>
      </c>
      <c r="AA228" s="58">
        <f t="shared" si="81"/>
        <v>36.21</v>
      </c>
      <c r="AB228" s="58"/>
      <c r="AC228" s="58">
        <f t="shared" si="82"/>
        <v>45.900000000000006</v>
      </c>
      <c r="AD228" s="58" t="e">
        <f>IF(B228&lt;&gt;0,VLOOKUP(B228,#REF!,2,FALSE),"")</f>
        <v>#REF!</v>
      </c>
      <c r="AE228" s="2">
        <v>3</v>
      </c>
      <c r="AF228" s="55">
        <f t="shared" si="72"/>
        <v>-3</v>
      </c>
    </row>
    <row r="229" spans="1:32" ht="45">
      <c r="A229" s="21" t="s">
        <v>841</v>
      </c>
      <c r="B229" s="20" t="s">
        <v>2101</v>
      </c>
      <c r="C229" s="19" t="s">
        <v>1585</v>
      </c>
      <c r="D229" s="21" t="s">
        <v>1914</v>
      </c>
      <c r="E229" s="21" t="s">
        <v>17</v>
      </c>
      <c r="F229" s="22">
        <v>3</v>
      </c>
      <c r="G229" s="22">
        <f t="shared" si="79"/>
        <v>9.1715</v>
      </c>
      <c r="H229" s="22">
        <f t="shared" si="73"/>
        <v>11.63</v>
      </c>
      <c r="I229" s="147">
        <f t="shared" si="74"/>
        <v>34.89</v>
      </c>
      <c r="J229" s="148"/>
      <c r="K229" s="148"/>
      <c r="L229" s="148"/>
      <c r="M229" s="148">
        <v>10.220000000000001</v>
      </c>
      <c r="N229" s="148">
        <v>12.96</v>
      </c>
      <c r="O229" s="148">
        <v>38.880000000000003</v>
      </c>
      <c r="P229" s="494"/>
      <c r="Q229" s="147">
        <f t="shared" si="75"/>
        <v>0</v>
      </c>
      <c r="R229" s="148"/>
      <c r="S229" s="148">
        <f t="shared" si="76"/>
        <v>0</v>
      </c>
      <c r="T229" s="148">
        <f t="shared" si="78"/>
        <v>3</v>
      </c>
      <c r="U229" s="148">
        <f t="shared" si="77"/>
        <v>38.880000000000003</v>
      </c>
      <c r="V229" s="379"/>
      <c r="W229" s="379"/>
      <c r="X229" s="57">
        <f>'COMPOSIÇÃO DE CUSTOS'!G549</f>
        <v>9.17</v>
      </c>
      <c r="Y229" s="334">
        <v>10.79</v>
      </c>
      <c r="Z229" s="58">
        <f t="shared" si="80"/>
        <v>-1.6184999999999992</v>
      </c>
      <c r="AA229" s="58">
        <f t="shared" si="81"/>
        <v>27.514499999999998</v>
      </c>
      <c r="AB229" s="58"/>
      <c r="AC229" s="58">
        <f t="shared" si="82"/>
        <v>34.89</v>
      </c>
      <c r="AD229" s="58" t="e">
        <f>IF(B229&lt;&gt;0,VLOOKUP(B229,#REF!,2,FALSE),"")</f>
        <v>#REF!</v>
      </c>
      <c r="AE229" s="2">
        <v>3</v>
      </c>
      <c r="AF229" s="55">
        <f t="shared" si="72"/>
        <v>0</v>
      </c>
    </row>
    <row r="230" spans="1:32" ht="45">
      <c r="A230" s="21" t="s">
        <v>842</v>
      </c>
      <c r="B230" s="20" t="s">
        <v>2103</v>
      </c>
      <c r="C230" s="19" t="s">
        <v>1586</v>
      </c>
      <c r="D230" s="21" t="s">
        <v>1914</v>
      </c>
      <c r="E230" s="21" t="s">
        <v>17</v>
      </c>
      <c r="F230" s="22">
        <v>3</v>
      </c>
      <c r="G230" s="22">
        <f t="shared" si="79"/>
        <v>7.242</v>
      </c>
      <c r="H230" s="22">
        <f t="shared" si="73"/>
        <v>9.18</v>
      </c>
      <c r="I230" s="147">
        <f t="shared" si="74"/>
        <v>27.54</v>
      </c>
      <c r="J230" s="148"/>
      <c r="K230" s="148"/>
      <c r="L230" s="148"/>
      <c r="M230" s="148">
        <v>8.07</v>
      </c>
      <c r="N230" s="148">
        <v>10.23</v>
      </c>
      <c r="O230" s="148">
        <v>30.69</v>
      </c>
      <c r="P230" s="494"/>
      <c r="Q230" s="147">
        <f t="shared" si="75"/>
        <v>0</v>
      </c>
      <c r="R230" s="148"/>
      <c r="S230" s="148">
        <f t="shared" si="76"/>
        <v>0</v>
      </c>
      <c r="T230" s="148">
        <f t="shared" si="78"/>
        <v>3</v>
      </c>
      <c r="U230" s="148">
        <f t="shared" si="77"/>
        <v>30.69</v>
      </c>
      <c r="V230" s="379"/>
      <c r="W230" s="379"/>
      <c r="X230" s="57">
        <f>'COMPOSIÇÃO DE CUSTOS'!G559</f>
        <v>7.24</v>
      </c>
      <c r="Y230" s="334">
        <v>8.52</v>
      </c>
      <c r="Z230" s="58">
        <f t="shared" si="80"/>
        <v>-1.2779999999999996</v>
      </c>
      <c r="AA230" s="58">
        <f t="shared" si="81"/>
        <v>21.725999999999999</v>
      </c>
      <c r="AB230" s="58"/>
      <c r="AC230" s="58">
        <f t="shared" si="82"/>
        <v>27.54</v>
      </c>
      <c r="AD230" s="58" t="e">
        <f>IF(B230&lt;&gt;0,VLOOKUP(B230,#REF!,2,FALSE),"")</f>
        <v>#REF!</v>
      </c>
      <c r="AE230" s="2">
        <v>21</v>
      </c>
      <c r="AF230" s="55">
        <f t="shared" si="72"/>
        <v>18</v>
      </c>
    </row>
    <row r="231" spans="1:32" ht="45">
      <c r="A231" s="21" t="s">
        <v>843</v>
      </c>
      <c r="B231" s="20">
        <v>89408</v>
      </c>
      <c r="C231" s="19" t="s">
        <v>1587</v>
      </c>
      <c r="D231" s="21" t="s">
        <v>12</v>
      </c>
      <c r="E231" s="21" t="s">
        <v>17</v>
      </c>
      <c r="F231" s="22">
        <v>21</v>
      </c>
      <c r="G231" s="22">
        <f t="shared" si="79"/>
        <v>3.8334999999999999</v>
      </c>
      <c r="H231" s="22">
        <f t="shared" si="73"/>
        <v>4.8600000000000003</v>
      </c>
      <c r="I231" s="147">
        <f t="shared" si="74"/>
        <v>102.06</v>
      </c>
      <c r="J231" s="148"/>
      <c r="K231" s="148"/>
      <c r="L231" s="148"/>
      <c r="M231" s="148">
        <v>4.2699999999999996</v>
      </c>
      <c r="N231" s="148">
        <v>5.41</v>
      </c>
      <c r="O231" s="148">
        <v>113.61</v>
      </c>
      <c r="P231" s="494"/>
      <c r="Q231" s="147">
        <f t="shared" si="75"/>
        <v>0</v>
      </c>
      <c r="R231" s="148"/>
      <c r="S231" s="148">
        <f t="shared" si="76"/>
        <v>0</v>
      </c>
      <c r="T231" s="148">
        <f t="shared" si="78"/>
        <v>21</v>
      </c>
      <c r="U231" s="148">
        <f t="shared" si="77"/>
        <v>113.61</v>
      </c>
      <c r="V231" s="379"/>
      <c r="W231" s="379"/>
      <c r="X231" s="58" t="e">
        <f>IF(B231&lt;&gt;0,VLOOKUP(B231,#REF!,4,FALSE),"")</f>
        <v>#REF!</v>
      </c>
      <c r="Y231" s="334" t="s">
        <v>2649</v>
      </c>
      <c r="Z231" s="58">
        <f t="shared" si="80"/>
        <v>-0.67649999999999988</v>
      </c>
      <c r="AA231" s="58">
        <f t="shared" si="81"/>
        <v>80.503500000000003</v>
      </c>
      <c r="AB231" s="58"/>
      <c r="AC231" s="58">
        <f t="shared" si="82"/>
        <v>102.06</v>
      </c>
      <c r="AD231" s="58" t="e">
        <f>IF(B231&lt;&gt;0,VLOOKUP(B231,#REF!,2,FALSE),"")</f>
        <v>#REF!</v>
      </c>
      <c r="AE231" s="2">
        <v>9</v>
      </c>
      <c r="AF231" s="55">
        <f t="shared" si="72"/>
        <v>-12</v>
      </c>
    </row>
    <row r="232" spans="1:32" ht="45">
      <c r="A232" s="21" t="s">
        <v>844</v>
      </c>
      <c r="B232" s="20">
        <v>89413</v>
      </c>
      <c r="C232" s="19" t="s">
        <v>1588</v>
      </c>
      <c r="D232" s="21" t="s">
        <v>12</v>
      </c>
      <c r="E232" s="21" t="s">
        <v>17</v>
      </c>
      <c r="F232" s="22">
        <v>9</v>
      </c>
      <c r="G232" s="22">
        <f t="shared" si="79"/>
        <v>5.8990000000000009</v>
      </c>
      <c r="H232" s="22">
        <f t="shared" si="73"/>
        <v>7.48</v>
      </c>
      <c r="I232" s="147">
        <f t="shared" si="74"/>
        <v>67.319999999999993</v>
      </c>
      <c r="J232" s="148"/>
      <c r="K232" s="148"/>
      <c r="L232" s="148"/>
      <c r="M232" s="148">
        <v>6.57</v>
      </c>
      <c r="N232" s="148">
        <v>8.33</v>
      </c>
      <c r="O232" s="148">
        <v>74.97</v>
      </c>
      <c r="P232" s="494"/>
      <c r="Q232" s="147">
        <f t="shared" si="75"/>
        <v>0</v>
      </c>
      <c r="R232" s="148"/>
      <c r="S232" s="148">
        <f t="shared" si="76"/>
        <v>0</v>
      </c>
      <c r="T232" s="148">
        <f t="shared" si="78"/>
        <v>9</v>
      </c>
      <c r="U232" s="148">
        <f t="shared" si="77"/>
        <v>74.97</v>
      </c>
      <c r="V232" s="379"/>
      <c r="W232" s="379"/>
      <c r="X232" s="58" t="e">
        <f>IF(B232&lt;&gt;0,VLOOKUP(B232,#REF!,4,FALSE),"")</f>
        <v>#REF!</v>
      </c>
      <c r="Y232" s="334" t="s">
        <v>1851</v>
      </c>
      <c r="Z232" s="58">
        <f t="shared" si="80"/>
        <v>-1.0409999999999995</v>
      </c>
      <c r="AA232" s="58">
        <f t="shared" si="81"/>
        <v>53.091000000000008</v>
      </c>
      <c r="AB232" s="58"/>
      <c r="AC232" s="58">
        <f t="shared" si="82"/>
        <v>67.320000000000007</v>
      </c>
      <c r="AD232" s="58" t="e">
        <f>IF(B232&lt;&gt;0,VLOOKUP(B232,#REF!,2,FALSE),"")</f>
        <v>#REF!</v>
      </c>
      <c r="AE232" s="2">
        <v>2</v>
      </c>
      <c r="AF232" s="55">
        <f t="shared" si="72"/>
        <v>-7</v>
      </c>
    </row>
    <row r="233" spans="1:32" ht="45">
      <c r="A233" s="21" t="s">
        <v>845</v>
      </c>
      <c r="B233" s="20">
        <v>89497</v>
      </c>
      <c r="C233" s="19" t="s">
        <v>1589</v>
      </c>
      <c r="D233" s="21" t="s">
        <v>12</v>
      </c>
      <c r="E233" s="21" t="s">
        <v>17</v>
      </c>
      <c r="F233" s="22">
        <v>2</v>
      </c>
      <c r="G233" s="22">
        <f t="shared" si="79"/>
        <v>8.5084999999999997</v>
      </c>
      <c r="H233" s="22">
        <f t="shared" si="73"/>
        <v>10.79</v>
      </c>
      <c r="I233" s="147">
        <f t="shared" si="74"/>
        <v>21.58</v>
      </c>
      <c r="J233" s="148"/>
      <c r="K233" s="148"/>
      <c r="L233" s="148"/>
      <c r="M233" s="148">
        <v>9.48</v>
      </c>
      <c r="N233" s="148">
        <v>12.02</v>
      </c>
      <c r="O233" s="148">
        <v>24.04</v>
      </c>
      <c r="P233" s="494"/>
      <c r="Q233" s="147">
        <f t="shared" si="75"/>
        <v>0</v>
      </c>
      <c r="R233" s="148"/>
      <c r="S233" s="148">
        <f t="shared" si="76"/>
        <v>0</v>
      </c>
      <c r="T233" s="148">
        <f t="shared" si="78"/>
        <v>2</v>
      </c>
      <c r="U233" s="148">
        <f t="shared" si="77"/>
        <v>24.04</v>
      </c>
      <c r="V233" s="379"/>
      <c r="W233" s="379"/>
      <c r="X233" s="58" t="e">
        <f>IF(B233&lt;&gt;0,VLOOKUP(B233,#REF!,4,FALSE),"")</f>
        <v>#REF!</v>
      </c>
      <c r="Y233" s="334" t="s">
        <v>1907</v>
      </c>
      <c r="Z233" s="58">
        <f t="shared" si="80"/>
        <v>-1.5015000000000001</v>
      </c>
      <c r="AA233" s="58">
        <f t="shared" si="81"/>
        <v>17.016999999999999</v>
      </c>
      <c r="AB233" s="58"/>
      <c r="AC233" s="58">
        <f t="shared" si="82"/>
        <v>21.58</v>
      </c>
      <c r="AD233" s="58" t="e">
        <f>IF(B233&lt;&gt;0,VLOOKUP(B233,#REF!,2,FALSE),"")</f>
        <v>#REF!</v>
      </c>
      <c r="AE233" s="2">
        <v>2</v>
      </c>
      <c r="AF233" s="55">
        <f t="shared" si="72"/>
        <v>0</v>
      </c>
    </row>
    <row r="234" spans="1:32" s="23" customFormat="1" ht="45">
      <c r="A234" s="21" t="s">
        <v>846</v>
      </c>
      <c r="B234" s="20">
        <v>89501</v>
      </c>
      <c r="C234" s="19" t="s">
        <v>1590</v>
      </c>
      <c r="D234" s="21" t="s">
        <v>12</v>
      </c>
      <c r="E234" s="21" t="s">
        <v>17</v>
      </c>
      <c r="F234" s="22">
        <v>2</v>
      </c>
      <c r="G234" s="22">
        <f t="shared" si="79"/>
        <v>10.1065</v>
      </c>
      <c r="H234" s="22">
        <f t="shared" si="73"/>
        <v>12.82</v>
      </c>
      <c r="I234" s="147">
        <f t="shared" si="74"/>
        <v>25.64</v>
      </c>
      <c r="J234" s="148"/>
      <c r="K234" s="148"/>
      <c r="L234" s="148"/>
      <c r="M234" s="148">
        <v>11.26</v>
      </c>
      <c r="N234" s="148">
        <v>14.28</v>
      </c>
      <c r="O234" s="148">
        <v>28.56</v>
      </c>
      <c r="P234" s="494"/>
      <c r="Q234" s="147">
        <f t="shared" si="75"/>
        <v>0</v>
      </c>
      <c r="R234" s="148"/>
      <c r="S234" s="148">
        <f t="shared" si="76"/>
        <v>0</v>
      </c>
      <c r="T234" s="148">
        <f t="shared" si="78"/>
        <v>2</v>
      </c>
      <c r="U234" s="148">
        <f t="shared" si="77"/>
        <v>28.56</v>
      </c>
      <c r="V234" s="379"/>
      <c r="W234" s="379"/>
      <c r="X234" s="58" t="e">
        <f>IF(B234&lt;&gt;0,VLOOKUP(B234,#REF!,4,FALSE),"")</f>
        <v>#REF!</v>
      </c>
      <c r="Y234" s="334" t="s">
        <v>1872</v>
      </c>
      <c r="Z234" s="58">
        <f t="shared" si="80"/>
        <v>-1.7835000000000001</v>
      </c>
      <c r="AA234" s="58">
        <f t="shared" si="81"/>
        <v>20.213000000000001</v>
      </c>
      <c r="AB234" s="58"/>
      <c r="AC234" s="58">
        <f t="shared" si="82"/>
        <v>25.64</v>
      </c>
      <c r="AD234" s="58" t="e">
        <f>IF(B234&lt;&gt;0,VLOOKUP(B234,#REF!,2,FALSE),"")</f>
        <v>#REF!</v>
      </c>
      <c r="AE234" s="23">
        <v>3</v>
      </c>
      <c r="AF234" s="55">
        <f t="shared" si="72"/>
        <v>1</v>
      </c>
    </row>
    <row r="235" spans="1:32" s="23" customFormat="1" ht="45">
      <c r="A235" s="21" t="s">
        <v>847</v>
      </c>
      <c r="B235" s="20">
        <v>89513</v>
      </c>
      <c r="C235" s="19" t="s">
        <v>1591</v>
      </c>
      <c r="D235" s="21" t="s">
        <v>12</v>
      </c>
      <c r="E235" s="21" t="s">
        <v>17</v>
      </c>
      <c r="F235" s="22">
        <v>3</v>
      </c>
      <c r="G235" s="22">
        <f t="shared" si="79"/>
        <v>93.848500000000001</v>
      </c>
      <c r="H235" s="22">
        <f t="shared" si="73"/>
        <v>119.01</v>
      </c>
      <c r="I235" s="147">
        <f t="shared" si="74"/>
        <v>357.03</v>
      </c>
      <c r="J235" s="148"/>
      <c r="K235" s="148"/>
      <c r="L235" s="148"/>
      <c r="M235" s="148">
        <v>104.55</v>
      </c>
      <c r="N235" s="148">
        <v>132.58000000000001</v>
      </c>
      <c r="O235" s="148">
        <v>397.74</v>
      </c>
      <c r="P235" s="494"/>
      <c r="Q235" s="147">
        <f t="shared" si="75"/>
        <v>0</v>
      </c>
      <c r="R235" s="148"/>
      <c r="S235" s="148">
        <f t="shared" si="76"/>
        <v>0</v>
      </c>
      <c r="T235" s="148">
        <f t="shared" si="78"/>
        <v>3</v>
      </c>
      <c r="U235" s="148">
        <f t="shared" si="77"/>
        <v>397.74</v>
      </c>
      <c r="V235" s="379"/>
      <c r="W235" s="379"/>
      <c r="X235" s="58" t="e">
        <f>IF(B235&lt;&gt;0,VLOOKUP(B235,#REF!,4,FALSE),"")</f>
        <v>#REF!</v>
      </c>
      <c r="Y235" s="334" t="s">
        <v>3280</v>
      </c>
      <c r="Z235" s="58">
        <f t="shared" si="80"/>
        <v>-16.561499999999995</v>
      </c>
      <c r="AA235" s="58">
        <f t="shared" si="81"/>
        <v>281.5455</v>
      </c>
      <c r="AB235" s="58"/>
      <c r="AC235" s="58">
        <f t="shared" si="82"/>
        <v>357.03000000000003</v>
      </c>
      <c r="AD235" s="58" t="e">
        <f>IF(B235&lt;&gt;0,VLOOKUP(B235,#REF!,2,FALSE),"")</f>
        <v>#REF!</v>
      </c>
      <c r="AE235" s="23">
        <v>55</v>
      </c>
      <c r="AF235" s="55">
        <f t="shared" si="72"/>
        <v>52</v>
      </c>
    </row>
    <row r="236" spans="1:32" ht="45">
      <c r="A236" s="21" t="s">
        <v>848</v>
      </c>
      <c r="B236" s="20">
        <v>89409</v>
      </c>
      <c r="C236" s="19" t="s">
        <v>1592</v>
      </c>
      <c r="D236" s="21" t="s">
        <v>12</v>
      </c>
      <c r="E236" s="21" t="s">
        <v>17</v>
      </c>
      <c r="F236" s="22">
        <v>55</v>
      </c>
      <c r="G236" s="22">
        <f t="shared" si="79"/>
        <v>4.5389999999999997</v>
      </c>
      <c r="H236" s="22">
        <f t="shared" si="73"/>
        <v>5.76</v>
      </c>
      <c r="I236" s="147">
        <f t="shared" si="74"/>
        <v>316.8</v>
      </c>
      <c r="J236" s="148"/>
      <c r="K236" s="148"/>
      <c r="L236" s="148"/>
      <c r="M236" s="148">
        <v>5.0599999999999996</v>
      </c>
      <c r="N236" s="148">
        <v>6.42</v>
      </c>
      <c r="O236" s="148">
        <v>353.1</v>
      </c>
      <c r="P236" s="494"/>
      <c r="Q236" s="147">
        <f t="shared" si="75"/>
        <v>0</v>
      </c>
      <c r="R236" s="148"/>
      <c r="S236" s="148">
        <f t="shared" si="76"/>
        <v>0</v>
      </c>
      <c r="T236" s="148">
        <f t="shared" si="78"/>
        <v>55</v>
      </c>
      <c r="U236" s="148">
        <f t="shared" si="77"/>
        <v>353.1</v>
      </c>
      <c r="V236" s="379"/>
      <c r="W236" s="379"/>
      <c r="X236" s="58" t="e">
        <f>IF(B236&lt;&gt;0,VLOOKUP(B236,#REF!,4,FALSE),"")</f>
        <v>#REF!</v>
      </c>
      <c r="Y236" s="334" t="s">
        <v>3113</v>
      </c>
      <c r="Z236" s="58">
        <f t="shared" si="80"/>
        <v>-0.80100000000000016</v>
      </c>
      <c r="AA236" s="58">
        <f t="shared" si="81"/>
        <v>249.64499999999998</v>
      </c>
      <c r="AB236" s="58"/>
      <c r="AC236" s="58">
        <f t="shared" si="82"/>
        <v>316.8</v>
      </c>
      <c r="AD236" s="58" t="e">
        <f>IF(B236&lt;&gt;0,VLOOKUP(B236,#REF!,2,FALSE),"")</f>
        <v>#REF!</v>
      </c>
      <c r="AE236" s="2">
        <v>18</v>
      </c>
      <c r="AF236" s="55">
        <f t="shared" si="72"/>
        <v>-37</v>
      </c>
    </row>
    <row r="237" spans="1:32" ht="45">
      <c r="A237" s="21" t="s">
        <v>849</v>
      </c>
      <c r="B237" s="20">
        <v>89440</v>
      </c>
      <c r="C237" s="19" t="s">
        <v>1593</v>
      </c>
      <c r="D237" s="21" t="s">
        <v>12</v>
      </c>
      <c r="E237" s="21" t="s">
        <v>17</v>
      </c>
      <c r="F237" s="22">
        <v>18</v>
      </c>
      <c r="G237" s="22">
        <f t="shared" si="79"/>
        <v>5.5419999999999998</v>
      </c>
      <c r="H237" s="22">
        <f t="shared" si="73"/>
        <v>7.03</v>
      </c>
      <c r="I237" s="147">
        <f t="shared" si="74"/>
        <v>126.54</v>
      </c>
      <c r="J237" s="148"/>
      <c r="K237" s="148"/>
      <c r="L237" s="148"/>
      <c r="M237" s="148">
        <v>6.17</v>
      </c>
      <c r="N237" s="148">
        <v>7.82</v>
      </c>
      <c r="O237" s="148">
        <v>140.76</v>
      </c>
      <c r="P237" s="494"/>
      <c r="Q237" s="147">
        <f t="shared" si="75"/>
        <v>0</v>
      </c>
      <c r="R237" s="148"/>
      <c r="S237" s="148">
        <f t="shared" si="76"/>
        <v>0</v>
      </c>
      <c r="T237" s="148">
        <f t="shared" si="78"/>
        <v>18</v>
      </c>
      <c r="U237" s="148">
        <f t="shared" si="77"/>
        <v>140.76</v>
      </c>
      <c r="V237" s="379"/>
      <c r="W237" s="379"/>
      <c r="X237" s="58" t="e">
        <f>IF(B237&lt;&gt;0,VLOOKUP(B237,#REF!,4,FALSE),"")</f>
        <v>#REF!</v>
      </c>
      <c r="Y237" s="334" t="s">
        <v>3112</v>
      </c>
      <c r="Z237" s="58">
        <f t="shared" si="80"/>
        <v>-0.97799999999999976</v>
      </c>
      <c r="AA237" s="58">
        <f t="shared" si="81"/>
        <v>99.756</v>
      </c>
      <c r="AB237" s="58"/>
      <c r="AC237" s="58">
        <f t="shared" si="82"/>
        <v>126.54</v>
      </c>
      <c r="AD237" s="58" t="e">
        <f>IF(B237&lt;&gt;0,VLOOKUP(B237,#REF!,2,FALSE),"")</f>
        <v>#REF!</v>
      </c>
      <c r="AE237" s="2">
        <v>3</v>
      </c>
      <c r="AF237" s="55">
        <f t="shared" si="72"/>
        <v>-15</v>
      </c>
    </row>
    <row r="238" spans="1:32" s="23" customFormat="1" ht="45">
      <c r="A238" s="21" t="s">
        <v>850</v>
      </c>
      <c r="B238" s="20">
        <v>89443</v>
      </c>
      <c r="C238" s="19" t="s">
        <v>1594</v>
      </c>
      <c r="D238" s="21" t="s">
        <v>12</v>
      </c>
      <c r="E238" s="21" t="s">
        <v>17</v>
      </c>
      <c r="F238" s="22">
        <v>3</v>
      </c>
      <c r="G238" s="22">
        <f t="shared" si="79"/>
        <v>9.2565000000000008</v>
      </c>
      <c r="H238" s="22">
        <f t="shared" si="73"/>
        <v>11.74</v>
      </c>
      <c r="I238" s="147">
        <f t="shared" si="74"/>
        <v>35.22</v>
      </c>
      <c r="J238" s="148"/>
      <c r="K238" s="148"/>
      <c r="L238" s="148"/>
      <c r="M238" s="148">
        <v>10.31</v>
      </c>
      <c r="N238" s="148">
        <v>13.07</v>
      </c>
      <c r="O238" s="148">
        <v>39.21</v>
      </c>
      <c r="P238" s="494"/>
      <c r="Q238" s="147">
        <f t="shared" si="75"/>
        <v>0</v>
      </c>
      <c r="R238" s="148"/>
      <c r="S238" s="148">
        <f t="shared" si="76"/>
        <v>0</v>
      </c>
      <c r="T238" s="148">
        <f t="shared" si="78"/>
        <v>3</v>
      </c>
      <c r="U238" s="148">
        <f t="shared" si="77"/>
        <v>39.21</v>
      </c>
      <c r="V238" s="379"/>
      <c r="W238" s="379"/>
      <c r="X238" s="58" t="e">
        <f>IF(B238&lt;&gt;0,VLOOKUP(B238,#REF!,4,FALSE),"")</f>
        <v>#REF!</v>
      </c>
      <c r="Y238" s="334" t="s">
        <v>3111</v>
      </c>
      <c r="Z238" s="58">
        <f t="shared" si="80"/>
        <v>-1.6334999999999997</v>
      </c>
      <c r="AA238" s="58">
        <f t="shared" si="81"/>
        <v>27.769500000000001</v>
      </c>
      <c r="AB238" s="58"/>
      <c r="AC238" s="58">
        <f t="shared" si="82"/>
        <v>35.22</v>
      </c>
      <c r="AD238" s="58" t="e">
        <f>IF(B238&lt;&gt;0,VLOOKUP(B238,#REF!,2,FALSE),"")</f>
        <v>#REF!</v>
      </c>
      <c r="AE238" s="23">
        <v>2</v>
      </c>
      <c r="AF238" s="55">
        <f t="shared" si="72"/>
        <v>-1</v>
      </c>
    </row>
    <row r="239" spans="1:32" s="55" customFormat="1" ht="45">
      <c r="A239" s="21" t="s">
        <v>851</v>
      </c>
      <c r="B239" s="20">
        <v>89625</v>
      </c>
      <c r="C239" s="19" t="s">
        <v>1595</v>
      </c>
      <c r="D239" s="21" t="s">
        <v>12</v>
      </c>
      <c r="E239" s="21" t="s">
        <v>17</v>
      </c>
      <c r="F239" s="22">
        <v>2</v>
      </c>
      <c r="G239" s="22">
        <f t="shared" si="79"/>
        <v>16.234999999999999</v>
      </c>
      <c r="H239" s="22">
        <f t="shared" si="73"/>
        <v>20.59</v>
      </c>
      <c r="I239" s="147">
        <f t="shared" si="74"/>
        <v>41.18</v>
      </c>
      <c r="J239" s="148"/>
      <c r="K239" s="148"/>
      <c r="L239" s="148"/>
      <c r="M239" s="148">
        <v>18.09</v>
      </c>
      <c r="N239" s="148">
        <v>22.94</v>
      </c>
      <c r="O239" s="148">
        <v>45.88</v>
      </c>
      <c r="P239" s="494"/>
      <c r="Q239" s="147">
        <f t="shared" si="75"/>
        <v>0</v>
      </c>
      <c r="R239" s="148"/>
      <c r="S239" s="148">
        <f t="shared" si="76"/>
        <v>0</v>
      </c>
      <c r="T239" s="148">
        <f t="shared" si="78"/>
        <v>2</v>
      </c>
      <c r="U239" s="148">
        <f t="shared" si="77"/>
        <v>45.88</v>
      </c>
      <c r="V239" s="379"/>
      <c r="W239" s="379"/>
      <c r="X239" s="58" t="e">
        <f>IF(B239&lt;&gt;0,VLOOKUP(B239,#REF!,4,FALSE),"")</f>
        <v>#REF!</v>
      </c>
      <c r="Y239" s="334" t="s">
        <v>3233</v>
      </c>
      <c r="Z239" s="58">
        <f t="shared" si="80"/>
        <v>-2.865000000000002</v>
      </c>
      <c r="AA239" s="58">
        <f t="shared" si="81"/>
        <v>32.47</v>
      </c>
      <c r="AB239" s="58"/>
      <c r="AC239" s="58">
        <f t="shared" si="82"/>
        <v>41.18</v>
      </c>
      <c r="AD239" s="58" t="e">
        <f>IF(B239&lt;&gt;0,VLOOKUP(B239,#REF!,2,FALSE),"")</f>
        <v>#REF!</v>
      </c>
      <c r="AE239" s="55">
        <v>7</v>
      </c>
      <c r="AF239" s="55">
        <f t="shared" si="72"/>
        <v>5</v>
      </c>
    </row>
    <row r="240" spans="1:32" s="23" customFormat="1" ht="60">
      <c r="A240" s="21" t="s">
        <v>852</v>
      </c>
      <c r="B240" s="20" t="s">
        <v>2105</v>
      </c>
      <c r="C240" s="19" t="s">
        <v>1596</v>
      </c>
      <c r="D240" s="21" t="s">
        <v>1914</v>
      </c>
      <c r="E240" s="21" t="s">
        <v>17</v>
      </c>
      <c r="F240" s="22">
        <v>7</v>
      </c>
      <c r="G240" s="22">
        <f t="shared" si="79"/>
        <v>11.135</v>
      </c>
      <c r="H240" s="22">
        <f t="shared" si="73"/>
        <v>14.12</v>
      </c>
      <c r="I240" s="147">
        <f t="shared" si="74"/>
        <v>98.84</v>
      </c>
      <c r="J240" s="148"/>
      <c r="K240" s="148"/>
      <c r="L240" s="148"/>
      <c r="M240" s="148">
        <v>12.4</v>
      </c>
      <c r="N240" s="148">
        <v>15.72</v>
      </c>
      <c r="O240" s="148">
        <v>110.04</v>
      </c>
      <c r="P240" s="494"/>
      <c r="Q240" s="147">
        <f t="shared" si="75"/>
        <v>0</v>
      </c>
      <c r="R240" s="148"/>
      <c r="S240" s="148">
        <f t="shared" si="76"/>
        <v>0</v>
      </c>
      <c r="T240" s="148">
        <f t="shared" si="78"/>
        <v>7</v>
      </c>
      <c r="U240" s="148">
        <f t="shared" si="77"/>
        <v>110.04</v>
      </c>
      <c r="V240" s="379"/>
      <c r="W240" s="379"/>
      <c r="X240" s="57">
        <f>'COMPOSIÇÃO DE CUSTOS'!G570</f>
        <v>11.13</v>
      </c>
      <c r="Y240" s="334">
        <v>13.1</v>
      </c>
      <c r="Z240" s="58">
        <f t="shared" si="80"/>
        <v>-1.9649999999999999</v>
      </c>
      <c r="AA240" s="58">
        <f t="shared" si="81"/>
        <v>77.944999999999993</v>
      </c>
      <c r="AB240" s="58"/>
      <c r="AC240" s="58">
        <f t="shared" si="82"/>
        <v>98.839999999999989</v>
      </c>
      <c r="AD240" s="58" t="e">
        <f>IF(B240&lt;&gt;0,VLOOKUP(B240,#REF!,2,FALSE),"")</f>
        <v>#REF!</v>
      </c>
      <c r="AE240" s="23">
        <v>3</v>
      </c>
      <c r="AF240" s="55">
        <f t="shared" si="72"/>
        <v>-4</v>
      </c>
    </row>
    <row r="241" spans="1:32" s="23" customFormat="1" ht="60">
      <c r="A241" s="21" t="s">
        <v>853</v>
      </c>
      <c r="B241" s="20" t="s">
        <v>2108</v>
      </c>
      <c r="C241" s="19" t="s">
        <v>1597</v>
      </c>
      <c r="D241" s="21" t="s">
        <v>1914</v>
      </c>
      <c r="E241" s="21" t="s">
        <v>17</v>
      </c>
      <c r="F241" s="22">
        <v>3</v>
      </c>
      <c r="G241" s="22">
        <f t="shared" si="79"/>
        <v>14.773</v>
      </c>
      <c r="H241" s="22">
        <f t="shared" si="73"/>
        <v>18.73</v>
      </c>
      <c r="I241" s="147">
        <f t="shared" si="74"/>
        <v>56.19</v>
      </c>
      <c r="J241" s="148"/>
      <c r="K241" s="148"/>
      <c r="L241" s="148"/>
      <c r="M241" s="148">
        <v>16.46</v>
      </c>
      <c r="N241" s="148">
        <v>20.87</v>
      </c>
      <c r="O241" s="148">
        <v>62.61</v>
      </c>
      <c r="P241" s="494"/>
      <c r="Q241" s="147">
        <f t="shared" si="75"/>
        <v>0</v>
      </c>
      <c r="R241" s="148"/>
      <c r="S241" s="148">
        <f t="shared" si="76"/>
        <v>0</v>
      </c>
      <c r="T241" s="148">
        <f t="shared" si="78"/>
        <v>3</v>
      </c>
      <c r="U241" s="148">
        <f t="shared" si="77"/>
        <v>62.61</v>
      </c>
      <c r="V241" s="379"/>
      <c r="W241" s="379"/>
      <c r="X241" s="57">
        <f>'COMPOSIÇÃO DE CUSTOS'!G580</f>
        <v>14.76</v>
      </c>
      <c r="Y241" s="334">
        <v>17.38</v>
      </c>
      <c r="Z241" s="58">
        <f t="shared" si="80"/>
        <v>-2.6069999999999993</v>
      </c>
      <c r="AA241" s="58">
        <f t="shared" si="81"/>
        <v>44.319000000000003</v>
      </c>
      <c r="AB241" s="58"/>
      <c r="AC241" s="58">
        <f t="shared" si="82"/>
        <v>56.19</v>
      </c>
      <c r="AD241" s="58" t="e">
        <f>IF(B241&lt;&gt;0,VLOOKUP(B241,#REF!,2,FALSE),"")</f>
        <v>#REF!</v>
      </c>
      <c r="AE241" s="23">
        <v>4</v>
      </c>
      <c r="AF241" s="55">
        <f t="shared" si="72"/>
        <v>1</v>
      </c>
    </row>
    <row r="242" spans="1:32" s="55" customFormat="1" ht="60">
      <c r="A242" s="21" t="s">
        <v>854</v>
      </c>
      <c r="B242" s="20" t="s">
        <v>2109</v>
      </c>
      <c r="C242" s="19" t="s">
        <v>1598</v>
      </c>
      <c r="D242" s="21" t="s">
        <v>1914</v>
      </c>
      <c r="E242" s="21" t="s">
        <v>17</v>
      </c>
      <c r="F242" s="22">
        <v>4</v>
      </c>
      <c r="G242" s="22">
        <f t="shared" si="79"/>
        <v>22.057500000000001</v>
      </c>
      <c r="H242" s="22">
        <f t="shared" si="73"/>
        <v>27.97</v>
      </c>
      <c r="I242" s="147">
        <f t="shared" si="74"/>
        <v>111.88</v>
      </c>
      <c r="J242" s="148"/>
      <c r="K242" s="148"/>
      <c r="L242" s="148"/>
      <c r="M242" s="148">
        <v>24.57</v>
      </c>
      <c r="N242" s="148">
        <v>31.16</v>
      </c>
      <c r="O242" s="148">
        <v>124.64</v>
      </c>
      <c r="P242" s="494"/>
      <c r="Q242" s="147">
        <f t="shared" si="75"/>
        <v>0</v>
      </c>
      <c r="R242" s="148"/>
      <c r="S242" s="148">
        <f t="shared" si="76"/>
        <v>0</v>
      </c>
      <c r="T242" s="148">
        <f t="shared" si="78"/>
        <v>4</v>
      </c>
      <c r="U242" s="148">
        <f t="shared" si="77"/>
        <v>124.64</v>
      </c>
      <c r="V242" s="379"/>
      <c r="W242" s="379"/>
      <c r="X242" s="57">
        <f>'COMPOSIÇÃO DE CUSTOS'!G590</f>
        <v>22.05</v>
      </c>
      <c r="Y242" s="334">
        <v>25.95</v>
      </c>
      <c r="Z242" s="58">
        <f t="shared" si="80"/>
        <v>-3.8924999999999983</v>
      </c>
      <c r="AA242" s="58">
        <f t="shared" si="81"/>
        <v>88.23</v>
      </c>
      <c r="AB242" s="58"/>
      <c r="AC242" s="58">
        <f t="shared" si="82"/>
        <v>111.88</v>
      </c>
      <c r="AD242" s="58" t="e">
        <f>IF(B242&lt;&gt;0,VLOOKUP(B242,#REF!,2,FALSE),"")</f>
        <v>#REF!</v>
      </c>
      <c r="AF242" s="55">
        <f t="shared" si="72"/>
        <v>-4</v>
      </c>
    </row>
    <row r="243" spans="1:32">
      <c r="A243" s="69" t="s">
        <v>855</v>
      </c>
      <c r="B243" s="129"/>
      <c r="C243" s="229" t="s">
        <v>124</v>
      </c>
      <c r="D243" s="230"/>
      <c r="E243" s="230"/>
      <c r="F243" s="230"/>
      <c r="G243" s="22"/>
      <c r="H243" s="230"/>
      <c r="I243" s="445"/>
      <c r="J243" s="440"/>
      <c r="K243" s="440"/>
      <c r="L243" s="440"/>
      <c r="M243" s="440"/>
      <c r="N243" s="440"/>
      <c r="O243" s="440"/>
      <c r="P243" s="492"/>
      <c r="Q243" s="147">
        <f t="shared" si="75"/>
        <v>0</v>
      </c>
      <c r="R243" s="148"/>
      <c r="S243" s="148">
        <f t="shared" si="76"/>
        <v>0</v>
      </c>
      <c r="T243" s="148" t="str">
        <f t="shared" si="78"/>
        <v xml:space="preserve"> </v>
      </c>
      <c r="U243" s="148">
        <f t="shared" si="77"/>
        <v>0</v>
      </c>
      <c r="V243" s="330"/>
      <c r="W243" s="330"/>
      <c r="X243" s="58" t="str">
        <f>IF(B243&lt;&gt;0,VLOOKUP(B243,#REF!,4,FALSE),"")</f>
        <v/>
      </c>
      <c r="Y243" s="334" t="s">
        <v>1891</v>
      </c>
      <c r="Z243" s="58"/>
      <c r="AA243" s="58">
        <f t="shared" si="81"/>
        <v>0</v>
      </c>
      <c r="AB243" s="58"/>
      <c r="AC243" s="58">
        <f t="shared" si="82"/>
        <v>0</v>
      </c>
      <c r="AD243" s="58" t="str">
        <f>IF(B243&lt;&gt;0,VLOOKUP(B243,#REF!,2,FALSE),"")</f>
        <v/>
      </c>
      <c r="AE243" s="2">
        <v>21</v>
      </c>
      <c r="AF243" s="55">
        <f t="shared" si="72"/>
        <v>21</v>
      </c>
    </row>
    <row r="244" spans="1:32" ht="75">
      <c r="A244" s="21" t="s">
        <v>856</v>
      </c>
      <c r="B244" s="20">
        <v>86888</v>
      </c>
      <c r="C244" s="19" t="s">
        <v>125</v>
      </c>
      <c r="D244" s="21" t="s">
        <v>1914</v>
      </c>
      <c r="E244" s="21" t="s">
        <v>17</v>
      </c>
      <c r="F244" s="22">
        <v>21</v>
      </c>
      <c r="G244" s="22">
        <f t="shared" si="79"/>
        <v>871.65800000000002</v>
      </c>
      <c r="H244" s="22">
        <f t="shared" ref="H244:H261" si="83">ROUND(G244*(1+$X$13),2)</f>
        <v>1105.3499999999999</v>
      </c>
      <c r="I244" s="147">
        <f t="shared" ref="I244:I261" si="84">ROUND(H244*F244,2)</f>
        <v>23212.35</v>
      </c>
      <c r="J244" s="148"/>
      <c r="K244" s="148"/>
      <c r="L244" s="148"/>
      <c r="M244" s="148">
        <v>832.64</v>
      </c>
      <c r="N244" s="148">
        <v>1055.8699999999999</v>
      </c>
      <c r="O244" s="148">
        <v>22173.27</v>
      </c>
      <c r="P244" s="494"/>
      <c r="Q244" s="147">
        <f t="shared" si="75"/>
        <v>0</v>
      </c>
      <c r="R244" s="148"/>
      <c r="S244" s="148">
        <f t="shared" si="76"/>
        <v>0</v>
      </c>
      <c r="T244" s="148">
        <f t="shared" si="78"/>
        <v>21</v>
      </c>
      <c r="U244" s="148">
        <f t="shared" si="77"/>
        <v>22173.27</v>
      </c>
      <c r="V244" s="379"/>
      <c r="W244" s="379"/>
      <c r="X244" s="57">
        <f>'COMPOSIÇÃO DE CUSTOS'!G602</f>
        <v>871.66</v>
      </c>
      <c r="Y244" s="334">
        <v>1025.48</v>
      </c>
      <c r="Z244" s="58">
        <f t="shared" si="80"/>
        <v>-153.822</v>
      </c>
      <c r="AA244" s="58">
        <f t="shared" si="81"/>
        <v>18304.817999999999</v>
      </c>
      <c r="AB244" s="58"/>
      <c r="AC244" s="58">
        <f t="shared" si="82"/>
        <v>23212.35</v>
      </c>
      <c r="AD244" s="58" t="e">
        <f>IF(B244&lt;&gt;0,VLOOKUP(B244,#REF!,2,FALSE),"")</f>
        <v>#REF!</v>
      </c>
      <c r="AE244" s="2">
        <v>12</v>
      </c>
      <c r="AF244" s="55">
        <f t="shared" si="72"/>
        <v>-9</v>
      </c>
    </row>
    <row r="245" spans="1:32" ht="45">
      <c r="A245" s="21" t="s">
        <v>857</v>
      </c>
      <c r="B245" s="20">
        <v>95547</v>
      </c>
      <c r="C245" s="19" t="s">
        <v>1599</v>
      </c>
      <c r="D245" s="21" t="s">
        <v>12</v>
      </c>
      <c r="E245" s="21" t="s">
        <v>17</v>
      </c>
      <c r="F245" s="22">
        <v>12</v>
      </c>
      <c r="G245" s="22">
        <f t="shared" si="79"/>
        <v>48.152500000000003</v>
      </c>
      <c r="H245" s="22">
        <f t="shared" si="83"/>
        <v>61.06</v>
      </c>
      <c r="I245" s="147">
        <f t="shared" si="84"/>
        <v>732.72</v>
      </c>
      <c r="J245" s="148"/>
      <c r="K245" s="148"/>
      <c r="L245" s="148"/>
      <c r="M245" s="148">
        <v>53.64</v>
      </c>
      <c r="N245" s="148">
        <v>68.02</v>
      </c>
      <c r="O245" s="148">
        <v>816.24</v>
      </c>
      <c r="P245" s="494"/>
      <c r="Q245" s="147">
        <f t="shared" si="75"/>
        <v>0</v>
      </c>
      <c r="R245" s="148"/>
      <c r="S245" s="148">
        <f t="shared" si="76"/>
        <v>0</v>
      </c>
      <c r="T245" s="148">
        <f t="shared" si="78"/>
        <v>12</v>
      </c>
      <c r="U245" s="148">
        <f t="shared" si="77"/>
        <v>816.24</v>
      </c>
      <c r="V245" s="379"/>
      <c r="W245" s="379"/>
      <c r="X245" s="57" t="e">
        <f>IF(B245&lt;&gt;0,VLOOKUP(B245,#REF!,4,FALSE),"")</f>
        <v>#REF!</v>
      </c>
      <c r="Y245" s="334" t="s">
        <v>3175</v>
      </c>
      <c r="Z245" s="58">
        <f t="shared" si="80"/>
        <v>-8.4974999999999952</v>
      </c>
      <c r="AA245" s="58">
        <f t="shared" si="81"/>
        <v>577.83000000000004</v>
      </c>
      <c r="AB245" s="58"/>
      <c r="AC245" s="58">
        <f t="shared" si="82"/>
        <v>732.72</v>
      </c>
      <c r="AD245" s="58" t="e">
        <f>IF(B245&lt;&gt;0,VLOOKUP(B245,#REF!,2,FALSE),"")</f>
        <v>#REF!</v>
      </c>
      <c r="AE245" s="2">
        <v>12</v>
      </c>
      <c r="AF245" s="55">
        <f t="shared" si="72"/>
        <v>0</v>
      </c>
    </row>
    <row r="246" spans="1:32" ht="30">
      <c r="A246" s="21" t="s">
        <v>858</v>
      </c>
      <c r="B246" s="20">
        <v>95542</v>
      </c>
      <c r="C246" s="19" t="s">
        <v>1602</v>
      </c>
      <c r="D246" s="21" t="s">
        <v>12</v>
      </c>
      <c r="E246" s="21" t="s">
        <v>17</v>
      </c>
      <c r="F246" s="22">
        <v>12</v>
      </c>
      <c r="G246" s="22">
        <f t="shared" si="79"/>
        <v>40.392000000000003</v>
      </c>
      <c r="H246" s="22">
        <f t="shared" si="83"/>
        <v>51.22</v>
      </c>
      <c r="I246" s="147">
        <f t="shared" si="84"/>
        <v>614.64</v>
      </c>
      <c r="J246" s="148"/>
      <c r="K246" s="148"/>
      <c r="L246" s="148"/>
      <c r="M246" s="148">
        <v>45</v>
      </c>
      <c r="N246" s="148">
        <v>57.06</v>
      </c>
      <c r="O246" s="148">
        <v>684.72</v>
      </c>
      <c r="P246" s="494"/>
      <c r="Q246" s="147">
        <f t="shared" si="75"/>
        <v>0</v>
      </c>
      <c r="R246" s="148"/>
      <c r="S246" s="148">
        <f t="shared" si="76"/>
        <v>0</v>
      </c>
      <c r="T246" s="148">
        <f t="shared" si="78"/>
        <v>12</v>
      </c>
      <c r="U246" s="148">
        <f t="shared" si="77"/>
        <v>684.72</v>
      </c>
      <c r="V246" s="379"/>
      <c r="W246" s="379"/>
      <c r="X246" s="57" t="e">
        <f>IF(B246&lt;&gt;0,VLOOKUP(B246,#REF!,4,FALSE),"")</f>
        <v>#REF!</v>
      </c>
      <c r="Y246" s="334" t="s">
        <v>3107</v>
      </c>
      <c r="Z246" s="58">
        <f t="shared" si="80"/>
        <v>-7.1280000000000001</v>
      </c>
      <c r="AA246" s="58">
        <f t="shared" si="81"/>
        <v>484.70400000000006</v>
      </c>
      <c r="AB246" s="58"/>
      <c r="AC246" s="58">
        <f t="shared" si="82"/>
        <v>614.64</v>
      </c>
      <c r="AD246" s="58" t="e">
        <f>IF(B246&lt;&gt;0,VLOOKUP(B246,#REF!,2,FALSE),"")</f>
        <v>#REF!</v>
      </c>
      <c r="AE246" s="2">
        <v>16</v>
      </c>
      <c r="AF246" s="55">
        <f t="shared" si="72"/>
        <v>4</v>
      </c>
    </row>
    <row r="247" spans="1:32" ht="45">
      <c r="A247" s="21" t="s">
        <v>859</v>
      </c>
      <c r="B247" s="20">
        <v>86895</v>
      </c>
      <c r="C247" s="19" t="s">
        <v>1600</v>
      </c>
      <c r="D247" s="21" t="s">
        <v>1914</v>
      </c>
      <c r="E247" s="21" t="s">
        <v>17</v>
      </c>
      <c r="F247" s="22">
        <v>16</v>
      </c>
      <c r="G247" s="22">
        <f t="shared" si="79"/>
        <v>804.54200000000003</v>
      </c>
      <c r="H247" s="22">
        <f t="shared" si="83"/>
        <v>1020.24</v>
      </c>
      <c r="I247" s="147">
        <f t="shared" si="84"/>
        <v>16323.84</v>
      </c>
      <c r="J247" s="148"/>
      <c r="K247" s="148"/>
      <c r="L247" s="148"/>
      <c r="M247" s="148">
        <v>896.27</v>
      </c>
      <c r="N247" s="148">
        <v>1136.56</v>
      </c>
      <c r="O247" s="148">
        <v>18184.96</v>
      </c>
      <c r="P247" s="494"/>
      <c r="Q247" s="147">
        <f t="shared" si="75"/>
        <v>0</v>
      </c>
      <c r="R247" s="148"/>
      <c r="S247" s="148">
        <f t="shared" si="76"/>
        <v>0</v>
      </c>
      <c r="T247" s="148">
        <f t="shared" si="78"/>
        <v>16</v>
      </c>
      <c r="U247" s="148">
        <f t="shared" si="77"/>
        <v>18184.96</v>
      </c>
      <c r="V247" s="379"/>
      <c r="W247" s="379"/>
      <c r="X247" s="57">
        <f>'COMPOSIÇÃO DE CUSTOS'!G614</f>
        <v>804.55</v>
      </c>
      <c r="Y247" s="334">
        <v>946.52</v>
      </c>
      <c r="Z247" s="58">
        <f t="shared" si="80"/>
        <v>-141.97799999999995</v>
      </c>
      <c r="AA247" s="58">
        <f t="shared" si="81"/>
        <v>12872.672</v>
      </c>
      <c r="AB247" s="58"/>
      <c r="AC247" s="58">
        <f t="shared" si="82"/>
        <v>16323.84</v>
      </c>
      <c r="AD247" s="58" t="e">
        <f>IF(B247&lt;&gt;0,VLOOKUP(B247,#REF!,2,FALSE),"")</f>
        <v>#REF!</v>
      </c>
      <c r="AE247" s="2">
        <v>7</v>
      </c>
      <c r="AF247" s="55">
        <f t="shared" si="72"/>
        <v>-9</v>
      </c>
    </row>
    <row r="248" spans="1:32" ht="30">
      <c r="A248" s="21" t="s">
        <v>860</v>
      </c>
      <c r="B248" s="20" t="s">
        <v>127</v>
      </c>
      <c r="C248" s="19" t="s">
        <v>128</v>
      </c>
      <c r="D248" s="21" t="s">
        <v>70</v>
      </c>
      <c r="E248" s="21" t="s">
        <v>17</v>
      </c>
      <c r="F248" s="22">
        <v>7</v>
      </c>
      <c r="G248" s="22">
        <f t="shared" si="79"/>
        <v>514.70049999999992</v>
      </c>
      <c r="H248" s="22">
        <f t="shared" si="83"/>
        <v>652.69000000000005</v>
      </c>
      <c r="I248" s="147">
        <f t="shared" si="84"/>
        <v>4568.83</v>
      </c>
      <c r="J248" s="148"/>
      <c r="K248" s="148"/>
      <c r="L248" s="148"/>
      <c r="M248" s="148">
        <v>573.38</v>
      </c>
      <c r="N248" s="148">
        <v>727.1</v>
      </c>
      <c r="O248" s="148">
        <v>5089.7</v>
      </c>
      <c r="P248" s="494"/>
      <c r="Q248" s="147">
        <f t="shared" si="75"/>
        <v>0</v>
      </c>
      <c r="R248" s="148"/>
      <c r="S248" s="148">
        <f t="shared" si="76"/>
        <v>0</v>
      </c>
      <c r="T248" s="148">
        <f t="shared" si="78"/>
        <v>7</v>
      </c>
      <c r="U248" s="148">
        <f t="shared" si="77"/>
        <v>5089.7</v>
      </c>
      <c r="V248" s="379"/>
      <c r="W248" s="379"/>
      <c r="X248" s="57">
        <f>'COMPOSIÇÃO DE CUSTOS'!G628</f>
        <v>514.71</v>
      </c>
      <c r="Y248" s="334">
        <v>605.53</v>
      </c>
      <c r="Z248" s="58">
        <f t="shared" si="80"/>
        <v>-90.829500000000053</v>
      </c>
      <c r="AA248" s="58">
        <f t="shared" si="81"/>
        <v>3602.9034999999994</v>
      </c>
      <c r="AB248" s="58"/>
      <c r="AC248" s="58">
        <f t="shared" si="82"/>
        <v>4568.83</v>
      </c>
      <c r="AD248" s="58" t="e">
        <f>IF(B248&lt;&gt;0,VLOOKUP(B248,#REF!,2,FALSE),"")</f>
        <v>#REF!</v>
      </c>
      <c r="AE248" s="2">
        <v>18</v>
      </c>
      <c r="AF248" s="55">
        <f t="shared" si="72"/>
        <v>11</v>
      </c>
    </row>
    <row r="249" spans="1:32" ht="30">
      <c r="A249" s="21" t="s">
        <v>861</v>
      </c>
      <c r="B249" s="20">
        <v>36796</v>
      </c>
      <c r="C249" s="19" t="s">
        <v>508</v>
      </c>
      <c r="D249" s="21" t="s">
        <v>12</v>
      </c>
      <c r="E249" s="21" t="s">
        <v>17</v>
      </c>
      <c r="F249" s="22">
        <v>18</v>
      </c>
      <c r="G249" s="22">
        <f t="shared" si="79"/>
        <v>155.66899999999998</v>
      </c>
      <c r="H249" s="22">
        <f t="shared" si="83"/>
        <v>197.4</v>
      </c>
      <c r="I249" s="147">
        <f t="shared" si="84"/>
        <v>3553.2</v>
      </c>
      <c r="J249" s="148"/>
      <c r="K249" s="148"/>
      <c r="L249" s="148"/>
      <c r="M249" s="148">
        <v>173.42</v>
      </c>
      <c r="N249" s="148">
        <v>219.91</v>
      </c>
      <c r="O249" s="148">
        <v>3958.38</v>
      </c>
      <c r="P249" s="494"/>
      <c r="Q249" s="147">
        <f t="shared" si="75"/>
        <v>0</v>
      </c>
      <c r="R249" s="148"/>
      <c r="S249" s="148">
        <f t="shared" si="76"/>
        <v>0</v>
      </c>
      <c r="T249" s="148">
        <f t="shared" si="78"/>
        <v>18</v>
      </c>
      <c r="U249" s="148">
        <f t="shared" si="77"/>
        <v>3958.38</v>
      </c>
      <c r="V249" s="379"/>
      <c r="W249" s="379"/>
      <c r="X249" s="58" t="e">
        <f>IF(B249&lt;&gt;0,VLOOKUP(B249,#REF!,4,FALSE),"")</f>
        <v>#REF!</v>
      </c>
      <c r="Y249" s="334" t="s">
        <v>3127</v>
      </c>
      <c r="Z249" s="58">
        <f t="shared" si="80"/>
        <v>-27.471000000000004</v>
      </c>
      <c r="AA249" s="58">
        <f t="shared" si="81"/>
        <v>2802.0419999999995</v>
      </c>
      <c r="AB249" s="58"/>
      <c r="AC249" s="58">
        <f t="shared" si="82"/>
        <v>3553.2000000000003</v>
      </c>
      <c r="AD249" s="58" t="e">
        <f>IF(B249&lt;&gt;0,VLOOKUP(B249,#REF!,2,FALSE),"")</f>
        <v>#REF!</v>
      </c>
      <c r="AE249" s="2">
        <v>5</v>
      </c>
      <c r="AF249" s="55">
        <f t="shared" si="72"/>
        <v>-13</v>
      </c>
    </row>
    <row r="250" spans="1:32" ht="30">
      <c r="A250" s="21" t="s">
        <v>862</v>
      </c>
      <c r="B250" s="20">
        <v>86881</v>
      </c>
      <c r="C250" s="19" t="s">
        <v>129</v>
      </c>
      <c r="D250" s="21" t="s">
        <v>12</v>
      </c>
      <c r="E250" s="21" t="s">
        <v>17</v>
      </c>
      <c r="F250" s="22">
        <v>5</v>
      </c>
      <c r="G250" s="22">
        <f t="shared" si="79"/>
        <v>102.02549999999999</v>
      </c>
      <c r="H250" s="22">
        <f t="shared" si="83"/>
        <v>129.38</v>
      </c>
      <c r="I250" s="147">
        <f t="shared" si="84"/>
        <v>646.9</v>
      </c>
      <c r="J250" s="148"/>
      <c r="K250" s="148"/>
      <c r="L250" s="148"/>
      <c r="M250" s="148">
        <v>113.66</v>
      </c>
      <c r="N250" s="148">
        <v>144.13</v>
      </c>
      <c r="O250" s="148">
        <v>720.65</v>
      </c>
      <c r="P250" s="494"/>
      <c r="Q250" s="147">
        <f t="shared" si="75"/>
        <v>0</v>
      </c>
      <c r="R250" s="148"/>
      <c r="S250" s="148">
        <f t="shared" si="76"/>
        <v>0</v>
      </c>
      <c r="T250" s="148">
        <f t="shared" si="78"/>
        <v>5</v>
      </c>
      <c r="U250" s="148">
        <f t="shared" si="77"/>
        <v>720.65</v>
      </c>
      <c r="V250" s="379"/>
      <c r="W250" s="379"/>
      <c r="X250" s="58" t="e">
        <f>IF(B250&lt;&gt;0,VLOOKUP(B250,#REF!,4,FALSE),"")</f>
        <v>#REF!</v>
      </c>
      <c r="Y250" s="334" t="s">
        <v>3173</v>
      </c>
      <c r="Z250" s="58">
        <f t="shared" si="80"/>
        <v>-18.004500000000007</v>
      </c>
      <c r="AA250" s="58">
        <f t="shared" si="81"/>
        <v>510.12749999999994</v>
      </c>
      <c r="AB250" s="58"/>
      <c r="AC250" s="58">
        <f t="shared" si="82"/>
        <v>646.9</v>
      </c>
      <c r="AD250" s="58" t="e">
        <f>IF(B250&lt;&gt;0,VLOOKUP(B250,#REF!,2,FALSE),"")</f>
        <v>#REF!</v>
      </c>
      <c r="AE250" s="2">
        <v>16</v>
      </c>
      <c r="AF250" s="55">
        <f t="shared" si="72"/>
        <v>11</v>
      </c>
    </row>
    <row r="251" spans="1:32" ht="30">
      <c r="A251" s="21" t="s">
        <v>863</v>
      </c>
      <c r="B251" s="20">
        <v>86881</v>
      </c>
      <c r="C251" s="19" t="s">
        <v>1601</v>
      </c>
      <c r="D251" s="21" t="s">
        <v>12</v>
      </c>
      <c r="E251" s="21" t="s">
        <v>17</v>
      </c>
      <c r="F251" s="22">
        <v>16</v>
      </c>
      <c r="G251" s="22">
        <f t="shared" si="79"/>
        <v>102.02549999999999</v>
      </c>
      <c r="H251" s="22">
        <f t="shared" si="83"/>
        <v>129.38</v>
      </c>
      <c r="I251" s="147">
        <f t="shared" si="84"/>
        <v>2070.08</v>
      </c>
      <c r="J251" s="148"/>
      <c r="K251" s="148"/>
      <c r="L251" s="148"/>
      <c r="M251" s="148">
        <v>113.66</v>
      </c>
      <c r="N251" s="148">
        <v>144.13</v>
      </c>
      <c r="O251" s="148">
        <v>2306.08</v>
      </c>
      <c r="P251" s="494"/>
      <c r="Q251" s="147">
        <f t="shared" si="75"/>
        <v>0</v>
      </c>
      <c r="R251" s="148"/>
      <c r="S251" s="148">
        <f t="shared" si="76"/>
        <v>0</v>
      </c>
      <c r="T251" s="148">
        <f t="shared" si="78"/>
        <v>16</v>
      </c>
      <c r="U251" s="148">
        <f t="shared" si="77"/>
        <v>2306.08</v>
      </c>
      <c r="V251" s="379"/>
      <c r="W251" s="379"/>
      <c r="X251" s="58" t="e">
        <f>IF(B251&lt;&gt;0,VLOOKUP(B251,#REF!,4,FALSE),"")</f>
        <v>#REF!</v>
      </c>
      <c r="Y251" s="334" t="s">
        <v>3173</v>
      </c>
      <c r="Z251" s="58">
        <f t="shared" si="80"/>
        <v>-18.004500000000007</v>
      </c>
      <c r="AA251" s="58">
        <f t="shared" si="81"/>
        <v>1632.4079999999999</v>
      </c>
      <c r="AB251" s="58"/>
      <c r="AC251" s="58">
        <f t="shared" si="82"/>
        <v>2070.08</v>
      </c>
      <c r="AD251" s="58" t="e">
        <f>IF(B251&lt;&gt;0,VLOOKUP(B251,#REF!,2,FALSE),"")</f>
        <v>#REF!</v>
      </c>
      <c r="AE251" s="2">
        <v>1</v>
      </c>
      <c r="AF251" s="55">
        <f t="shared" si="72"/>
        <v>-15</v>
      </c>
    </row>
    <row r="252" spans="1:32" ht="45">
      <c r="A252" s="21" t="s">
        <v>864</v>
      </c>
      <c r="B252" s="20">
        <v>2024</v>
      </c>
      <c r="C252" s="19" t="s">
        <v>1991</v>
      </c>
      <c r="D252" s="21" t="s">
        <v>44</v>
      </c>
      <c r="E252" s="21" t="s">
        <v>17</v>
      </c>
      <c r="F252" s="22">
        <v>1</v>
      </c>
      <c r="G252" s="22">
        <f t="shared" si="79"/>
        <v>328.185</v>
      </c>
      <c r="H252" s="22">
        <f t="shared" si="83"/>
        <v>416.17</v>
      </c>
      <c r="I252" s="147">
        <f t="shared" si="84"/>
        <v>416.17</v>
      </c>
      <c r="J252" s="148"/>
      <c r="K252" s="148"/>
      <c r="L252" s="148"/>
      <c r="M252" s="148">
        <v>365.6</v>
      </c>
      <c r="N252" s="148">
        <v>463.62</v>
      </c>
      <c r="O252" s="148">
        <v>463.62</v>
      </c>
      <c r="P252" s="494"/>
      <c r="Q252" s="147">
        <f t="shared" si="75"/>
        <v>0</v>
      </c>
      <c r="R252" s="148"/>
      <c r="S252" s="148">
        <f t="shared" si="76"/>
        <v>0</v>
      </c>
      <c r="T252" s="148">
        <f t="shared" si="78"/>
        <v>1</v>
      </c>
      <c r="U252" s="148">
        <f t="shared" si="77"/>
        <v>463.62</v>
      </c>
      <c r="V252" s="379"/>
      <c r="W252" s="379"/>
      <c r="X252" s="57">
        <f>'COMPOSIÇÃO DE CUSTOS'!G2081</f>
        <v>328.18</v>
      </c>
      <c r="Y252" s="334">
        <v>386.1</v>
      </c>
      <c r="Z252" s="58">
        <f t="shared" si="80"/>
        <v>-57.91500000000002</v>
      </c>
      <c r="AA252" s="58">
        <f t="shared" si="81"/>
        <v>328.185</v>
      </c>
      <c r="AB252" s="58"/>
      <c r="AC252" s="58">
        <f t="shared" si="82"/>
        <v>416.17</v>
      </c>
      <c r="AD252" s="58" t="e">
        <f>IF(B252&lt;&gt;0,VLOOKUP(B252,#REF!,2,FALSE),"")</f>
        <v>#REF!</v>
      </c>
      <c r="AE252" s="2">
        <v>12</v>
      </c>
      <c r="AF252" s="55">
        <f t="shared" si="72"/>
        <v>11</v>
      </c>
    </row>
    <row r="253" spans="1:32" ht="30">
      <c r="A253" s="235" t="s">
        <v>3545</v>
      </c>
      <c r="B253" s="20">
        <v>95544</v>
      </c>
      <c r="C253" s="439" t="s">
        <v>3550</v>
      </c>
      <c r="D253" s="21" t="s">
        <v>12</v>
      </c>
      <c r="E253" s="21" t="s">
        <v>17</v>
      </c>
      <c r="F253" s="22">
        <v>12</v>
      </c>
      <c r="G253" s="22">
        <f t="shared" si="79"/>
        <v>51.076500000000003</v>
      </c>
      <c r="H253" s="22">
        <f t="shared" si="83"/>
        <v>64.77</v>
      </c>
      <c r="I253" s="147">
        <f t="shared" si="84"/>
        <v>777.24</v>
      </c>
      <c r="J253" s="148"/>
      <c r="K253" s="148"/>
      <c r="L253" s="148"/>
      <c r="M253" s="148">
        <v>56.9</v>
      </c>
      <c r="N253" s="148">
        <v>72.150000000000006</v>
      </c>
      <c r="O253" s="148">
        <v>865.8</v>
      </c>
      <c r="P253" s="494"/>
      <c r="Q253" s="147">
        <f t="shared" si="75"/>
        <v>0</v>
      </c>
      <c r="R253" s="148"/>
      <c r="S253" s="148">
        <f t="shared" si="76"/>
        <v>0</v>
      </c>
      <c r="T253" s="148">
        <f t="shared" si="78"/>
        <v>12</v>
      </c>
      <c r="U253" s="148">
        <f t="shared" si="77"/>
        <v>865.8</v>
      </c>
      <c r="V253" s="379"/>
      <c r="W253" s="379"/>
      <c r="X253" s="57" t="e">
        <f>IF(B253&lt;&gt;0,VLOOKUP(B253,#REF!,4,FALSE),"")</f>
        <v>#REF!</v>
      </c>
      <c r="Y253" s="334" t="s">
        <v>3124</v>
      </c>
      <c r="Z253" s="58">
        <f t="shared" si="80"/>
        <v>-9.0135000000000005</v>
      </c>
      <c r="AA253" s="58">
        <f t="shared" si="81"/>
        <v>612.91800000000001</v>
      </c>
      <c r="AB253" s="58"/>
      <c r="AC253" s="58">
        <f t="shared" si="82"/>
        <v>777.24</v>
      </c>
      <c r="AD253" s="58" t="e">
        <f>IF(B253&lt;&gt;0,VLOOKUP(B253,#REF!,2,FALSE),"")</f>
        <v>#REF!</v>
      </c>
      <c r="AE253" s="2">
        <v>21</v>
      </c>
      <c r="AF253" s="55">
        <f t="shared" si="72"/>
        <v>9</v>
      </c>
    </row>
    <row r="254" spans="1:32" s="23" customFormat="1">
      <c r="A254" s="21" t="s">
        <v>866</v>
      </c>
      <c r="B254" s="20">
        <v>9502</v>
      </c>
      <c r="C254" s="19" t="s">
        <v>130</v>
      </c>
      <c r="D254" s="21" t="s">
        <v>44</v>
      </c>
      <c r="E254" s="21" t="s">
        <v>17</v>
      </c>
      <c r="F254" s="22">
        <v>21</v>
      </c>
      <c r="G254" s="22">
        <f t="shared" si="79"/>
        <v>191.22450000000001</v>
      </c>
      <c r="H254" s="22">
        <f t="shared" si="83"/>
        <v>242.49</v>
      </c>
      <c r="I254" s="147">
        <f t="shared" si="84"/>
        <v>5092.29</v>
      </c>
      <c r="J254" s="148"/>
      <c r="K254" s="148"/>
      <c r="L254" s="148"/>
      <c r="M254" s="148">
        <v>213.03</v>
      </c>
      <c r="N254" s="148">
        <v>270.14</v>
      </c>
      <c r="O254" s="148">
        <v>5672.94</v>
      </c>
      <c r="P254" s="494"/>
      <c r="Q254" s="147">
        <f t="shared" si="75"/>
        <v>0</v>
      </c>
      <c r="R254" s="148"/>
      <c r="S254" s="148">
        <f t="shared" si="76"/>
        <v>0</v>
      </c>
      <c r="T254" s="148">
        <f t="shared" si="78"/>
        <v>21</v>
      </c>
      <c r="U254" s="148">
        <f t="shared" si="77"/>
        <v>5672.94</v>
      </c>
      <c r="V254" s="379"/>
      <c r="W254" s="379"/>
      <c r="X254" s="57">
        <f>'COMPOSIÇÃO DE CUSTOS'!G1862</f>
        <v>191.22</v>
      </c>
      <c r="Y254" s="334">
        <v>224.97</v>
      </c>
      <c r="Z254" s="58">
        <f t="shared" si="80"/>
        <v>-33.745499999999993</v>
      </c>
      <c r="AA254" s="58">
        <f t="shared" si="81"/>
        <v>4015.7145</v>
      </c>
      <c r="AB254" s="58"/>
      <c r="AC254" s="58">
        <f t="shared" si="82"/>
        <v>5092.29</v>
      </c>
      <c r="AD254" s="58" t="e">
        <f>IF(B254&lt;&gt;0,VLOOKUP(B254,#REF!,2,FALSE),"")</f>
        <v>#REF!</v>
      </c>
      <c r="AE254" s="23">
        <v>2</v>
      </c>
      <c r="AF254" s="55">
        <f t="shared" si="72"/>
        <v>-19</v>
      </c>
    </row>
    <row r="255" spans="1:32" ht="75">
      <c r="A255" s="21" t="s">
        <v>867</v>
      </c>
      <c r="B255" s="20">
        <v>86923</v>
      </c>
      <c r="C255" s="19" t="s">
        <v>1603</v>
      </c>
      <c r="D255" s="21" t="s">
        <v>12</v>
      </c>
      <c r="E255" s="21" t="s">
        <v>17</v>
      </c>
      <c r="F255" s="22">
        <v>2</v>
      </c>
      <c r="G255" s="22">
        <f t="shared" si="79"/>
        <v>368.51750000000004</v>
      </c>
      <c r="H255" s="22">
        <f t="shared" si="83"/>
        <v>467.32</v>
      </c>
      <c r="I255" s="147">
        <f t="shared" si="84"/>
        <v>934.64</v>
      </c>
      <c r="J255" s="148"/>
      <c r="K255" s="148"/>
      <c r="L255" s="148"/>
      <c r="M255" s="148">
        <v>410.53</v>
      </c>
      <c r="N255" s="148">
        <v>520.59</v>
      </c>
      <c r="O255" s="148">
        <v>1041.18</v>
      </c>
      <c r="P255" s="494"/>
      <c r="Q255" s="147">
        <f t="shared" si="75"/>
        <v>0</v>
      </c>
      <c r="R255" s="148"/>
      <c r="S255" s="148">
        <f t="shared" si="76"/>
        <v>0</v>
      </c>
      <c r="T255" s="148">
        <f t="shared" si="78"/>
        <v>2</v>
      </c>
      <c r="U255" s="148">
        <f t="shared" si="77"/>
        <v>1041.18</v>
      </c>
      <c r="V255" s="379"/>
      <c r="W255" s="379"/>
      <c r="X255" s="57" t="e">
        <f>IF(B255&lt;&gt;0,VLOOKUP(B255,#REF!,4,FALSE),"")</f>
        <v>#REF!</v>
      </c>
      <c r="Y255" s="334" t="s">
        <v>3292</v>
      </c>
      <c r="Z255" s="58">
        <f t="shared" si="80"/>
        <v>-65.03249999999997</v>
      </c>
      <c r="AA255" s="58">
        <f t="shared" si="81"/>
        <v>737.03500000000008</v>
      </c>
      <c r="AB255" s="58"/>
      <c r="AC255" s="58">
        <f t="shared" si="82"/>
        <v>934.64</v>
      </c>
      <c r="AD255" s="58" t="e">
        <f>IF(B255&lt;&gt;0,VLOOKUP(B255,#REF!,2,FALSE),"")</f>
        <v>#REF!</v>
      </c>
      <c r="AE255" s="2">
        <v>1</v>
      </c>
      <c r="AF255" s="55">
        <f t="shared" si="72"/>
        <v>-1</v>
      </c>
    </row>
    <row r="256" spans="1:32" ht="105">
      <c r="A256" s="21" t="s">
        <v>868</v>
      </c>
      <c r="B256" s="20">
        <v>93441</v>
      </c>
      <c r="C256" s="19" t="s">
        <v>1604</v>
      </c>
      <c r="D256" s="21" t="s">
        <v>12</v>
      </c>
      <c r="E256" s="21" t="s">
        <v>17</v>
      </c>
      <c r="F256" s="22">
        <v>1</v>
      </c>
      <c r="G256" s="22">
        <f t="shared" si="79"/>
        <v>661.6825</v>
      </c>
      <c r="H256" s="22">
        <f t="shared" si="83"/>
        <v>839.08</v>
      </c>
      <c r="I256" s="147">
        <f t="shared" si="84"/>
        <v>839.08</v>
      </c>
      <c r="J256" s="148"/>
      <c r="K256" s="148"/>
      <c r="L256" s="148"/>
      <c r="M256" s="148">
        <v>737.12</v>
      </c>
      <c r="N256" s="148">
        <v>934.74</v>
      </c>
      <c r="O256" s="148">
        <v>934.74</v>
      </c>
      <c r="P256" s="494"/>
      <c r="Q256" s="147">
        <f t="shared" si="75"/>
        <v>0</v>
      </c>
      <c r="R256" s="148"/>
      <c r="S256" s="148">
        <f t="shared" si="76"/>
        <v>0</v>
      </c>
      <c r="T256" s="148">
        <f t="shared" si="78"/>
        <v>1</v>
      </c>
      <c r="U256" s="148">
        <f t="shared" si="77"/>
        <v>934.74</v>
      </c>
      <c r="V256" s="379"/>
      <c r="W256" s="379"/>
      <c r="X256" s="58" t="e">
        <f>IF(B256&lt;&gt;0,VLOOKUP(B256,#REF!,4,FALSE),"")</f>
        <v>#REF!</v>
      </c>
      <c r="Y256" s="334" t="s">
        <v>3293</v>
      </c>
      <c r="Z256" s="58">
        <f t="shared" si="80"/>
        <v>-116.76750000000004</v>
      </c>
      <c r="AA256" s="58">
        <f t="shared" si="81"/>
        <v>661.6825</v>
      </c>
      <c r="AB256" s="58"/>
      <c r="AC256" s="58">
        <f t="shared" si="82"/>
        <v>839.08</v>
      </c>
      <c r="AD256" s="58" t="e">
        <f>IF(B256&lt;&gt;0,VLOOKUP(B256,#REF!,2,FALSE),"")</f>
        <v>#REF!</v>
      </c>
      <c r="AE256" s="2">
        <v>4</v>
      </c>
      <c r="AF256" s="55">
        <f t="shared" si="72"/>
        <v>3</v>
      </c>
    </row>
    <row r="257" spans="1:32" s="23" customFormat="1" ht="30">
      <c r="A257" s="235" t="s">
        <v>3546</v>
      </c>
      <c r="B257" s="20">
        <v>100858</v>
      </c>
      <c r="C257" s="439" t="s">
        <v>3768</v>
      </c>
      <c r="D257" s="21" t="s">
        <v>12</v>
      </c>
      <c r="E257" s="21" t="s">
        <v>17</v>
      </c>
      <c r="F257" s="22">
        <v>4</v>
      </c>
      <c r="G257" s="22">
        <f t="shared" si="79"/>
        <v>439.20350000000002</v>
      </c>
      <c r="H257" s="22">
        <f t="shared" si="83"/>
        <v>556.95000000000005</v>
      </c>
      <c r="I257" s="147">
        <f t="shared" si="84"/>
        <v>2227.8000000000002</v>
      </c>
      <c r="J257" s="148"/>
      <c r="K257" s="148"/>
      <c r="L257" s="148"/>
      <c r="M257" s="148">
        <v>489.28</v>
      </c>
      <c r="N257" s="148">
        <v>620.46</v>
      </c>
      <c r="O257" s="148">
        <v>2481.84</v>
      </c>
      <c r="P257" s="494"/>
      <c r="Q257" s="147">
        <f t="shared" si="75"/>
        <v>0</v>
      </c>
      <c r="R257" s="148"/>
      <c r="S257" s="148">
        <f t="shared" si="76"/>
        <v>0</v>
      </c>
      <c r="T257" s="148">
        <f t="shared" si="78"/>
        <v>4</v>
      </c>
      <c r="U257" s="148">
        <f t="shared" si="77"/>
        <v>2481.84</v>
      </c>
      <c r="V257" s="379"/>
      <c r="W257" s="379"/>
      <c r="X257" s="58" t="e">
        <f>IF(B257&lt;&gt;0,VLOOKUP(B257,#REF!,4,FALSE),"")</f>
        <v>#REF!</v>
      </c>
      <c r="Y257" s="334" t="s">
        <v>3294</v>
      </c>
      <c r="Z257" s="58">
        <f t="shared" si="80"/>
        <v>-77.506500000000017</v>
      </c>
      <c r="AA257" s="58">
        <f t="shared" si="81"/>
        <v>1756.8140000000001</v>
      </c>
      <c r="AB257" s="58"/>
      <c r="AC257" s="58">
        <f t="shared" si="82"/>
        <v>2227.8000000000002</v>
      </c>
      <c r="AD257" s="58" t="e">
        <f>IF(B257&lt;&gt;0,VLOOKUP(B257,#REF!,2,FALSE),"")</f>
        <v>#REF!</v>
      </c>
      <c r="AE257" s="23">
        <v>1</v>
      </c>
      <c r="AF257" s="55">
        <f t="shared" si="72"/>
        <v>-3</v>
      </c>
    </row>
    <row r="258" spans="1:32" s="55" customFormat="1" ht="30">
      <c r="A258" s="21" t="s">
        <v>2682</v>
      </c>
      <c r="B258" s="20">
        <v>465</v>
      </c>
      <c r="C258" s="19" t="s">
        <v>2988</v>
      </c>
      <c r="D258" s="21" t="s">
        <v>44</v>
      </c>
      <c r="E258" s="21" t="s">
        <v>17</v>
      </c>
      <c r="F258" s="22">
        <v>1</v>
      </c>
      <c r="G258" s="22">
        <f t="shared" si="79"/>
        <v>6323.8980000000001</v>
      </c>
      <c r="H258" s="22">
        <f t="shared" si="83"/>
        <v>8019.34</v>
      </c>
      <c r="I258" s="147">
        <f t="shared" si="84"/>
        <v>8019.34</v>
      </c>
      <c r="J258" s="148"/>
      <c r="K258" s="148"/>
      <c r="L258" s="148"/>
      <c r="M258" s="148">
        <v>7044.88</v>
      </c>
      <c r="N258" s="148">
        <v>8933.61</v>
      </c>
      <c r="O258" s="148">
        <v>8933.61</v>
      </c>
      <c r="P258" s="494"/>
      <c r="Q258" s="147">
        <f t="shared" si="75"/>
        <v>0</v>
      </c>
      <c r="R258" s="148"/>
      <c r="S258" s="148">
        <f t="shared" si="76"/>
        <v>0</v>
      </c>
      <c r="T258" s="148">
        <f t="shared" si="78"/>
        <v>1</v>
      </c>
      <c r="U258" s="148">
        <f t="shared" si="77"/>
        <v>8933.61</v>
      </c>
      <c r="V258" s="379"/>
      <c r="W258" s="379"/>
      <c r="X258" s="57" t="e">
        <f>IF(B258&lt;&gt;0,VLOOKUP(B258,#REF!,2,FALSE),"")</f>
        <v>#REF!</v>
      </c>
      <c r="Y258" s="334">
        <v>7439.88</v>
      </c>
      <c r="Z258" s="58">
        <f t="shared" si="80"/>
        <v>-1115.982</v>
      </c>
      <c r="AA258" s="58">
        <f t="shared" si="81"/>
        <v>6323.8980000000001</v>
      </c>
      <c r="AB258" s="58"/>
      <c r="AC258" s="58">
        <f t="shared" si="82"/>
        <v>8019.34</v>
      </c>
      <c r="AD258" s="58" t="e">
        <f>IF(B258&lt;&gt;0,VLOOKUP(B258,#REF!,2,FALSE),"")</f>
        <v>#REF!</v>
      </c>
      <c r="AE258" s="55">
        <v>1</v>
      </c>
      <c r="AF258" s="55">
        <f t="shared" si="72"/>
        <v>0</v>
      </c>
    </row>
    <row r="259" spans="1:32" ht="30">
      <c r="A259" s="235" t="s">
        <v>3547</v>
      </c>
      <c r="B259" s="20">
        <v>37105</v>
      </c>
      <c r="C259" s="439" t="s">
        <v>3769</v>
      </c>
      <c r="D259" s="21" t="s">
        <v>12</v>
      </c>
      <c r="E259" s="21" t="s">
        <v>17</v>
      </c>
      <c r="F259" s="22">
        <v>1</v>
      </c>
      <c r="G259" s="22">
        <f t="shared" si="79"/>
        <v>1906.9494999999997</v>
      </c>
      <c r="H259" s="22">
        <f t="shared" si="83"/>
        <v>2418.1999999999998</v>
      </c>
      <c r="I259" s="147">
        <f t="shared" si="84"/>
        <v>2418.1999999999998</v>
      </c>
      <c r="J259" s="148"/>
      <c r="K259" s="148"/>
      <c r="L259" s="148"/>
      <c r="M259" s="148">
        <v>2124.36</v>
      </c>
      <c r="N259" s="148">
        <v>2693.9</v>
      </c>
      <c r="O259" s="148">
        <v>2693.9</v>
      </c>
      <c r="P259" s="494"/>
      <c r="Q259" s="147">
        <f t="shared" si="75"/>
        <v>0</v>
      </c>
      <c r="R259" s="148"/>
      <c r="S259" s="148">
        <f t="shared" si="76"/>
        <v>0</v>
      </c>
      <c r="T259" s="148">
        <f t="shared" si="78"/>
        <v>1</v>
      </c>
      <c r="U259" s="148">
        <f t="shared" si="77"/>
        <v>2693.9</v>
      </c>
      <c r="V259" s="379"/>
      <c r="W259" s="379"/>
      <c r="X259" s="57" t="e">
        <f>IF(B259&lt;&gt;0,VLOOKUP(B259,#REF!,4,FALSE),"")</f>
        <v>#REF!</v>
      </c>
      <c r="Y259" s="334" t="s">
        <v>3314</v>
      </c>
      <c r="Z259" s="58">
        <f t="shared" si="80"/>
        <v>-336.52050000000008</v>
      </c>
      <c r="AA259" s="58">
        <f t="shared" si="81"/>
        <v>1906.9494999999997</v>
      </c>
      <c r="AB259" s="58"/>
      <c r="AC259" s="58">
        <f t="shared" si="82"/>
        <v>2418.1999999999998</v>
      </c>
      <c r="AD259" s="58" t="e">
        <f>IF(B259&lt;&gt;0,VLOOKUP(B259,#REF!,2,FALSE),"")</f>
        <v>#REF!</v>
      </c>
      <c r="AE259" s="2">
        <v>12</v>
      </c>
      <c r="AF259" s="55">
        <f t="shared" si="72"/>
        <v>11</v>
      </c>
    </row>
    <row r="260" spans="1:32" ht="30">
      <c r="A260" s="21" t="s">
        <v>2720</v>
      </c>
      <c r="B260" s="20">
        <v>8492</v>
      </c>
      <c r="C260" s="19" t="s">
        <v>131</v>
      </c>
      <c r="D260" s="21" t="s">
        <v>44</v>
      </c>
      <c r="E260" s="21" t="s">
        <v>17</v>
      </c>
      <c r="F260" s="22">
        <v>12</v>
      </c>
      <c r="G260" s="22">
        <f t="shared" si="79"/>
        <v>147.084</v>
      </c>
      <c r="H260" s="22">
        <f t="shared" si="83"/>
        <v>186.52</v>
      </c>
      <c r="I260" s="147">
        <f t="shared" si="84"/>
        <v>2238.2399999999998</v>
      </c>
      <c r="J260" s="148"/>
      <c r="K260" s="148"/>
      <c r="L260" s="148"/>
      <c r="M260" s="148">
        <v>163.85</v>
      </c>
      <c r="N260" s="148">
        <v>207.78</v>
      </c>
      <c r="O260" s="148">
        <v>2493.36</v>
      </c>
      <c r="P260" s="494"/>
      <c r="Q260" s="147">
        <f t="shared" si="75"/>
        <v>0</v>
      </c>
      <c r="R260" s="148"/>
      <c r="S260" s="148">
        <f t="shared" si="76"/>
        <v>0</v>
      </c>
      <c r="T260" s="148">
        <f t="shared" si="78"/>
        <v>12</v>
      </c>
      <c r="U260" s="148">
        <f t="shared" si="77"/>
        <v>2493.36</v>
      </c>
      <c r="V260" s="379"/>
      <c r="W260" s="379"/>
      <c r="X260" s="57">
        <f>'COMPOSIÇÃO DE CUSTOS'!G2066</f>
        <v>147.09</v>
      </c>
      <c r="Y260" s="334">
        <v>173.04</v>
      </c>
      <c r="Z260" s="58">
        <f t="shared" si="80"/>
        <v>-25.955999999999989</v>
      </c>
      <c r="AA260" s="58">
        <f t="shared" si="81"/>
        <v>1765.008</v>
      </c>
      <c r="AB260" s="58"/>
      <c r="AC260" s="58">
        <f t="shared" si="82"/>
        <v>2238.2400000000002</v>
      </c>
      <c r="AD260" s="58" t="e">
        <f>IF(B260&lt;&gt;0,VLOOKUP(B260,#REF!,2,FALSE),"")</f>
        <v>#REF!</v>
      </c>
      <c r="AE260" s="2">
        <v>6</v>
      </c>
      <c r="AF260" s="55">
        <f t="shared" si="72"/>
        <v>-6</v>
      </c>
    </row>
    <row r="261" spans="1:32" ht="30">
      <c r="A261" s="21" t="s">
        <v>2721</v>
      </c>
      <c r="B261" s="20">
        <v>12122</v>
      </c>
      <c r="C261" s="19" t="s">
        <v>132</v>
      </c>
      <c r="D261" s="21" t="s">
        <v>44</v>
      </c>
      <c r="E261" s="21" t="s">
        <v>17</v>
      </c>
      <c r="F261" s="22">
        <v>6</v>
      </c>
      <c r="G261" s="22">
        <f t="shared" si="79"/>
        <v>140.45400000000001</v>
      </c>
      <c r="H261" s="22">
        <f t="shared" si="83"/>
        <v>178.11</v>
      </c>
      <c r="I261" s="147">
        <f t="shared" si="84"/>
        <v>1068.6600000000001</v>
      </c>
      <c r="J261" s="148"/>
      <c r="K261" s="148"/>
      <c r="L261" s="148"/>
      <c r="M261" s="148">
        <v>156.47</v>
      </c>
      <c r="N261" s="148">
        <v>198.42</v>
      </c>
      <c r="O261" s="148">
        <v>1190.52</v>
      </c>
      <c r="P261" s="494"/>
      <c r="Q261" s="147">
        <f t="shared" si="75"/>
        <v>0</v>
      </c>
      <c r="R261" s="148"/>
      <c r="S261" s="148">
        <f t="shared" si="76"/>
        <v>0</v>
      </c>
      <c r="T261" s="148">
        <f t="shared" si="78"/>
        <v>6</v>
      </c>
      <c r="U261" s="148">
        <f t="shared" si="77"/>
        <v>1190.52</v>
      </c>
      <c r="V261" s="379"/>
      <c r="W261" s="379"/>
      <c r="X261" s="57">
        <f>'COMPOSIÇÃO DE CUSTOS'!G2072</f>
        <v>140.46</v>
      </c>
      <c r="Y261" s="334">
        <v>165.24</v>
      </c>
      <c r="Z261" s="58">
        <f t="shared" si="80"/>
        <v>-24.786000000000001</v>
      </c>
      <c r="AA261" s="58">
        <f t="shared" si="81"/>
        <v>842.72400000000005</v>
      </c>
      <c r="AB261" s="58"/>
      <c r="AC261" s="58">
        <f t="shared" si="82"/>
        <v>1068.6600000000001</v>
      </c>
      <c r="AD261" s="58" t="e">
        <f>IF(B261&lt;&gt;0,VLOOKUP(B261,#REF!,2,FALSE),"")</f>
        <v>#REF!</v>
      </c>
      <c r="AF261" s="55">
        <f t="shared" ref="AF261:AF324" si="85">AE261-F261</f>
        <v>-6</v>
      </c>
    </row>
    <row r="262" spans="1:32">
      <c r="A262" s="69" t="s">
        <v>869</v>
      </c>
      <c r="B262" s="129"/>
      <c r="C262" s="229" t="s">
        <v>133</v>
      </c>
      <c r="D262" s="230"/>
      <c r="E262" s="230"/>
      <c r="F262" s="230"/>
      <c r="G262" s="22"/>
      <c r="H262" s="230"/>
      <c r="I262" s="445"/>
      <c r="J262" s="440"/>
      <c r="K262" s="440"/>
      <c r="L262" s="440"/>
      <c r="M262" s="440"/>
      <c r="N262" s="440"/>
      <c r="O262" s="440"/>
      <c r="P262" s="492"/>
      <c r="Q262" s="147">
        <f t="shared" si="75"/>
        <v>0</v>
      </c>
      <c r="R262" s="148"/>
      <c r="S262" s="148">
        <f t="shared" si="76"/>
        <v>0</v>
      </c>
      <c r="T262" s="148" t="str">
        <f t="shared" si="78"/>
        <v xml:space="preserve"> </v>
      </c>
      <c r="U262" s="148">
        <f t="shared" si="77"/>
        <v>0</v>
      </c>
      <c r="V262" s="330"/>
      <c r="W262" s="330"/>
      <c r="X262" s="58" t="str">
        <f>IF(B262&lt;&gt;0,VLOOKUP(B262,#REF!,4,FALSE),"")</f>
        <v/>
      </c>
      <c r="Y262" s="334" t="s">
        <v>1891</v>
      </c>
      <c r="Z262" s="58"/>
      <c r="AA262" s="58">
        <f t="shared" si="81"/>
        <v>0</v>
      </c>
      <c r="AB262" s="58"/>
      <c r="AC262" s="58">
        <f t="shared" si="82"/>
        <v>0</v>
      </c>
      <c r="AD262" s="58" t="str">
        <f>IF(B262&lt;&gt;0,VLOOKUP(B262,#REF!,2,FALSE),"")</f>
        <v/>
      </c>
      <c r="AE262" s="2">
        <v>11</v>
      </c>
      <c r="AF262" s="55">
        <f t="shared" si="85"/>
        <v>11</v>
      </c>
    </row>
    <row r="263" spans="1:32" ht="45">
      <c r="A263" s="21" t="s">
        <v>870</v>
      </c>
      <c r="B263" s="20">
        <v>89985</v>
      </c>
      <c r="C263" s="19" t="s">
        <v>1605</v>
      </c>
      <c r="D263" s="21" t="s">
        <v>12</v>
      </c>
      <c r="E263" s="21" t="s">
        <v>17</v>
      </c>
      <c r="F263" s="22">
        <v>11</v>
      </c>
      <c r="G263" s="22">
        <f t="shared" si="79"/>
        <v>61.506</v>
      </c>
      <c r="H263" s="22">
        <f>ROUND(G263*(1+$X$13),2)</f>
        <v>78</v>
      </c>
      <c r="I263" s="147">
        <f>ROUND(H263*F263,2)</f>
        <v>858</v>
      </c>
      <c r="J263" s="148"/>
      <c r="K263" s="148"/>
      <c r="L263" s="148"/>
      <c r="M263" s="148">
        <v>68.52</v>
      </c>
      <c r="N263" s="148">
        <v>86.89</v>
      </c>
      <c r="O263" s="148">
        <v>955.79</v>
      </c>
      <c r="P263" s="494"/>
      <c r="Q263" s="147">
        <f t="shared" si="75"/>
        <v>0</v>
      </c>
      <c r="R263" s="148"/>
      <c r="S263" s="148">
        <f t="shared" si="76"/>
        <v>0</v>
      </c>
      <c r="T263" s="148">
        <f t="shared" si="78"/>
        <v>11</v>
      </c>
      <c r="U263" s="148">
        <f t="shared" si="77"/>
        <v>955.79</v>
      </c>
      <c r="V263" s="379"/>
      <c r="W263" s="379"/>
      <c r="X263" s="58" t="e">
        <f>IF(B263&lt;&gt;0,VLOOKUP(B263,#REF!,4,FALSE),"")</f>
        <v>#REF!</v>
      </c>
      <c r="Y263" s="334" t="s">
        <v>3295</v>
      </c>
      <c r="Z263" s="58">
        <f t="shared" si="80"/>
        <v>-10.853999999999999</v>
      </c>
      <c r="AA263" s="58">
        <f t="shared" si="81"/>
        <v>676.56600000000003</v>
      </c>
      <c r="AB263" s="58"/>
      <c r="AC263" s="58">
        <f t="shared" si="82"/>
        <v>858</v>
      </c>
      <c r="AD263" s="58" t="e">
        <f>IF(B263&lt;&gt;0,VLOOKUP(B263,#REF!,2,FALSE),"")</f>
        <v>#REF!</v>
      </c>
      <c r="AF263" s="55">
        <f t="shared" si="85"/>
        <v>-11</v>
      </c>
    </row>
    <row r="264" spans="1:32">
      <c r="A264" s="69" t="s">
        <v>871</v>
      </c>
      <c r="B264" s="129"/>
      <c r="C264" s="229" t="s">
        <v>134</v>
      </c>
      <c r="D264" s="230"/>
      <c r="E264" s="230"/>
      <c r="F264" s="230"/>
      <c r="G264" s="22"/>
      <c r="H264" s="230"/>
      <c r="I264" s="445"/>
      <c r="J264" s="440"/>
      <c r="K264" s="440"/>
      <c r="L264" s="440"/>
      <c r="M264" s="440"/>
      <c r="N264" s="440"/>
      <c r="O264" s="440"/>
      <c r="P264" s="492"/>
      <c r="Q264" s="147">
        <f t="shared" si="75"/>
        <v>0</v>
      </c>
      <c r="R264" s="148"/>
      <c r="S264" s="148">
        <f t="shared" si="76"/>
        <v>0</v>
      </c>
      <c r="T264" s="148" t="str">
        <f t="shared" si="78"/>
        <v xml:space="preserve"> </v>
      </c>
      <c r="U264" s="148">
        <f t="shared" si="77"/>
        <v>0</v>
      </c>
      <c r="V264" s="330"/>
      <c r="W264" s="330"/>
      <c r="X264" s="58" t="str">
        <f>IF(B264&lt;&gt;0,VLOOKUP(B264,#REF!,4,FALSE),"")</f>
        <v/>
      </c>
      <c r="Y264" s="334" t="s">
        <v>1891</v>
      </c>
      <c r="Z264" s="58"/>
      <c r="AA264" s="58">
        <f t="shared" si="81"/>
        <v>0</v>
      </c>
      <c r="AB264" s="58"/>
      <c r="AC264" s="58">
        <f t="shared" si="82"/>
        <v>0</v>
      </c>
      <c r="AD264" s="58" t="str">
        <f>IF(B264&lt;&gt;0,VLOOKUP(B264,#REF!,2,FALSE),"")</f>
        <v/>
      </c>
      <c r="AE264" s="2">
        <v>2</v>
      </c>
      <c r="AF264" s="55">
        <f t="shared" si="85"/>
        <v>2</v>
      </c>
    </row>
    <row r="265" spans="1:32" ht="45">
      <c r="A265" s="21" t="s">
        <v>872</v>
      </c>
      <c r="B265" s="20">
        <v>89353</v>
      </c>
      <c r="C265" s="19" t="s">
        <v>1606</v>
      </c>
      <c r="D265" s="21" t="s">
        <v>12</v>
      </c>
      <c r="E265" s="21" t="s">
        <v>17</v>
      </c>
      <c r="F265" s="22">
        <v>2</v>
      </c>
      <c r="G265" s="22">
        <f t="shared" si="79"/>
        <v>28.984999999999999</v>
      </c>
      <c r="H265" s="22">
        <f t="shared" ref="H265:H270" si="86">ROUND(G265*(1+$X$13),2)</f>
        <v>36.76</v>
      </c>
      <c r="I265" s="147">
        <f t="shared" ref="I265:I270" si="87">ROUND(H265*F265,2)</f>
        <v>73.52</v>
      </c>
      <c r="J265" s="148"/>
      <c r="K265" s="148"/>
      <c r="L265" s="148"/>
      <c r="M265" s="148">
        <v>32.29</v>
      </c>
      <c r="N265" s="148">
        <v>40.950000000000003</v>
      </c>
      <c r="O265" s="148">
        <v>81.900000000000006</v>
      </c>
      <c r="P265" s="494"/>
      <c r="Q265" s="147">
        <f t="shared" si="75"/>
        <v>0</v>
      </c>
      <c r="R265" s="148"/>
      <c r="S265" s="148">
        <f t="shared" si="76"/>
        <v>0</v>
      </c>
      <c r="T265" s="148">
        <f t="shared" si="78"/>
        <v>2</v>
      </c>
      <c r="U265" s="148">
        <f t="shared" si="77"/>
        <v>81.900000000000006</v>
      </c>
      <c r="V265" s="379"/>
      <c r="W265" s="379"/>
      <c r="X265" s="58" t="e">
        <f>IF(B265&lt;&gt;0,VLOOKUP(B265,#REF!,4,FALSE),"")</f>
        <v>#REF!</v>
      </c>
      <c r="Y265" s="334" t="s">
        <v>3285</v>
      </c>
      <c r="Z265" s="58">
        <f t="shared" si="80"/>
        <v>-5.115000000000002</v>
      </c>
      <c r="AA265" s="58">
        <f t="shared" si="81"/>
        <v>57.97</v>
      </c>
      <c r="AB265" s="58"/>
      <c r="AC265" s="58">
        <f t="shared" si="82"/>
        <v>73.52</v>
      </c>
      <c r="AD265" s="58" t="e">
        <f>IF(B265&lt;&gt;0,VLOOKUP(B265,#REF!,2,FALSE),"")</f>
        <v>#REF!</v>
      </c>
      <c r="AE265" s="2">
        <v>13</v>
      </c>
      <c r="AF265" s="55">
        <f t="shared" si="85"/>
        <v>11</v>
      </c>
    </row>
    <row r="266" spans="1:32" ht="75">
      <c r="A266" s="21" t="s">
        <v>873</v>
      </c>
      <c r="B266" s="20">
        <v>94495</v>
      </c>
      <c r="C266" s="19" t="s">
        <v>1607</v>
      </c>
      <c r="D266" s="21" t="s">
        <v>12</v>
      </c>
      <c r="E266" s="21" t="s">
        <v>17</v>
      </c>
      <c r="F266" s="22">
        <v>13</v>
      </c>
      <c r="G266" s="22">
        <f t="shared" si="79"/>
        <v>57.638500000000001</v>
      </c>
      <c r="H266" s="22">
        <f t="shared" si="86"/>
        <v>73.09</v>
      </c>
      <c r="I266" s="147">
        <f t="shared" si="87"/>
        <v>950.17</v>
      </c>
      <c r="J266" s="148"/>
      <c r="K266" s="148"/>
      <c r="L266" s="148"/>
      <c r="M266" s="148">
        <v>64.209999999999994</v>
      </c>
      <c r="N266" s="148">
        <v>81.42</v>
      </c>
      <c r="O266" s="148">
        <v>1058.46</v>
      </c>
      <c r="P266" s="494"/>
      <c r="Q266" s="147">
        <f t="shared" si="75"/>
        <v>0</v>
      </c>
      <c r="R266" s="148"/>
      <c r="S266" s="148">
        <f t="shared" si="76"/>
        <v>0</v>
      </c>
      <c r="T266" s="148">
        <f t="shared" si="78"/>
        <v>13</v>
      </c>
      <c r="U266" s="148">
        <f t="shared" si="77"/>
        <v>1058.46</v>
      </c>
      <c r="V266" s="379"/>
      <c r="W266" s="379"/>
      <c r="X266" s="58" t="e">
        <f>IF(B266&lt;&gt;0,VLOOKUP(B266,#REF!,4,FALSE),"")</f>
        <v>#REF!</v>
      </c>
      <c r="Y266" s="334" t="s">
        <v>3297</v>
      </c>
      <c r="Z266" s="58">
        <f t="shared" si="80"/>
        <v>-10.171500000000002</v>
      </c>
      <c r="AA266" s="58">
        <f t="shared" si="81"/>
        <v>749.30050000000006</v>
      </c>
      <c r="AB266" s="58"/>
      <c r="AC266" s="58">
        <f t="shared" si="82"/>
        <v>950.17000000000007</v>
      </c>
      <c r="AD266" s="58" t="e">
        <f>IF(B266&lt;&gt;0,VLOOKUP(B266,#REF!,2,FALSE),"")</f>
        <v>#REF!</v>
      </c>
      <c r="AE266" s="2">
        <v>7</v>
      </c>
      <c r="AF266" s="55">
        <f t="shared" si="85"/>
        <v>-6</v>
      </c>
    </row>
    <row r="267" spans="1:32" ht="90">
      <c r="A267" s="21" t="s">
        <v>874</v>
      </c>
      <c r="B267" s="20">
        <v>94793</v>
      </c>
      <c r="C267" s="19" t="s">
        <v>1608</v>
      </c>
      <c r="D267" s="21" t="s">
        <v>12</v>
      </c>
      <c r="E267" s="21" t="s">
        <v>17</v>
      </c>
      <c r="F267" s="22">
        <v>7</v>
      </c>
      <c r="G267" s="22">
        <f t="shared" si="79"/>
        <v>118.88100000000001</v>
      </c>
      <c r="H267" s="22">
        <f t="shared" si="86"/>
        <v>150.75</v>
      </c>
      <c r="I267" s="147">
        <f t="shared" si="87"/>
        <v>1055.25</v>
      </c>
      <c r="J267" s="148"/>
      <c r="K267" s="148"/>
      <c r="L267" s="148"/>
      <c r="M267" s="148">
        <v>132.43</v>
      </c>
      <c r="N267" s="148">
        <v>167.93</v>
      </c>
      <c r="O267" s="148">
        <v>1175.51</v>
      </c>
      <c r="P267" s="494"/>
      <c r="Q267" s="147">
        <f t="shared" si="75"/>
        <v>0</v>
      </c>
      <c r="R267" s="148"/>
      <c r="S267" s="148">
        <f t="shared" si="76"/>
        <v>0</v>
      </c>
      <c r="T267" s="148">
        <f t="shared" si="78"/>
        <v>7</v>
      </c>
      <c r="U267" s="148">
        <f t="shared" si="77"/>
        <v>1175.51</v>
      </c>
      <c r="V267" s="379"/>
      <c r="W267" s="379"/>
      <c r="X267" s="58" t="e">
        <f>IF(B267&lt;&gt;0,VLOOKUP(B267,#REF!,4,FALSE),"")</f>
        <v>#REF!</v>
      </c>
      <c r="Y267" s="334" t="s">
        <v>3300</v>
      </c>
      <c r="Z267" s="58">
        <f t="shared" si="80"/>
        <v>-20.978999999999999</v>
      </c>
      <c r="AA267" s="58">
        <f t="shared" si="81"/>
        <v>832.16700000000014</v>
      </c>
      <c r="AB267" s="58"/>
      <c r="AC267" s="58">
        <f t="shared" si="82"/>
        <v>1055.25</v>
      </c>
      <c r="AD267" s="58" t="e">
        <f>IF(B267&lt;&gt;0,VLOOKUP(B267,#REF!,2,FALSE),"")</f>
        <v>#REF!</v>
      </c>
      <c r="AE267" s="2">
        <v>3</v>
      </c>
      <c r="AF267" s="55">
        <f t="shared" si="85"/>
        <v>-4</v>
      </c>
    </row>
    <row r="268" spans="1:32" ht="75">
      <c r="A268" s="21" t="s">
        <v>875</v>
      </c>
      <c r="B268" s="20">
        <v>94497</v>
      </c>
      <c r="C268" s="19" t="s">
        <v>1609</v>
      </c>
      <c r="D268" s="21" t="s">
        <v>12</v>
      </c>
      <c r="E268" s="21" t="s">
        <v>17</v>
      </c>
      <c r="F268" s="22">
        <v>3</v>
      </c>
      <c r="G268" s="22">
        <f t="shared" si="79"/>
        <v>84.974500000000006</v>
      </c>
      <c r="H268" s="22">
        <f t="shared" si="86"/>
        <v>107.76</v>
      </c>
      <c r="I268" s="147">
        <f t="shared" si="87"/>
        <v>323.27999999999997</v>
      </c>
      <c r="J268" s="148"/>
      <c r="K268" s="148"/>
      <c r="L268" s="148"/>
      <c r="M268" s="148">
        <v>94.66</v>
      </c>
      <c r="N268" s="148">
        <v>120.04</v>
      </c>
      <c r="O268" s="148">
        <v>360.12</v>
      </c>
      <c r="P268" s="494"/>
      <c r="Q268" s="147">
        <f t="shared" si="75"/>
        <v>0</v>
      </c>
      <c r="R268" s="148"/>
      <c r="S268" s="148">
        <f t="shared" si="76"/>
        <v>0</v>
      </c>
      <c r="T268" s="148">
        <f t="shared" si="78"/>
        <v>3</v>
      </c>
      <c r="U268" s="148">
        <f t="shared" si="77"/>
        <v>360.12</v>
      </c>
      <c r="V268" s="379"/>
      <c r="W268" s="379"/>
      <c r="X268" s="58" t="e">
        <f>IF(B268&lt;&gt;0,VLOOKUP(B268,#REF!,4,FALSE),"")</f>
        <v>#REF!</v>
      </c>
      <c r="Y268" s="334" t="s">
        <v>3298</v>
      </c>
      <c r="Z268" s="58">
        <f t="shared" si="80"/>
        <v>-14.995499999999993</v>
      </c>
      <c r="AA268" s="58">
        <f t="shared" si="81"/>
        <v>254.92350000000002</v>
      </c>
      <c r="AB268" s="58"/>
      <c r="AC268" s="58">
        <f t="shared" si="82"/>
        <v>323.28000000000003</v>
      </c>
      <c r="AD268" s="58" t="e">
        <f>IF(B268&lt;&gt;0,VLOOKUP(B268,#REF!,2,FALSE),"")</f>
        <v>#REF!</v>
      </c>
      <c r="AE268" s="2">
        <v>7</v>
      </c>
      <c r="AF268" s="55">
        <f t="shared" si="85"/>
        <v>4</v>
      </c>
    </row>
    <row r="269" spans="1:32" ht="45">
      <c r="A269" s="21" t="s">
        <v>876</v>
      </c>
      <c r="B269" s="20">
        <v>89987</v>
      </c>
      <c r="C269" s="19" t="s">
        <v>1610</v>
      </c>
      <c r="D269" s="21" t="s">
        <v>12</v>
      </c>
      <c r="E269" s="21" t="s">
        <v>17</v>
      </c>
      <c r="F269" s="22">
        <v>7</v>
      </c>
      <c r="G269" s="22">
        <f t="shared" si="79"/>
        <v>64.778499999999994</v>
      </c>
      <c r="H269" s="22">
        <f t="shared" si="86"/>
        <v>82.15</v>
      </c>
      <c r="I269" s="147">
        <f t="shared" si="87"/>
        <v>575.04999999999995</v>
      </c>
      <c r="J269" s="148"/>
      <c r="K269" s="148"/>
      <c r="L269" s="148"/>
      <c r="M269" s="148">
        <v>72.16</v>
      </c>
      <c r="N269" s="148">
        <v>91.51</v>
      </c>
      <c r="O269" s="148">
        <v>640.57000000000005</v>
      </c>
      <c r="P269" s="494"/>
      <c r="Q269" s="147">
        <f t="shared" si="75"/>
        <v>0</v>
      </c>
      <c r="R269" s="148"/>
      <c r="S269" s="148">
        <f t="shared" si="76"/>
        <v>0</v>
      </c>
      <c r="T269" s="148">
        <f t="shared" si="78"/>
        <v>7</v>
      </c>
      <c r="U269" s="148">
        <f t="shared" si="77"/>
        <v>640.57000000000005</v>
      </c>
      <c r="V269" s="379"/>
      <c r="W269" s="379"/>
      <c r="X269" s="58" t="e">
        <f>IF(B269&lt;&gt;0,VLOOKUP(B269,#REF!,4,FALSE),"")</f>
        <v>#REF!</v>
      </c>
      <c r="Y269" s="334" t="s">
        <v>3296</v>
      </c>
      <c r="Z269" s="58">
        <f t="shared" si="80"/>
        <v>-11.4315</v>
      </c>
      <c r="AA269" s="58">
        <f t="shared" si="81"/>
        <v>453.44949999999994</v>
      </c>
      <c r="AB269" s="58"/>
      <c r="AC269" s="58">
        <f t="shared" si="82"/>
        <v>575.05000000000007</v>
      </c>
      <c r="AD269" s="58" t="e">
        <f>IF(B269&lt;&gt;0,VLOOKUP(B269,#REF!,2,FALSE),"")</f>
        <v>#REF!</v>
      </c>
      <c r="AE269" s="2">
        <v>13</v>
      </c>
      <c r="AF269" s="55">
        <f t="shared" si="85"/>
        <v>6</v>
      </c>
    </row>
    <row r="270" spans="1:32" ht="90">
      <c r="A270" s="21" t="s">
        <v>877</v>
      </c>
      <c r="B270" s="20">
        <v>94792</v>
      </c>
      <c r="C270" s="19" t="s">
        <v>1611</v>
      </c>
      <c r="D270" s="21" t="s">
        <v>12</v>
      </c>
      <c r="E270" s="21" t="s">
        <v>17</v>
      </c>
      <c r="F270" s="22">
        <v>13</v>
      </c>
      <c r="G270" s="22">
        <f t="shared" si="79"/>
        <v>90.873499999999993</v>
      </c>
      <c r="H270" s="22">
        <f t="shared" si="86"/>
        <v>115.24</v>
      </c>
      <c r="I270" s="147">
        <f t="shared" si="87"/>
        <v>1498.12</v>
      </c>
      <c r="J270" s="148"/>
      <c r="K270" s="148"/>
      <c r="L270" s="148"/>
      <c r="M270" s="148">
        <v>101.23</v>
      </c>
      <c r="N270" s="148">
        <v>128.37</v>
      </c>
      <c r="O270" s="148">
        <v>1668.81</v>
      </c>
      <c r="P270" s="494"/>
      <c r="Q270" s="147">
        <f t="shared" si="75"/>
        <v>0</v>
      </c>
      <c r="R270" s="148"/>
      <c r="S270" s="148">
        <f t="shared" si="76"/>
        <v>0</v>
      </c>
      <c r="T270" s="148">
        <f t="shared" si="78"/>
        <v>13</v>
      </c>
      <c r="U270" s="148">
        <f t="shared" si="77"/>
        <v>1668.81</v>
      </c>
      <c r="V270" s="379"/>
      <c r="W270" s="379"/>
      <c r="X270" s="58" t="e">
        <f>IF(B270&lt;&gt;0,VLOOKUP(B270,#REF!,4,FALSE),"")</f>
        <v>#REF!</v>
      </c>
      <c r="Y270" s="334" t="s">
        <v>3210</v>
      </c>
      <c r="Z270" s="58">
        <f t="shared" si="80"/>
        <v>-16.036500000000004</v>
      </c>
      <c r="AA270" s="58">
        <f t="shared" si="81"/>
        <v>1181.3554999999999</v>
      </c>
      <c r="AB270" s="58"/>
      <c r="AC270" s="58">
        <f t="shared" si="82"/>
        <v>1498.12</v>
      </c>
      <c r="AD270" s="58" t="e">
        <f>IF(B270&lt;&gt;0,VLOOKUP(B270,#REF!,2,FALSE),"")</f>
        <v>#REF!</v>
      </c>
      <c r="AF270" s="55">
        <f t="shared" si="85"/>
        <v>-13</v>
      </c>
    </row>
    <row r="271" spans="1:32" ht="26.25" customHeight="1">
      <c r="A271" s="69" t="s">
        <v>878</v>
      </c>
      <c r="B271" s="129"/>
      <c r="C271" s="229" t="s">
        <v>135</v>
      </c>
      <c r="D271" s="230"/>
      <c r="E271" s="230"/>
      <c r="F271" s="230"/>
      <c r="G271" s="22"/>
      <c r="H271" s="230"/>
      <c r="I271" s="445"/>
      <c r="J271" s="440"/>
      <c r="K271" s="440"/>
      <c r="L271" s="440"/>
      <c r="M271" s="440"/>
      <c r="N271" s="440"/>
      <c r="O271" s="440"/>
      <c r="P271" s="492"/>
      <c r="Q271" s="147">
        <f t="shared" si="75"/>
        <v>0</v>
      </c>
      <c r="R271" s="148"/>
      <c r="S271" s="148">
        <f t="shared" si="76"/>
        <v>0</v>
      </c>
      <c r="T271" s="148" t="str">
        <f t="shared" si="78"/>
        <v xml:space="preserve"> </v>
      </c>
      <c r="U271" s="148">
        <f t="shared" si="77"/>
        <v>0</v>
      </c>
      <c r="V271" s="330"/>
      <c r="W271" s="330"/>
      <c r="X271" s="58" t="str">
        <f>IF(B271&lt;&gt;0,VLOOKUP(B271,#REF!,4,FALSE),"")</f>
        <v/>
      </c>
      <c r="Y271" s="334" t="s">
        <v>1891</v>
      </c>
      <c r="Z271" s="58"/>
      <c r="AA271" s="58"/>
      <c r="AB271" s="58"/>
      <c r="AC271" s="58">
        <f t="shared" si="82"/>
        <v>0</v>
      </c>
      <c r="AD271" s="58" t="str">
        <f>IF(B271&lt;&gt;0,VLOOKUP(B271,#REF!,2,FALSE),"")</f>
        <v/>
      </c>
      <c r="AE271" s="2">
        <v>3</v>
      </c>
      <c r="AF271" s="55">
        <f t="shared" si="85"/>
        <v>3</v>
      </c>
    </row>
    <row r="272" spans="1:32" ht="30">
      <c r="A272" s="21" t="s">
        <v>879</v>
      </c>
      <c r="B272" s="20">
        <v>102137</v>
      </c>
      <c r="C272" s="19" t="s">
        <v>136</v>
      </c>
      <c r="D272" s="21" t="s">
        <v>12</v>
      </c>
      <c r="E272" s="21" t="s">
        <v>17</v>
      </c>
      <c r="F272" s="22">
        <v>3</v>
      </c>
      <c r="G272" s="22">
        <f t="shared" si="79"/>
        <v>52.028500000000001</v>
      </c>
      <c r="H272" s="22">
        <f>ROUND(G272*(1+$X$13),2)</f>
        <v>65.98</v>
      </c>
      <c r="I272" s="147">
        <f>ROUND(H272*F272,2)</f>
        <v>197.94</v>
      </c>
      <c r="J272" s="148"/>
      <c r="K272" s="148"/>
      <c r="L272" s="148"/>
      <c r="M272" s="148">
        <v>57.96</v>
      </c>
      <c r="N272" s="148">
        <v>73.5</v>
      </c>
      <c r="O272" s="148">
        <v>220.5</v>
      </c>
      <c r="P272" s="494"/>
      <c r="Q272" s="147">
        <f t="shared" si="75"/>
        <v>0</v>
      </c>
      <c r="R272" s="148"/>
      <c r="S272" s="148">
        <f t="shared" si="76"/>
        <v>0</v>
      </c>
      <c r="T272" s="148">
        <f t="shared" si="78"/>
        <v>3</v>
      </c>
      <c r="U272" s="148">
        <f t="shared" si="77"/>
        <v>220.5</v>
      </c>
      <c r="V272" s="379"/>
      <c r="W272" s="379"/>
      <c r="X272" s="58" t="e">
        <f>IF(B272&lt;&gt;0,VLOOKUP(B272,#REF!,4,FALSE),"")</f>
        <v>#REF!</v>
      </c>
      <c r="Y272" s="334" t="s">
        <v>3288</v>
      </c>
      <c r="Z272" s="58">
        <f t="shared" si="80"/>
        <v>-9.1814999999999998</v>
      </c>
      <c r="AA272" s="58">
        <f t="shared" si="81"/>
        <v>156.0855</v>
      </c>
      <c r="AB272" s="58"/>
      <c r="AC272" s="58">
        <f t="shared" si="82"/>
        <v>197.94</v>
      </c>
      <c r="AD272" s="58" t="e">
        <f>IF(B272&lt;&gt;0,VLOOKUP(B272,#REF!,2,FALSE),"")</f>
        <v>#REF!</v>
      </c>
      <c r="AE272" s="2">
        <v>3</v>
      </c>
      <c r="AF272" s="55">
        <f t="shared" si="85"/>
        <v>0</v>
      </c>
    </row>
    <row r="273" spans="1:32" ht="45">
      <c r="A273" s="21" t="s">
        <v>880</v>
      </c>
      <c r="B273" s="20">
        <v>94797</v>
      </c>
      <c r="C273" s="19" t="s">
        <v>1612</v>
      </c>
      <c r="D273" s="21" t="s">
        <v>12</v>
      </c>
      <c r="E273" s="21" t="s">
        <v>17</v>
      </c>
      <c r="F273" s="22">
        <v>3</v>
      </c>
      <c r="G273" s="22">
        <f t="shared" si="79"/>
        <v>21.9895</v>
      </c>
      <c r="H273" s="22">
        <f>ROUND(G273*(1+$X$13),2)</f>
        <v>27.88</v>
      </c>
      <c r="I273" s="147">
        <f>ROUND(H273*F273,2)</f>
        <v>83.64</v>
      </c>
      <c r="J273" s="148"/>
      <c r="K273" s="148"/>
      <c r="L273" s="148"/>
      <c r="M273" s="148">
        <v>24.5</v>
      </c>
      <c r="N273" s="148">
        <v>31.07</v>
      </c>
      <c r="O273" s="148">
        <v>93.21</v>
      </c>
      <c r="P273" s="494"/>
      <c r="Q273" s="147">
        <f t="shared" si="75"/>
        <v>0</v>
      </c>
      <c r="R273" s="148"/>
      <c r="S273" s="148">
        <f t="shared" si="76"/>
        <v>0</v>
      </c>
      <c r="T273" s="148">
        <f t="shared" si="78"/>
        <v>3</v>
      </c>
      <c r="U273" s="148">
        <f t="shared" si="77"/>
        <v>93.21</v>
      </c>
      <c r="V273" s="379"/>
      <c r="W273" s="379"/>
      <c r="X273" s="58" t="e">
        <f>IF(B273&lt;&gt;0,VLOOKUP(B273,#REF!,4,FALSE),"")</f>
        <v>#REF!</v>
      </c>
      <c r="Y273" s="334" t="s">
        <v>3176</v>
      </c>
      <c r="Z273" s="58">
        <f t="shared" si="80"/>
        <v>-3.8805000000000014</v>
      </c>
      <c r="AA273" s="58">
        <f t="shared" si="81"/>
        <v>65.968500000000006</v>
      </c>
      <c r="AB273" s="58"/>
      <c r="AC273" s="58">
        <f t="shared" si="82"/>
        <v>83.64</v>
      </c>
      <c r="AD273" s="58" t="e">
        <f>IF(B273&lt;&gt;0,VLOOKUP(B273,#REF!,2,FALSE),"")</f>
        <v>#REF!</v>
      </c>
      <c r="AE273" s="2">
        <v>2</v>
      </c>
      <c r="AF273" s="55">
        <f t="shared" si="85"/>
        <v>-1</v>
      </c>
    </row>
    <row r="274" spans="1:32" ht="31.5" customHeight="1">
      <c r="A274" s="21" t="s">
        <v>2476</v>
      </c>
      <c r="B274" s="20">
        <v>102118</v>
      </c>
      <c r="C274" s="19" t="s">
        <v>137</v>
      </c>
      <c r="D274" s="21" t="s">
        <v>12</v>
      </c>
      <c r="E274" s="21" t="s">
        <v>17</v>
      </c>
      <c r="F274" s="22">
        <v>2</v>
      </c>
      <c r="G274" s="22">
        <f t="shared" si="79"/>
        <v>1675.7325000000001</v>
      </c>
      <c r="H274" s="22">
        <f>ROUND(G274*(1+$X$13),2)</f>
        <v>2125</v>
      </c>
      <c r="I274" s="147">
        <f>ROUND(H274*F274,2)</f>
        <v>4250</v>
      </c>
      <c r="J274" s="148"/>
      <c r="K274" s="148"/>
      <c r="L274" s="148"/>
      <c r="M274" s="148">
        <v>1866.78</v>
      </c>
      <c r="N274" s="148">
        <v>2367.2600000000002</v>
      </c>
      <c r="O274" s="148">
        <v>4734.5200000000004</v>
      </c>
      <c r="P274" s="494"/>
      <c r="Q274" s="147">
        <f t="shared" ref="Q274:Q337" si="88">ROUND(P274*N274,2)</f>
        <v>0</v>
      </c>
      <c r="R274" s="148"/>
      <c r="S274" s="148">
        <f t="shared" ref="S274:S337" si="89">ROUND(R274*N274,2)</f>
        <v>0</v>
      </c>
      <c r="T274" s="148">
        <f t="shared" si="78"/>
        <v>2</v>
      </c>
      <c r="U274" s="148">
        <f t="shared" si="77"/>
        <v>4734.5200000000004</v>
      </c>
      <c r="V274" s="379"/>
      <c r="W274" s="379"/>
      <c r="X274" s="30" t="e">
        <f>IF(B274&lt;&gt;0,VLOOKUP(B274,#REF!,4,FALSE),"")</f>
        <v>#REF!</v>
      </c>
      <c r="Y274" s="337" t="s">
        <v>3304</v>
      </c>
      <c r="Z274" s="30">
        <f t="shared" si="80"/>
        <v>-295.71749999999997</v>
      </c>
      <c r="AA274" s="30">
        <f t="shared" si="81"/>
        <v>3351.4650000000001</v>
      </c>
      <c r="AB274" s="30"/>
      <c r="AC274" s="30">
        <f t="shared" si="82"/>
        <v>4250</v>
      </c>
      <c r="AD274" s="30" t="e">
        <f>IF(B274&lt;&gt;0,VLOOKUP(B274,#REF!,2,FALSE),"")</f>
        <v>#REF!</v>
      </c>
      <c r="AE274" s="2">
        <v>2</v>
      </c>
      <c r="AF274" s="2">
        <f t="shared" si="85"/>
        <v>0</v>
      </c>
    </row>
    <row r="275" spans="1:32" s="23" customFormat="1" ht="30">
      <c r="A275" s="21" t="s">
        <v>2625</v>
      </c>
      <c r="B275" s="20">
        <v>102116</v>
      </c>
      <c r="C275" s="19" t="s">
        <v>138</v>
      </c>
      <c r="D275" s="21" t="s">
        <v>12</v>
      </c>
      <c r="E275" s="21" t="s">
        <v>17</v>
      </c>
      <c r="F275" s="22">
        <v>2</v>
      </c>
      <c r="G275" s="22">
        <f t="shared" si="79"/>
        <v>1221.9855</v>
      </c>
      <c r="H275" s="22">
        <f>ROUND(G275*(1+$X$13),2)</f>
        <v>1549.6</v>
      </c>
      <c r="I275" s="147">
        <f>ROUND(H275*F275,2)</f>
        <v>3099.2</v>
      </c>
      <c r="J275" s="148"/>
      <c r="K275" s="148"/>
      <c r="L275" s="148"/>
      <c r="M275" s="148">
        <v>1361.3</v>
      </c>
      <c r="N275" s="148">
        <v>1726.26</v>
      </c>
      <c r="O275" s="148">
        <v>3452.52</v>
      </c>
      <c r="P275" s="494"/>
      <c r="Q275" s="147">
        <f t="shared" si="88"/>
        <v>0</v>
      </c>
      <c r="R275" s="148"/>
      <c r="S275" s="148">
        <f t="shared" si="89"/>
        <v>0</v>
      </c>
      <c r="T275" s="148">
        <f t="shared" si="78"/>
        <v>2</v>
      </c>
      <c r="U275" s="148">
        <f t="shared" si="77"/>
        <v>3452.52</v>
      </c>
      <c r="V275" s="379"/>
      <c r="W275" s="379"/>
      <c r="X275" s="58" t="e">
        <f>IF(B275&lt;&gt;0,VLOOKUP(B275,#REF!,4,FALSE),"")</f>
        <v>#REF!</v>
      </c>
      <c r="Y275" s="334" t="s">
        <v>3303</v>
      </c>
      <c r="Z275" s="58">
        <f t="shared" si="80"/>
        <v>-215.64450000000011</v>
      </c>
      <c r="AA275" s="58">
        <f t="shared" si="81"/>
        <v>2443.971</v>
      </c>
      <c r="AB275" s="58"/>
      <c r="AC275" s="58">
        <f t="shared" si="82"/>
        <v>3099.2</v>
      </c>
      <c r="AD275" s="58" t="e">
        <f>IF(B275&lt;&gt;0,VLOOKUP(B275,#REF!,2,FALSE),"")</f>
        <v>#REF!</v>
      </c>
      <c r="AE275" s="23">
        <v>1</v>
      </c>
      <c r="AF275" s="55">
        <f t="shared" si="85"/>
        <v>-1</v>
      </c>
    </row>
    <row r="276" spans="1:32" ht="30.75" customHeight="1">
      <c r="A276" s="21" t="s">
        <v>2722</v>
      </c>
      <c r="B276" s="20">
        <v>6801</v>
      </c>
      <c r="C276" s="19" t="s">
        <v>2723</v>
      </c>
      <c r="D276" s="21" t="s">
        <v>44</v>
      </c>
      <c r="E276" s="21" t="s">
        <v>17</v>
      </c>
      <c r="F276" s="22">
        <v>1</v>
      </c>
      <c r="G276" s="22">
        <f t="shared" si="79"/>
        <v>2888.9460000000004</v>
      </c>
      <c r="H276" s="22">
        <f>ROUND(G276*(1+$X$13),2)</f>
        <v>3663.47</v>
      </c>
      <c r="I276" s="147">
        <f>ROUND(H276*F276,2)</f>
        <v>3663.47</v>
      </c>
      <c r="J276" s="148"/>
      <c r="K276" s="148"/>
      <c r="L276" s="148"/>
      <c r="M276" s="148">
        <v>3218.31</v>
      </c>
      <c r="N276" s="148">
        <v>4081.14</v>
      </c>
      <c r="O276" s="148">
        <v>4081.14</v>
      </c>
      <c r="P276" s="494"/>
      <c r="Q276" s="147">
        <f t="shared" si="88"/>
        <v>0</v>
      </c>
      <c r="R276" s="148"/>
      <c r="S276" s="148">
        <f t="shared" si="89"/>
        <v>0</v>
      </c>
      <c r="T276" s="148">
        <f t="shared" si="78"/>
        <v>1</v>
      </c>
      <c r="U276" s="148">
        <f t="shared" si="77"/>
        <v>4081.14</v>
      </c>
      <c r="V276" s="379"/>
      <c r="W276" s="379"/>
      <c r="X276" s="57">
        <f>'COMPOSIÇÃO DE CUSTOS'!G2306</f>
        <v>2888.94</v>
      </c>
      <c r="Y276" s="334">
        <v>3398.76</v>
      </c>
      <c r="Z276" s="58">
        <f t="shared" si="80"/>
        <v>-509.81399999999985</v>
      </c>
      <c r="AA276" s="58">
        <f t="shared" si="81"/>
        <v>2888.9460000000004</v>
      </c>
      <c r="AB276" s="58"/>
      <c r="AC276" s="58">
        <f t="shared" si="82"/>
        <v>3663.47</v>
      </c>
      <c r="AD276" s="58" t="e">
        <f>IF(B276&lt;&gt;0,VLOOKUP(B276,#REF!,2,FALSE),"")</f>
        <v>#REF!</v>
      </c>
      <c r="AF276" s="55">
        <f t="shared" si="85"/>
        <v>-1</v>
      </c>
    </row>
    <row r="277" spans="1:32">
      <c r="A277" s="69" t="s">
        <v>881</v>
      </c>
      <c r="B277" s="129"/>
      <c r="C277" s="229" t="s">
        <v>139</v>
      </c>
      <c r="D277" s="230"/>
      <c r="E277" s="230"/>
      <c r="F277" s="230"/>
      <c r="G277" s="22"/>
      <c r="H277" s="230"/>
      <c r="I277" s="445"/>
      <c r="J277" s="440"/>
      <c r="K277" s="440"/>
      <c r="L277" s="440"/>
      <c r="M277" s="440"/>
      <c r="N277" s="440"/>
      <c r="O277" s="440"/>
      <c r="P277" s="492"/>
      <c r="Q277" s="147">
        <f t="shared" si="88"/>
        <v>0</v>
      </c>
      <c r="R277" s="148"/>
      <c r="S277" s="148">
        <f t="shared" si="89"/>
        <v>0</v>
      </c>
      <c r="T277" s="148" t="str">
        <f t="shared" si="78"/>
        <v xml:space="preserve"> </v>
      </c>
      <c r="U277" s="148">
        <f t="shared" si="77"/>
        <v>0</v>
      </c>
      <c r="V277" s="330"/>
      <c r="W277" s="330"/>
      <c r="X277" s="58" t="str">
        <f>IF(B277&lt;&gt;0,VLOOKUP(B277,#REF!,4,FALSE),"")</f>
        <v/>
      </c>
      <c r="Y277" s="334" t="s">
        <v>1891</v>
      </c>
      <c r="Z277" s="58"/>
      <c r="AA277" s="58">
        <f t="shared" si="81"/>
        <v>0</v>
      </c>
      <c r="AB277" s="58"/>
      <c r="AC277" s="58">
        <f t="shared" si="82"/>
        <v>0</v>
      </c>
      <c r="AD277" s="58" t="str">
        <f>IF(B277&lt;&gt;0,VLOOKUP(B277,#REF!,2,FALSE),"")</f>
        <v/>
      </c>
      <c r="AF277" s="55">
        <f t="shared" si="85"/>
        <v>0</v>
      </c>
    </row>
    <row r="278" spans="1:32">
      <c r="A278" s="69" t="s">
        <v>882</v>
      </c>
      <c r="B278" s="129"/>
      <c r="C278" s="229" t="s">
        <v>140</v>
      </c>
      <c r="D278" s="230"/>
      <c r="E278" s="230"/>
      <c r="F278" s="230"/>
      <c r="G278" s="22"/>
      <c r="H278" s="230"/>
      <c r="I278" s="445"/>
      <c r="J278" s="440"/>
      <c r="K278" s="440"/>
      <c r="L278" s="440"/>
      <c r="M278" s="440"/>
      <c r="N278" s="440"/>
      <c r="O278" s="440"/>
      <c r="P278" s="492"/>
      <c r="Q278" s="147">
        <f t="shared" si="88"/>
        <v>0</v>
      </c>
      <c r="R278" s="148"/>
      <c r="S278" s="148">
        <f t="shared" si="89"/>
        <v>0</v>
      </c>
      <c r="T278" s="148" t="str">
        <f t="shared" si="78"/>
        <v xml:space="preserve"> </v>
      </c>
      <c r="U278" s="148">
        <f t="shared" si="77"/>
        <v>0</v>
      </c>
      <c r="V278" s="330"/>
      <c r="W278" s="330"/>
      <c r="X278" s="58" t="str">
        <f>IF(B278&lt;&gt;0,VLOOKUP(B278,#REF!,4,FALSE),"")</f>
        <v/>
      </c>
      <c r="Y278" s="334" t="s">
        <v>1891</v>
      </c>
      <c r="Z278" s="58"/>
      <c r="AA278" s="58">
        <f t="shared" si="81"/>
        <v>0</v>
      </c>
      <c r="AB278" s="58"/>
      <c r="AC278" s="58">
        <f t="shared" si="82"/>
        <v>0</v>
      </c>
      <c r="AD278" s="58" t="str">
        <f>IF(B278&lt;&gt;0,VLOOKUP(B278,#REF!,2,FALSE),"")</f>
        <v/>
      </c>
      <c r="AE278" s="2">
        <v>35</v>
      </c>
      <c r="AF278" s="55">
        <f t="shared" si="85"/>
        <v>35</v>
      </c>
    </row>
    <row r="279" spans="1:32" ht="75">
      <c r="A279" s="21" t="s">
        <v>883</v>
      </c>
      <c r="B279" s="20">
        <v>91791</v>
      </c>
      <c r="C279" s="19" t="s">
        <v>1613</v>
      </c>
      <c r="D279" s="21" t="s">
        <v>12</v>
      </c>
      <c r="E279" s="21" t="s">
        <v>52</v>
      </c>
      <c r="F279" s="22">
        <v>35</v>
      </c>
      <c r="G279" s="22">
        <f t="shared" si="79"/>
        <v>67.184000000000012</v>
      </c>
      <c r="H279" s="22">
        <f t="shared" ref="H279:H298" si="90">ROUND(G279*(1+$X$13),2)</f>
        <v>85.2</v>
      </c>
      <c r="I279" s="147">
        <f t="shared" ref="I279:I298" si="91">ROUND(H279*F279,2)</f>
        <v>2982</v>
      </c>
      <c r="J279" s="148"/>
      <c r="K279" s="148"/>
      <c r="L279" s="148"/>
      <c r="M279" s="148">
        <v>74.84</v>
      </c>
      <c r="N279" s="148">
        <v>94.9</v>
      </c>
      <c r="O279" s="148">
        <v>3321.5</v>
      </c>
      <c r="P279" s="494"/>
      <c r="Q279" s="147">
        <f t="shared" si="88"/>
        <v>0</v>
      </c>
      <c r="R279" s="148"/>
      <c r="S279" s="148">
        <f t="shared" si="89"/>
        <v>0</v>
      </c>
      <c r="T279" s="148">
        <f t="shared" si="78"/>
        <v>35</v>
      </c>
      <c r="U279" s="148">
        <f t="shared" ref="U279:U345" si="92">L279+Q279-S279+O279</f>
        <v>3321.5</v>
      </c>
      <c r="V279" s="379"/>
      <c r="W279" s="379"/>
      <c r="X279" s="58" t="e">
        <f>IF(B279&lt;&gt;0,VLOOKUP(B279,#REF!,4,FALSE),"")</f>
        <v>#REF!</v>
      </c>
      <c r="Y279" s="334" t="s">
        <v>3274</v>
      </c>
      <c r="Z279" s="58">
        <f t="shared" si="80"/>
        <v>-11.855999999999995</v>
      </c>
      <c r="AA279" s="58">
        <f t="shared" si="81"/>
        <v>2351.4400000000005</v>
      </c>
      <c r="AB279" s="58"/>
      <c r="AC279" s="58">
        <f t="shared" si="82"/>
        <v>2982</v>
      </c>
      <c r="AD279" s="58" t="e">
        <f>IF(B279&lt;&gt;0,VLOOKUP(B279,#REF!,2,FALSE),"")</f>
        <v>#REF!</v>
      </c>
      <c r="AE279" s="2">
        <v>36</v>
      </c>
      <c r="AF279" s="55">
        <f t="shared" si="85"/>
        <v>1</v>
      </c>
    </row>
    <row r="280" spans="1:32" ht="45">
      <c r="A280" s="21" t="s">
        <v>884</v>
      </c>
      <c r="B280" s="20">
        <v>89578</v>
      </c>
      <c r="C280" s="19" t="s">
        <v>1614</v>
      </c>
      <c r="D280" s="21" t="s">
        <v>12</v>
      </c>
      <c r="E280" s="21" t="s">
        <v>52</v>
      </c>
      <c r="F280" s="22">
        <v>36</v>
      </c>
      <c r="G280" s="22">
        <f t="shared" si="79"/>
        <v>31.866500000000002</v>
      </c>
      <c r="H280" s="22">
        <f t="shared" si="90"/>
        <v>40.409999999999997</v>
      </c>
      <c r="I280" s="147">
        <f t="shared" si="91"/>
        <v>1454.76</v>
      </c>
      <c r="J280" s="148"/>
      <c r="K280" s="148"/>
      <c r="L280" s="148"/>
      <c r="M280" s="148">
        <v>35.5</v>
      </c>
      <c r="N280" s="148">
        <v>45.02</v>
      </c>
      <c r="O280" s="148">
        <v>1620.72</v>
      </c>
      <c r="P280" s="494"/>
      <c r="Q280" s="147">
        <f t="shared" si="88"/>
        <v>0</v>
      </c>
      <c r="R280" s="148"/>
      <c r="S280" s="148">
        <f t="shared" si="89"/>
        <v>0</v>
      </c>
      <c r="T280" s="148">
        <f t="shared" si="78"/>
        <v>36</v>
      </c>
      <c r="U280" s="148">
        <f t="shared" si="92"/>
        <v>1620.72</v>
      </c>
      <c r="V280" s="379"/>
      <c r="W280" s="379"/>
      <c r="X280" s="58" t="e">
        <f>IF(B280&lt;&gt;0,VLOOKUP(B280,#REF!,4,FALSE),"")</f>
        <v>#REF!</v>
      </c>
      <c r="Y280" s="334" t="s">
        <v>3097</v>
      </c>
      <c r="Z280" s="58">
        <f t="shared" si="80"/>
        <v>-5.6234999999999999</v>
      </c>
      <c r="AA280" s="58">
        <f t="shared" si="81"/>
        <v>1147.194</v>
      </c>
      <c r="AB280" s="58"/>
      <c r="AC280" s="58">
        <f t="shared" si="82"/>
        <v>1454.7599999999998</v>
      </c>
      <c r="AD280" s="58" t="e">
        <f>IF(B280&lt;&gt;0,VLOOKUP(B280,#REF!,2,FALSE),"")</f>
        <v>#REF!</v>
      </c>
      <c r="AE280" s="2">
        <v>43</v>
      </c>
      <c r="AF280" s="55">
        <f t="shared" si="85"/>
        <v>7</v>
      </c>
    </row>
    <row r="281" spans="1:32" ht="45">
      <c r="A281" s="21" t="s">
        <v>885</v>
      </c>
      <c r="B281" s="20">
        <v>89576</v>
      </c>
      <c r="C281" s="19" t="s">
        <v>1615</v>
      </c>
      <c r="D281" s="21" t="s">
        <v>12</v>
      </c>
      <c r="E281" s="21" t="s">
        <v>52</v>
      </c>
      <c r="F281" s="22">
        <v>43</v>
      </c>
      <c r="G281" s="22">
        <f t="shared" si="79"/>
        <v>18.436500000000002</v>
      </c>
      <c r="H281" s="22">
        <f t="shared" si="90"/>
        <v>23.38</v>
      </c>
      <c r="I281" s="147">
        <f t="shared" si="91"/>
        <v>1005.34</v>
      </c>
      <c r="J281" s="148"/>
      <c r="K281" s="148"/>
      <c r="L281" s="148"/>
      <c r="M281" s="148">
        <v>20.54</v>
      </c>
      <c r="N281" s="148">
        <v>26.05</v>
      </c>
      <c r="O281" s="148">
        <v>1120.1500000000001</v>
      </c>
      <c r="P281" s="494"/>
      <c r="Q281" s="147">
        <f t="shared" si="88"/>
        <v>0</v>
      </c>
      <c r="R281" s="148"/>
      <c r="S281" s="148">
        <f t="shared" si="89"/>
        <v>0</v>
      </c>
      <c r="T281" s="148">
        <f t="shared" ref="T281:T354" si="93">IF(F281&gt;0,F281+P281-R281," ")</f>
        <v>43</v>
      </c>
      <c r="U281" s="148">
        <f t="shared" si="92"/>
        <v>1120.1500000000001</v>
      </c>
      <c r="V281" s="379"/>
      <c r="W281" s="379"/>
      <c r="X281" s="58" t="e">
        <f>IF(B281&lt;&gt;0,VLOOKUP(B281,#REF!,4,FALSE),"")</f>
        <v>#REF!</v>
      </c>
      <c r="Y281" s="334" t="s">
        <v>3269</v>
      </c>
      <c r="Z281" s="58">
        <f t="shared" si="80"/>
        <v>-3.2534999999999989</v>
      </c>
      <c r="AA281" s="58">
        <f t="shared" si="81"/>
        <v>792.76950000000011</v>
      </c>
      <c r="AB281" s="58"/>
      <c r="AC281" s="58">
        <f t="shared" si="82"/>
        <v>1005.3399999999999</v>
      </c>
      <c r="AD281" s="58" t="e">
        <f>IF(B281&lt;&gt;0,VLOOKUP(B281,#REF!,2,FALSE),"")</f>
        <v>#REF!</v>
      </c>
      <c r="AE281" s="2">
        <v>30</v>
      </c>
      <c r="AF281" s="55">
        <f t="shared" si="85"/>
        <v>-13</v>
      </c>
    </row>
    <row r="282" spans="1:32" ht="45">
      <c r="A282" s="21" t="s">
        <v>886</v>
      </c>
      <c r="B282" s="20">
        <v>10050</v>
      </c>
      <c r="C282" s="19" t="s">
        <v>1771</v>
      </c>
      <c r="D282" s="21" t="s">
        <v>44</v>
      </c>
      <c r="E282" s="21" t="s">
        <v>52</v>
      </c>
      <c r="F282" s="22">
        <v>30</v>
      </c>
      <c r="G282" s="22">
        <f t="shared" si="79"/>
        <v>754.851</v>
      </c>
      <c r="H282" s="22">
        <f t="shared" si="90"/>
        <v>957.23</v>
      </c>
      <c r="I282" s="147">
        <f t="shared" si="91"/>
        <v>28716.9</v>
      </c>
      <c r="J282" s="148"/>
      <c r="K282" s="148"/>
      <c r="L282" s="148"/>
      <c r="M282" s="148">
        <v>840.91</v>
      </c>
      <c r="N282" s="148">
        <v>1066.3599999999999</v>
      </c>
      <c r="O282" s="148">
        <v>31990.799999999999</v>
      </c>
      <c r="P282" s="494"/>
      <c r="Q282" s="147">
        <f t="shared" si="88"/>
        <v>0</v>
      </c>
      <c r="R282" s="148"/>
      <c r="S282" s="148">
        <f t="shared" si="89"/>
        <v>0</v>
      </c>
      <c r="T282" s="148">
        <f t="shared" si="93"/>
        <v>30</v>
      </c>
      <c r="U282" s="148">
        <f t="shared" si="92"/>
        <v>31990.799999999999</v>
      </c>
      <c r="V282" s="379"/>
      <c r="W282" s="379"/>
      <c r="X282" s="57">
        <f>'COMPOSIÇÃO DE CUSTOS'!G638</f>
        <v>754.85</v>
      </c>
      <c r="Y282" s="334">
        <v>888.06</v>
      </c>
      <c r="Z282" s="58">
        <f t="shared" si="80"/>
        <v>-133.20899999999995</v>
      </c>
      <c r="AA282" s="58">
        <f t="shared" si="81"/>
        <v>22645.53</v>
      </c>
      <c r="AB282" s="58"/>
      <c r="AC282" s="58">
        <f t="shared" si="82"/>
        <v>28716.9</v>
      </c>
      <c r="AD282" s="58" t="e">
        <f>IF(B282&lt;&gt;0,VLOOKUP(B282,#REF!,2,FALSE),"")</f>
        <v>#REF!</v>
      </c>
      <c r="AE282" s="2">
        <v>22</v>
      </c>
      <c r="AF282" s="55">
        <f t="shared" si="85"/>
        <v>-8</v>
      </c>
    </row>
    <row r="283" spans="1:32" s="23" customFormat="1" ht="45">
      <c r="A283" s="21" t="s">
        <v>887</v>
      </c>
      <c r="B283" s="20">
        <v>10049</v>
      </c>
      <c r="C283" s="19" t="s">
        <v>1772</v>
      </c>
      <c r="D283" s="21" t="s">
        <v>44</v>
      </c>
      <c r="E283" s="21" t="s">
        <v>52</v>
      </c>
      <c r="F283" s="22">
        <v>22</v>
      </c>
      <c r="G283" s="22">
        <f t="shared" si="79"/>
        <v>495.94950000000006</v>
      </c>
      <c r="H283" s="22">
        <f t="shared" si="90"/>
        <v>628.91</v>
      </c>
      <c r="I283" s="147">
        <f t="shared" si="91"/>
        <v>13836.02</v>
      </c>
      <c r="J283" s="148"/>
      <c r="K283" s="148"/>
      <c r="L283" s="148"/>
      <c r="M283" s="148">
        <v>552.49</v>
      </c>
      <c r="N283" s="148">
        <v>700.61</v>
      </c>
      <c r="O283" s="148">
        <v>15413.42</v>
      </c>
      <c r="P283" s="494"/>
      <c r="Q283" s="147">
        <f t="shared" si="88"/>
        <v>0</v>
      </c>
      <c r="R283" s="148"/>
      <c r="S283" s="148">
        <f t="shared" si="89"/>
        <v>0</v>
      </c>
      <c r="T283" s="148">
        <f t="shared" si="93"/>
        <v>22</v>
      </c>
      <c r="U283" s="148">
        <f t="shared" si="92"/>
        <v>15413.42</v>
      </c>
      <c r="V283" s="379"/>
      <c r="W283" s="379"/>
      <c r="X283" s="57">
        <f>'COMPOSIÇÃO DE CUSTOS'!G646</f>
        <v>495.96</v>
      </c>
      <c r="Y283" s="334">
        <v>583.47</v>
      </c>
      <c r="Z283" s="58">
        <f t="shared" si="80"/>
        <v>-87.52049999999997</v>
      </c>
      <c r="AA283" s="58">
        <f t="shared" si="81"/>
        <v>10910.889000000001</v>
      </c>
      <c r="AB283" s="58"/>
      <c r="AC283" s="58">
        <f t="shared" si="82"/>
        <v>13836.019999999999</v>
      </c>
      <c r="AD283" s="58" t="e">
        <f>IF(B283&lt;&gt;0,VLOOKUP(B283,#REF!,2,FALSE),"")</f>
        <v>#REF!</v>
      </c>
      <c r="AE283" s="23">
        <v>15</v>
      </c>
      <c r="AF283" s="55">
        <f t="shared" si="85"/>
        <v>-7</v>
      </c>
    </row>
    <row r="284" spans="1:32" s="23" customFormat="1" ht="45">
      <c r="A284" s="21" t="s">
        <v>888</v>
      </c>
      <c r="B284" s="20">
        <v>10052</v>
      </c>
      <c r="C284" s="19" t="s">
        <v>2113</v>
      </c>
      <c r="D284" s="21" t="s">
        <v>44</v>
      </c>
      <c r="E284" s="21" t="s">
        <v>52</v>
      </c>
      <c r="F284" s="22">
        <v>15</v>
      </c>
      <c r="G284" s="22">
        <f t="shared" si="79"/>
        <v>1293.1644999999999</v>
      </c>
      <c r="H284" s="22">
        <f t="shared" si="90"/>
        <v>1639.86</v>
      </c>
      <c r="I284" s="147">
        <f t="shared" si="91"/>
        <v>24597.9</v>
      </c>
      <c r="J284" s="148"/>
      <c r="K284" s="148"/>
      <c r="L284" s="148"/>
      <c r="M284" s="148">
        <v>972.69</v>
      </c>
      <c r="N284" s="148">
        <v>1233.47</v>
      </c>
      <c r="O284" s="148">
        <v>18502.05</v>
      </c>
      <c r="P284" s="494"/>
      <c r="Q284" s="147">
        <f t="shared" si="88"/>
        <v>0</v>
      </c>
      <c r="R284" s="148"/>
      <c r="S284" s="148">
        <f t="shared" si="89"/>
        <v>0</v>
      </c>
      <c r="T284" s="148">
        <f t="shared" si="93"/>
        <v>15</v>
      </c>
      <c r="U284" s="148">
        <f t="shared" si="92"/>
        <v>18502.05</v>
      </c>
      <c r="V284" s="379"/>
      <c r="W284" s="379"/>
      <c r="X284" s="57">
        <f>'COMPOSIÇÃO DE CUSTOS'!G655</f>
        <v>1293.17</v>
      </c>
      <c r="Y284" s="334">
        <v>1521.37</v>
      </c>
      <c r="Z284" s="58">
        <f t="shared" si="80"/>
        <v>-228.20550000000003</v>
      </c>
      <c r="AA284" s="58">
        <f t="shared" si="81"/>
        <v>19397.467499999999</v>
      </c>
      <c r="AB284" s="58"/>
      <c r="AC284" s="58">
        <f t="shared" si="82"/>
        <v>24597.899999999998</v>
      </c>
      <c r="AD284" s="58" t="e">
        <f>IF(B284&lt;&gt;0,VLOOKUP(B284,#REF!,2,FALSE),"")</f>
        <v>#REF!</v>
      </c>
      <c r="AE284" s="23">
        <v>4</v>
      </c>
      <c r="AF284" s="55">
        <f t="shared" si="85"/>
        <v>-11</v>
      </c>
    </row>
    <row r="285" spans="1:32" s="23" customFormat="1" ht="60">
      <c r="A285" s="21" t="s">
        <v>889</v>
      </c>
      <c r="B285" s="20">
        <v>89590</v>
      </c>
      <c r="C285" s="19" t="s">
        <v>1616</v>
      </c>
      <c r="D285" s="21" t="s">
        <v>12</v>
      </c>
      <c r="E285" s="21" t="s">
        <v>17</v>
      </c>
      <c r="F285" s="22">
        <v>4</v>
      </c>
      <c r="G285" s="22">
        <f t="shared" si="79"/>
        <v>96.160499999999999</v>
      </c>
      <c r="H285" s="22">
        <f t="shared" si="90"/>
        <v>121.94</v>
      </c>
      <c r="I285" s="147">
        <f t="shared" si="91"/>
        <v>487.76</v>
      </c>
      <c r="J285" s="148"/>
      <c r="K285" s="148"/>
      <c r="L285" s="148"/>
      <c r="M285" s="148">
        <v>107.12</v>
      </c>
      <c r="N285" s="148">
        <v>135.84</v>
      </c>
      <c r="O285" s="148">
        <v>543.36</v>
      </c>
      <c r="P285" s="494"/>
      <c r="Q285" s="147">
        <f t="shared" si="88"/>
        <v>0</v>
      </c>
      <c r="R285" s="148"/>
      <c r="S285" s="148">
        <f t="shared" si="89"/>
        <v>0</v>
      </c>
      <c r="T285" s="148">
        <f t="shared" si="93"/>
        <v>4</v>
      </c>
      <c r="U285" s="148">
        <f t="shared" si="92"/>
        <v>543.36</v>
      </c>
      <c r="V285" s="379"/>
      <c r="W285" s="379"/>
      <c r="X285" s="58" t="e">
        <f>IF(B285&lt;&gt;0,VLOOKUP(B285,#REF!,4,FALSE),"")</f>
        <v>#REF!</v>
      </c>
      <c r="Y285" s="334" t="s">
        <v>3282</v>
      </c>
      <c r="Z285" s="58">
        <f t="shared" si="80"/>
        <v>-16.969499999999996</v>
      </c>
      <c r="AA285" s="58">
        <f t="shared" si="81"/>
        <v>384.642</v>
      </c>
      <c r="AB285" s="58"/>
      <c r="AC285" s="58">
        <f t="shared" si="82"/>
        <v>487.76</v>
      </c>
      <c r="AD285" s="58" t="e">
        <f>IF(B285&lt;&gt;0,VLOOKUP(B285,#REF!,2,FALSE),"")</f>
        <v>#REF!</v>
      </c>
      <c r="AE285" s="23">
        <v>5</v>
      </c>
      <c r="AF285" s="55">
        <f t="shared" si="85"/>
        <v>1</v>
      </c>
    </row>
    <row r="286" spans="1:32" s="38" customFormat="1" ht="60" customHeight="1">
      <c r="A286" s="21" t="s">
        <v>890</v>
      </c>
      <c r="B286" s="20">
        <v>89591</v>
      </c>
      <c r="C286" s="19" t="s">
        <v>1617</v>
      </c>
      <c r="D286" s="21" t="s">
        <v>12</v>
      </c>
      <c r="E286" s="21" t="s">
        <v>17</v>
      </c>
      <c r="F286" s="22">
        <v>5</v>
      </c>
      <c r="G286" s="22">
        <f t="shared" si="79"/>
        <v>78.727000000000004</v>
      </c>
      <c r="H286" s="22">
        <f t="shared" si="90"/>
        <v>99.83</v>
      </c>
      <c r="I286" s="147">
        <f t="shared" si="91"/>
        <v>499.15</v>
      </c>
      <c r="J286" s="148"/>
      <c r="K286" s="148"/>
      <c r="L286" s="148"/>
      <c r="M286" s="148">
        <v>87.7</v>
      </c>
      <c r="N286" s="148">
        <v>111.21</v>
      </c>
      <c r="O286" s="148">
        <v>556.04999999999995</v>
      </c>
      <c r="P286" s="494"/>
      <c r="Q286" s="147">
        <f t="shared" si="88"/>
        <v>0</v>
      </c>
      <c r="R286" s="148"/>
      <c r="S286" s="148">
        <f t="shared" si="89"/>
        <v>0</v>
      </c>
      <c r="T286" s="148">
        <f t="shared" si="93"/>
        <v>5</v>
      </c>
      <c r="U286" s="148">
        <f t="shared" si="92"/>
        <v>556.04999999999995</v>
      </c>
      <c r="V286" s="379"/>
      <c r="W286" s="379"/>
      <c r="X286" s="58" t="e">
        <f>IF(B286&lt;&gt;0,VLOOKUP(B286,#REF!,4,FALSE),"")</f>
        <v>#REF!</v>
      </c>
      <c r="Y286" s="334" t="s">
        <v>3186</v>
      </c>
      <c r="Z286" s="58">
        <f t="shared" si="80"/>
        <v>-13.893000000000001</v>
      </c>
      <c r="AA286" s="58">
        <f t="shared" si="81"/>
        <v>393.63499999999999</v>
      </c>
      <c r="AB286" s="58"/>
      <c r="AC286" s="58">
        <f t="shared" si="82"/>
        <v>499.15</v>
      </c>
      <c r="AD286" s="58" t="e">
        <f>IF(B286&lt;&gt;0,VLOOKUP(B286,#REF!,2,FALSE),"")</f>
        <v>#REF!</v>
      </c>
      <c r="AE286" s="38">
        <v>5</v>
      </c>
      <c r="AF286" s="55">
        <f t="shared" si="85"/>
        <v>0</v>
      </c>
    </row>
    <row r="287" spans="1:32" s="38" customFormat="1" ht="54" customHeight="1">
      <c r="A287" s="21" t="s">
        <v>891</v>
      </c>
      <c r="B287" s="20">
        <v>89584</v>
      </c>
      <c r="C287" s="19" t="s">
        <v>1618</v>
      </c>
      <c r="D287" s="21" t="s">
        <v>12</v>
      </c>
      <c r="E287" s="21" t="s">
        <v>17</v>
      </c>
      <c r="F287" s="22">
        <v>5</v>
      </c>
      <c r="G287" s="22">
        <f t="shared" si="79"/>
        <v>29.954000000000001</v>
      </c>
      <c r="H287" s="22">
        <f t="shared" si="90"/>
        <v>37.979999999999997</v>
      </c>
      <c r="I287" s="147">
        <f t="shared" si="91"/>
        <v>189.9</v>
      </c>
      <c r="J287" s="148"/>
      <c r="K287" s="148"/>
      <c r="L287" s="148"/>
      <c r="M287" s="148">
        <v>33.369999999999997</v>
      </c>
      <c r="N287" s="148">
        <v>42.32</v>
      </c>
      <c r="O287" s="148">
        <v>211.6</v>
      </c>
      <c r="P287" s="494"/>
      <c r="Q287" s="147">
        <f t="shared" si="88"/>
        <v>0</v>
      </c>
      <c r="R287" s="148"/>
      <c r="S287" s="148">
        <f t="shared" si="89"/>
        <v>0</v>
      </c>
      <c r="T287" s="148">
        <f t="shared" si="93"/>
        <v>5</v>
      </c>
      <c r="U287" s="148">
        <f t="shared" si="92"/>
        <v>211.6</v>
      </c>
      <c r="V287" s="379"/>
      <c r="W287" s="379"/>
      <c r="X287" s="58" t="e">
        <f>IF(B287&lt;&gt;0,VLOOKUP(B287,#REF!,4,FALSE),"")</f>
        <v>#REF!</v>
      </c>
      <c r="Y287" s="334" t="s">
        <v>3126</v>
      </c>
      <c r="Z287" s="58">
        <f t="shared" si="80"/>
        <v>-5.2860000000000014</v>
      </c>
      <c r="AA287" s="58">
        <f t="shared" si="81"/>
        <v>149.77000000000001</v>
      </c>
      <c r="AB287" s="58"/>
      <c r="AC287" s="58">
        <f t="shared" si="82"/>
        <v>189.89999999999998</v>
      </c>
      <c r="AD287" s="58" t="e">
        <f>IF(B287&lt;&gt;0,VLOOKUP(B287,#REF!,2,FALSE),"")</f>
        <v>#REF!</v>
      </c>
      <c r="AE287" s="38">
        <v>3</v>
      </c>
      <c r="AF287" s="55">
        <f t="shared" si="85"/>
        <v>-2</v>
      </c>
    </row>
    <row r="288" spans="1:32" s="23" customFormat="1" ht="54" customHeight="1">
      <c r="A288" s="21" t="s">
        <v>892</v>
      </c>
      <c r="B288" s="20">
        <v>89585</v>
      </c>
      <c r="C288" s="19" t="s">
        <v>1619</v>
      </c>
      <c r="D288" s="21" t="s">
        <v>12</v>
      </c>
      <c r="E288" s="21" t="s">
        <v>17</v>
      </c>
      <c r="F288" s="22">
        <v>3</v>
      </c>
      <c r="G288" s="22">
        <f t="shared" si="79"/>
        <v>23.885000000000002</v>
      </c>
      <c r="H288" s="22">
        <f t="shared" si="90"/>
        <v>30.29</v>
      </c>
      <c r="I288" s="147">
        <f t="shared" si="91"/>
        <v>90.87</v>
      </c>
      <c r="J288" s="148"/>
      <c r="K288" s="148"/>
      <c r="L288" s="148"/>
      <c r="M288" s="148">
        <v>26.61</v>
      </c>
      <c r="N288" s="148">
        <v>33.74</v>
      </c>
      <c r="O288" s="148">
        <v>101.22</v>
      </c>
      <c r="P288" s="494"/>
      <c r="Q288" s="147">
        <f t="shared" si="88"/>
        <v>0</v>
      </c>
      <c r="R288" s="148"/>
      <c r="S288" s="148">
        <f t="shared" si="89"/>
        <v>0</v>
      </c>
      <c r="T288" s="148">
        <f t="shared" si="93"/>
        <v>3</v>
      </c>
      <c r="U288" s="148">
        <f t="shared" si="92"/>
        <v>101.22</v>
      </c>
      <c r="V288" s="379"/>
      <c r="W288" s="379"/>
      <c r="X288" s="58" t="e">
        <f>IF(B288&lt;&gt;0,VLOOKUP(B288,#REF!,4,FALSE),"")</f>
        <v>#REF!</v>
      </c>
      <c r="Y288" s="334" t="s">
        <v>3281</v>
      </c>
      <c r="Z288" s="58">
        <f t="shared" si="80"/>
        <v>-4.2149999999999999</v>
      </c>
      <c r="AA288" s="58">
        <f t="shared" si="81"/>
        <v>71.655000000000001</v>
      </c>
      <c r="AB288" s="58"/>
      <c r="AC288" s="58">
        <f t="shared" si="82"/>
        <v>90.87</v>
      </c>
      <c r="AD288" s="58" t="e">
        <f>IF(B288&lt;&gt;0,VLOOKUP(B288,#REF!,2,FALSE),"")</f>
        <v>#REF!</v>
      </c>
      <c r="AE288" s="23">
        <v>4</v>
      </c>
      <c r="AF288" s="55">
        <f t="shared" si="85"/>
        <v>1</v>
      </c>
    </row>
    <row r="289" spans="1:32" s="23" customFormat="1" ht="50.25" customHeight="1">
      <c r="A289" s="21" t="s">
        <v>893</v>
      </c>
      <c r="B289" s="20">
        <v>89492</v>
      </c>
      <c r="C289" s="19" t="s">
        <v>1620</v>
      </c>
      <c r="D289" s="21" t="s">
        <v>12</v>
      </c>
      <c r="E289" s="21" t="s">
        <v>17</v>
      </c>
      <c r="F289" s="22">
        <v>4</v>
      </c>
      <c r="G289" s="22">
        <f t="shared" si="79"/>
        <v>4.9809999999999999</v>
      </c>
      <c r="H289" s="22">
        <f t="shared" si="90"/>
        <v>6.32</v>
      </c>
      <c r="I289" s="147">
        <f t="shared" si="91"/>
        <v>25.28</v>
      </c>
      <c r="J289" s="148"/>
      <c r="K289" s="148"/>
      <c r="L289" s="148"/>
      <c r="M289" s="148">
        <v>5.55</v>
      </c>
      <c r="N289" s="148">
        <v>7.04</v>
      </c>
      <c r="O289" s="148">
        <v>28.16</v>
      </c>
      <c r="P289" s="494"/>
      <c r="Q289" s="147">
        <f t="shared" si="88"/>
        <v>0</v>
      </c>
      <c r="R289" s="148"/>
      <c r="S289" s="148">
        <f t="shared" si="89"/>
        <v>0</v>
      </c>
      <c r="T289" s="148">
        <f t="shared" si="93"/>
        <v>4</v>
      </c>
      <c r="U289" s="148">
        <f t="shared" si="92"/>
        <v>28.16</v>
      </c>
      <c r="V289" s="379"/>
      <c r="W289" s="379"/>
      <c r="X289" s="58" t="e">
        <f>IF(B289&lt;&gt;0,VLOOKUP(B289,#REF!,4,FALSE),"")</f>
        <v>#REF!</v>
      </c>
      <c r="Y289" s="334" t="s">
        <v>3119</v>
      </c>
      <c r="Z289" s="58">
        <f t="shared" si="80"/>
        <v>-0.87900000000000045</v>
      </c>
      <c r="AA289" s="58">
        <f t="shared" si="81"/>
        <v>19.923999999999999</v>
      </c>
      <c r="AB289" s="58"/>
      <c r="AC289" s="58">
        <f t="shared" si="82"/>
        <v>25.28</v>
      </c>
      <c r="AD289" s="58" t="e">
        <f>IF(B289&lt;&gt;0,VLOOKUP(B289,#REF!,2,FALSE),"")</f>
        <v>#REF!</v>
      </c>
      <c r="AE289" s="23">
        <v>4</v>
      </c>
      <c r="AF289" s="55">
        <f t="shared" si="85"/>
        <v>0</v>
      </c>
    </row>
    <row r="290" spans="1:32" ht="45">
      <c r="A290" s="21" t="s">
        <v>894</v>
      </c>
      <c r="B290" s="20">
        <v>89513</v>
      </c>
      <c r="C290" s="19" t="s">
        <v>1591</v>
      </c>
      <c r="D290" s="21" t="s">
        <v>12</v>
      </c>
      <c r="E290" s="21" t="s">
        <v>17</v>
      </c>
      <c r="F290" s="22">
        <v>4</v>
      </c>
      <c r="G290" s="22">
        <f t="shared" ref="G290:G363" si="94">Y290-(Y290*$Z$14)</f>
        <v>93.848500000000001</v>
      </c>
      <c r="H290" s="22">
        <f t="shared" si="90"/>
        <v>119.01</v>
      </c>
      <c r="I290" s="147">
        <f t="shared" si="91"/>
        <v>476.04</v>
      </c>
      <c r="J290" s="148"/>
      <c r="K290" s="148"/>
      <c r="L290" s="148"/>
      <c r="M290" s="148">
        <v>104.55</v>
      </c>
      <c r="N290" s="148">
        <v>132.58000000000001</v>
      </c>
      <c r="O290" s="148">
        <v>530.32000000000005</v>
      </c>
      <c r="P290" s="494"/>
      <c r="Q290" s="147">
        <f t="shared" si="88"/>
        <v>0</v>
      </c>
      <c r="R290" s="148"/>
      <c r="S290" s="148">
        <f t="shared" si="89"/>
        <v>0</v>
      </c>
      <c r="T290" s="148">
        <f t="shared" si="93"/>
        <v>4</v>
      </c>
      <c r="U290" s="148">
        <f t="shared" si="92"/>
        <v>530.32000000000005</v>
      </c>
      <c r="V290" s="379"/>
      <c r="W290" s="379"/>
      <c r="X290" s="58" t="e">
        <f>IF(B290&lt;&gt;0,VLOOKUP(B290,#REF!,4,FALSE),"")</f>
        <v>#REF!</v>
      </c>
      <c r="Y290" s="334" t="s">
        <v>3280</v>
      </c>
      <c r="Z290" s="58">
        <f t="shared" ref="Z290:Z363" si="95">G290-Y290</f>
        <v>-16.561499999999995</v>
      </c>
      <c r="AA290" s="58">
        <f t="shared" ref="AA290:AA363" si="96">F290*G290</f>
        <v>375.39400000000001</v>
      </c>
      <c r="AB290" s="58"/>
      <c r="AC290" s="58">
        <f t="shared" ref="AC290:AC363" si="97">F290*H290</f>
        <v>476.04</v>
      </c>
      <c r="AD290" s="58" t="e">
        <f>IF(B290&lt;&gt;0,VLOOKUP(B290,#REF!,2,FALSE),"")</f>
        <v>#REF!</v>
      </c>
      <c r="AE290" s="2">
        <v>2</v>
      </c>
      <c r="AF290" s="55">
        <f t="shared" si="85"/>
        <v>-2</v>
      </c>
    </row>
    <row r="291" spans="1:32" ht="45">
      <c r="A291" s="21" t="s">
        <v>895</v>
      </c>
      <c r="B291" s="20">
        <v>89516</v>
      </c>
      <c r="C291" s="19" t="s">
        <v>1621</v>
      </c>
      <c r="D291" s="21" t="s">
        <v>12</v>
      </c>
      <c r="E291" s="21" t="s">
        <v>17</v>
      </c>
      <c r="F291" s="22">
        <v>2</v>
      </c>
      <c r="G291" s="22">
        <f t="shared" si="94"/>
        <v>6.0605000000000002</v>
      </c>
      <c r="H291" s="22">
        <f t="shared" si="90"/>
        <v>7.69</v>
      </c>
      <c r="I291" s="147">
        <f t="shared" si="91"/>
        <v>15.38</v>
      </c>
      <c r="J291" s="148"/>
      <c r="K291" s="148"/>
      <c r="L291" s="148"/>
      <c r="M291" s="148">
        <v>6.75</v>
      </c>
      <c r="N291" s="148">
        <v>8.56</v>
      </c>
      <c r="O291" s="148">
        <v>17.12</v>
      </c>
      <c r="P291" s="494"/>
      <c r="Q291" s="147">
        <f t="shared" si="88"/>
        <v>0</v>
      </c>
      <c r="R291" s="148"/>
      <c r="S291" s="148">
        <f t="shared" si="89"/>
        <v>0</v>
      </c>
      <c r="T291" s="148">
        <f t="shared" si="93"/>
        <v>2</v>
      </c>
      <c r="U291" s="148">
        <f t="shared" si="92"/>
        <v>17.12</v>
      </c>
      <c r="V291" s="379"/>
      <c r="W291" s="379"/>
      <c r="X291" s="58" t="e">
        <f>IF(B291&lt;&gt;0,VLOOKUP(B291,#REF!,4,FALSE),"")</f>
        <v>#REF!</v>
      </c>
      <c r="Y291" s="334" t="s">
        <v>1868</v>
      </c>
      <c r="Z291" s="58">
        <f t="shared" si="95"/>
        <v>-1.0694999999999997</v>
      </c>
      <c r="AA291" s="58">
        <f t="shared" si="96"/>
        <v>12.121</v>
      </c>
      <c r="AB291" s="58"/>
      <c r="AC291" s="58">
        <f t="shared" si="97"/>
        <v>15.38</v>
      </c>
      <c r="AD291" s="58" t="e">
        <f>IF(B291&lt;&gt;0,VLOOKUP(B291,#REF!,2,FALSE),"")</f>
        <v>#REF!</v>
      </c>
      <c r="AE291" s="2">
        <v>2</v>
      </c>
      <c r="AF291" s="55">
        <f t="shared" si="85"/>
        <v>0</v>
      </c>
    </row>
    <row r="292" spans="1:32" ht="60">
      <c r="A292" s="21" t="s">
        <v>896</v>
      </c>
      <c r="B292" s="20">
        <v>89582</v>
      </c>
      <c r="C292" s="19" t="s">
        <v>1622</v>
      </c>
      <c r="D292" s="21" t="s">
        <v>12</v>
      </c>
      <c r="E292" s="21" t="s">
        <v>17</v>
      </c>
      <c r="F292" s="22">
        <v>2</v>
      </c>
      <c r="G292" s="22">
        <f t="shared" si="94"/>
        <v>17.34</v>
      </c>
      <c r="H292" s="22">
        <f t="shared" si="90"/>
        <v>21.99</v>
      </c>
      <c r="I292" s="147">
        <f t="shared" si="91"/>
        <v>43.98</v>
      </c>
      <c r="J292" s="148"/>
      <c r="K292" s="148"/>
      <c r="L292" s="148"/>
      <c r="M292" s="148">
        <v>19.32</v>
      </c>
      <c r="N292" s="148">
        <v>24.5</v>
      </c>
      <c r="O292" s="148">
        <v>49</v>
      </c>
      <c r="P292" s="494"/>
      <c r="Q292" s="147">
        <f t="shared" si="88"/>
        <v>0</v>
      </c>
      <c r="R292" s="148"/>
      <c r="S292" s="148">
        <f t="shared" si="89"/>
        <v>0</v>
      </c>
      <c r="T292" s="148">
        <f t="shared" si="93"/>
        <v>2</v>
      </c>
      <c r="U292" s="148">
        <f t="shared" si="92"/>
        <v>49</v>
      </c>
      <c r="V292" s="379"/>
      <c r="W292" s="379"/>
      <c r="X292" s="58" t="e">
        <f>IF(B292&lt;&gt;0,VLOOKUP(B292,#REF!,4,FALSE),"")</f>
        <v>#REF!</v>
      </c>
      <c r="Y292" s="334" t="s">
        <v>3224</v>
      </c>
      <c r="Z292" s="58">
        <f t="shared" si="95"/>
        <v>-3.0599999999999987</v>
      </c>
      <c r="AA292" s="58">
        <f t="shared" si="96"/>
        <v>34.68</v>
      </c>
      <c r="AB292" s="58"/>
      <c r="AC292" s="58">
        <f t="shared" si="97"/>
        <v>43.98</v>
      </c>
      <c r="AD292" s="58" t="e">
        <f>IF(B292&lt;&gt;0,VLOOKUP(B292,#REF!,2,FALSE),"")</f>
        <v>#REF!</v>
      </c>
      <c r="AE292" s="2">
        <v>5</v>
      </c>
      <c r="AF292" s="55">
        <f t="shared" si="85"/>
        <v>3</v>
      </c>
    </row>
    <row r="293" spans="1:32" s="38" customFormat="1" ht="45">
      <c r="A293" s="21" t="s">
        <v>897</v>
      </c>
      <c r="B293" s="20">
        <v>89368</v>
      </c>
      <c r="C293" s="19" t="s">
        <v>1623</v>
      </c>
      <c r="D293" s="21" t="s">
        <v>12</v>
      </c>
      <c r="E293" s="21" t="s">
        <v>17</v>
      </c>
      <c r="F293" s="22">
        <v>5</v>
      </c>
      <c r="G293" s="22">
        <f t="shared" si="94"/>
        <v>9.8089999999999993</v>
      </c>
      <c r="H293" s="22">
        <f t="shared" si="90"/>
        <v>12.44</v>
      </c>
      <c r="I293" s="147">
        <f t="shared" si="91"/>
        <v>62.2</v>
      </c>
      <c r="J293" s="148"/>
      <c r="K293" s="148"/>
      <c r="L293" s="148"/>
      <c r="M293" s="148">
        <v>10.93</v>
      </c>
      <c r="N293" s="148">
        <v>13.86</v>
      </c>
      <c r="O293" s="148">
        <v>69.3</v>
      </c>
      <c r="P293" s="494"/>
      <c r="Q293" s="147">
        <f t="shared" si="88"/>
        <v>0</v>
      </c>
      <c r="R293" s="148"/>
      <c r="S293" s="148">
        <f t="shared" si="89"/>
        <v>0</v>
      </c>
      <c r="T293" s="148">
        <f t="shared" si="93"/>
        <v>5</v>
      </c>
      <c r="U293" s="148">
        <f t="shared" si="92"/>
        <v>69.3</v>
      </c>
      <c r="V293" s="379"/>
      <c r="W293" s="379"/>
      <c r="X293" s="58" t="e">
        <f>IF(B293&lt;&gt;0,VLOOKUP(B293,#REF!,4,FALSE),"")</f>
        <v>#REF!</v>
      </c>
      <c r="Y293" s="334" t="s">
        <v>3122</v>
      </c>
      <c r="Z293" s="58">
        <f t="shared" si="95"/>
        <v>-1.7309999999999999</v>
      </c>
      <c r="AA293" s="58">
        <f t="shared" si="96"/>
        <v>49.044999999999995</v>
      </c>
      <c r="AB293" s="58"/>
      <c r="AC293" s="58">
        <f t="shared" si="97"/>
        <v>62.199999999999996</v>
      </c>
      <c r="AD293" s="58" t="e">
        <f>IF(B293&lt;&gt;0,VLOOKUP(B293,#REF!,2,FALSE),"")</f>
        <v>#REF!</v>
      </c>
      <c r="AE293" s="38">
        <v>5</v>
      </c>
      <c r="AF293" s="55">
        <f t="shared" si="85"/>
        <v>0</v>
      </c>
    </row>
    <row r="294" spans="1:32" s="23" customFormat="1" ht="60">
      <c r="A294" s="21" t="s">
        <v>898</v>
      </c>
      <c r="B294" s="20">
        <v>89690</v>
      </c>
      <c r="C294" s="19" t="s">
        <v>1624</v>
      </c>
      <c r="D294" s="21" t="s">
        <v>12</v>
      </c>
      <c r="E294" s="21" t="s">
        <v>17</v>
      </c>
      <c r="F294" s="22">
        <v>5</v>
      </c>
      <c r="G294" s="22">
        <f t="shared" si="94"/>
        <v>55.360499999999995</v>
      </c>
      <c r="H294" s="22">
        <f t="shared" si="90"/>
        <v>70.2</v>
      </c>
      <c r="I294" s="147">
        <f t="shared" si="91"/>
        <v>351</v>
      </c>
      <c r="J294" s="148"/>
      <c r="K294" s="148"/>
      <c r="L294" s="148"/>
      <c r="M294" s="148">
        <v>61.67</v>
      </c>
      <c r="N294" s="148">
        <v>78.2</v>
      </c>
      <c r="O294" s="148">
        <v>391</v>
      </c>
      <c r="P294" s="494"/>
      <c r="Q294" s="147">
        <f t="shared" si="88"/>
        <v>0</v>
      </c>
      <c r="R294" s="148"/>
      <c r="S294" s="148">
        <f t="shared" si="89"/>
        <v>0</v>
      </c>
      <c r="T294" s="148">
        <f t="shared" si="93"/>
        <v>5</v>
      </c>
      <c r="U294" s="148">
        <f t="shared" si="92"/>
        <v>391</v>
      </c>
      <c r="V294" s="379"/>
      <c r="W294" s="379"/>
      <c r="X294" s="58" t="e">
        <f>IF(B294&lt;&gt;0,VLOOKUP(B294,#REF!,4,FALSE),"")</f>
        <v>#REF!</v>
      </c>
      <c r="Y294" s="334" t="s">
        <v>3284</v>
      </c>
      <c r="Z294" s="58">
        <f t="shared" si="95"/>
        <v>-9.7695000000000007</v>
      </c>
      <c r="AA294" s="58">
        <f t="shared" si="96"/>
        <v>276.80249999999995</v>
      </c>
      <c r="AB294" s="58"/>
      <c r="AC294" s="58">
        <f t="shared" si="97"/>
        <v>351</v>
      </c>
      <c r="AD294" s="58" t="e">
        <f>IF(B294&lt;&gt;0,VLOOKUP(B294,#REF!,2,FALSE),"")</f>
        <v>#REF!</v>
      </c>
      <c r="AE294" s="23">
        <v>5</v>
      </c>
      <c r="AF294" s="55">
        <f t="shared" si="85"/>
        <v>0</v>
      </c>
    </row>
    <row r="295" spans="1:32" s="38" customFormat="1" ht="45">
      <c r="A295" s="21" t="s">
        <v>899</v>
      </c>
      <c r="B295" s="20">
        <v>89574</v>
      </c>
      <c r="C295" s="19" t="s">
        <v>1625</v>
      </c>
      <c r="D295" s="21" t="s">
        <v>12</v>
      </c>
      <c r="E295" s="21" t="s">
        <v>17</v>
      </c>
      <c r="F295" s="22">
        <v>5</v>
      </c>
      <c r="G295" s="22">
        <f t="shared" si="94"/>
        <v>93.083500000000001</v>
      </c>
      <c r="H295" s="22">
        <f t="shared" si="90"/>
        <v>118.04</v>
      </c>
      <c r="I295" s="147">
        <f t="shared" si="91"/>
        <v>590.20000000000005</v>
      </c>
      <c r="J295" s="148"/>
      <c r="K295" s="148"/>
      <c r="L295" s="148"/>
      <c r="M295" s="148">
        <v>103.7</v>
      </c>
      <c r="N295" s="148">
        <v>131.5</v>
      </c>
      <c r="O295" s="148">
        <v>657.5</v>
      </c>
      <c r="P295" s="494"/>
      <c r="Q295" s="147">
        <f t="shared" si="88"/>
        <v>0</v>
      </c>
      <c r="R295" s="148"/>
      <c r="S295" s="148">
        <f t="shared" si="89"/>
        <v>0</v>
      </c>
      <c r="T295" s="148">
        <f t="shared" si="93"/>
        <v>5</v>
      </c>
      <c r="U295" s="148">
        <f t="shared" si="92"/>
        <v>657.5</v>
      </c>
      <c r="V295" s="379"/>
      <c r="W295" s="379"/>
      <c r="X295" s="58" t="e">
        <f>IF(B295&lt;&gt;0,VLOOKUP(B295,#REF!,4,FALSE),"")</f>
        <v>#REF!</v>
      </c>
      <c r="Y295" s="334" t="s">
        <v>3171</v>
      </c>
      <c r="Z295" s="58">
        <f t="shared" si="95"/>
        <v>-16.426500000000004</v>
      </c>
      <c r="AA295" s="58">
        <f t="shared" si="96"/>
        <v>465.41750000000002</v>
      </c>
      <c r="AB295" s="58"/>
      <c r="AC295" s="58">
        <f t="shared" si="97"/>
        <v>590.20000000000005</v>
      </c>
      <c r="AD295" s="58" t="e">
        <f>IF(B295&lt;&gt;0,VLOOKUP(B295,#REF!,2,FALSE),"")</f>
        <v>#REF!</v>
      </c>
      <c r="AE295" s="38">
        <v>6</v>
      </c>
      <c r="AF295" s="55">
        <f t="shared" si="85"/>
        <v>1</v>
      </c>
    </row>
    <row r="296" spans="1:32" ht="45">
      <c r="A296" s="21" t="s">
        <v>900</v>
      </c>
      <c r="B296" s="20">
        <v>89620</v>
      </c>
      <c r="C296" s="19" t="s">
        <v>1626</v>
      </c>
      <c r="D296" s="21" t="s">
        <v>12</v>
      </c>
      <c r="E296" s="21" t="s">
        <v>17</v>
      </c>
      <c r="F296" s="22">
        <v>6</v>
      </c>
      <c r="G296" s="22">
        <f t="shared" si="94"/>
        <v>8.0239999999999991</v>
      </c>
      <c r="H296" s="22">
        <f t="shared" si="90"/>
        <v>10.18</v>
      </c>
      <c r="I296" s="147">
        <f t="shared" si="91"/>
        <v>61.08</v>
      </c>
      <c r="J296" s="148"/>
      <c r="K296" s="148"/>
      <c r="L296" s="148"/>
      <c r="M296" s="148">
        <v>8.94</v>
      </c>
      <c r="N296" s="148">
        <v>11.34</v>
      </c>
      <c r="O296" s="148">
        <v>68.040000000000006</v>
      </c>
      <c r="P296" s="494"/>
      <c r="Q296" s="147">
        <f t="shared" si="88"/>
        <v>0</v>
      </c>
      <c r="R296" s="148"/>
      <c r="S296" s="148">
        <f t="shared" si="89"/>
        <v>0</v>
      </c>
      <c r="T296" s="148">
        <f t="shared" si="93"/>
        <v>6</v>
      </c>
      <c r="U296" s="148">
        <f t="shared" si="92"/>
        <v>68.040000000000006</v>
      </c>
      <c r="V296" s="379"/>
      <c r="W296" s="379"/>
      <c r="X296" s="58" t="e">
        <f>IF(B296&lt;&gt;0,VLOOKUP(B296,#REF!,4,FALSE),"")</f>
        <v>#REF!</v>
      </c>
      <c r="Y296" s="334" t="s">
        <v>3283</v>
      </c>
      <c r="Z296" s="58">
        <f t="shared" si="95"/>
        <v>-1.4160000000000004</v>
      </c>
      <c r="AA296" s="58">
        <f t="shared" si="96"/>
        <v>48.143999999999991</v>
      </c>
      <c r="AB296" s="58"/>
      <c r="AC296" s="58">
        <f t="shared" si="97"/>
        <v>61.08</v>
      </c>
      <c r="AD296" s="58" t="e">
        <f>IF(B296&lt;&gt;0,VLOOKUP(B296,#REF!,2,FALSE),"")</f>
        <v>#REF!</v>
      </c>
      <c r="AE296" s="2">
        <v>2</v>
      </c>
      <c r="AF296" s="55">
        <f t="shared" si="85"/>
        <v>-4</v>
      </c>
    </row>
    <row r="297" spans="1:32">
      <c r="A297" s="21" t="s">
        <v>901</v>
      </c>
      <c r="B297" s="20">
        <v>53099</v>
      </c>
      <c r="C297" s="19" t="s">
        <v>2367</v>
      </c>
      <c r="D297" s="21" t="s">
        <v>1914</v>
      </c>
      <c r="E297" s="21" t="s">
        <v>17</v>
      </c>
      <c r="F297" s="22">
        <v>2</v>
      </c>
      <c r="G297" s="22">
        <f t="shared" si="94"/>
        <v>21.385999999999999</v>
      </c>
      <c r="H297" s="22">
        <f t="shared" si="90"/>
        <v>27.12</v>
      </c>
      <c r="I297" s="147">
        <f t="shared" si="91"/>
        <v>54.24</v>
      </c>
      <c r="J297" s="148"/>
      <c r="K297" s="148"/>
      <c r="L297" s="148"/>
      <c r="M297" s="148">
        <v>23.82</v>
      </c>
      <c r="N297" s="148">
        <v>30.21</v>
      </c>
      <c r="O297" s="148">
        <v>60.42</v>
      </c>
      <c r="P297" s="494"/>
      <c r="Q297" s="147">
        <f t="shared" si="88"/>
        <v>0</v>
      </c>
      <c r="R297" s="148"/>
      <c r="S297" s="148">
        <f t="shared" si="89"/>
        <v>0</v>
      </c>
      <c r="T297" s="148">
        <f t="shared" si="93"/>
        <v>2</v>
      </c>
      <c r="U297" s="148">
        <f t="shared" si="92"/>
        <v>60.42</v>
      </c>
      <c r="V297" s="379"/>
      <c r="W297" s="379"/>
      <c r="X297" s="57">
        <f>'COMPOSIÇÃO DE CUSTOS'!G662</f>
        <v>21.4</v>
      </c>
      <c r="Y297" s="334">
        <v>25.16</v>
      </c>
      <c r="Z297" s="58">
        <f t="shared" si="95"/>
        <v>-3.7740000000000009</v>
      </c>
      <c r="AA297" s="58">
        <f t="shared" si="96"/>
        <v>42.771999999999998</v>
      </c>
      <c r="AB297" s="58"/>
      <c r="AC297" s="58">
        <f t="shared" si="97"/>
        <v>54.24</v>
      </c>
      <c r="AD297" s="58" t="e">
        <f>IF(B297&lt;&gt;0,VLOOKUP(B297,#REF!,2,FALSE),"")</f>
        <v>#REF!</v>
      </c>
      <c r="AE297" s="2">
        <v>2</v>
      </c>
      <c r="AF297" s="55">
        <f t="shared" si="85"/>
        <v>0</v>
      </c>
    </row>
    <row r="298" spans="1:32">
      <c r="A298" s="21" t="s">
        <v>902</v>
      </c>
      <c r="B298" s="20" t="s">
        <v>2116</v>
      </c>
      <c r="C298" s="19" t="s">
        <v>2368</v>
      </c>
      <c r="D298" s="21" t="s">
        <v>1914</v>
      </c>
      <c r="E298" s="21" t="s">
        <v>17</v>
      </c>
      <c r="F298" s="22">
        <v>2</v>
      </c>
      <c r="G298" s="22">
        <f t="shared" si="94"/>
        <v>29.460999999999999</v>
      </c>
      <c r="H298" s="22">
        <f t="shared" si="90"/>
        <v>37.36</v>
      </c>
      <c r="I298" s="147">
        <f t="shared" si="91"/>
        <v>74.72</v>
      </c>
      <c r="J298" s="148"/>
      <c r="K298" s="148"/>
      <c r="L298" s="148"/>
      <c r="M298" s="148">
        <v>32.82</v>
      </c>
      <c r="N298" s="148">
        <v>41.62</v>
      </c>
      <c r="O298" s="148">
        <v>83.24</v>
      </c>
      <c r="P298" s="494"/>
      <c r="Q298" s="147">
        <f t="shared" si="88"/>
        <v>0</v>
      </c>
      <c r="R298" s="148"/>
      <c r="S298" s="148">
        <f t="shared" si="89"/>
        <v>0</v>
      </c>
      <c r="T298" s="148">
        <f t="shared" si="93"/>
        <v>2</v>
      </c>
      <c r="U298" s="148">
        <f t="shared" si="92"/>
        <v>83.24</v>
      </c>
      <c r="V298" s="379"/>
      <c r="W298" s="379"/>
      <c r="X298" s="57">
        <f>'COMPOSIÇÃO DE CUSTOS'!G669</f>
        <v>29.47</v>
      </c>
      <c r="Y298" s="334">
        <v>34.659999999999997</v>
      </c>
      <c r="Z298" s="58">
        <f t="shared" si="95"/>
        <v>-5.1989999999999981</v>
      </c>
      <c r="AA298" s="58">
        <f t="shared" si="96"/>
        <v>58.921999999999997</v>
      </c>
      <c r="AB298" s="58"/>
      <c r="AC298" s="58">
        <f t="shared" si="97"/>
        <v>74.72</v>
      </c>
      <c r="AD298" s="58" t="e">
        <f>IF(B298&lt;&gt;0,VLOOKUP(B298,#REF!,2,FALSE),"")</f>
        <v>#REF!</v>
      </c>
      <c r="AF298" s="55">
        <f t="shared" si="85"/>
        <v>-2</v>
      </c>
    </row>
    <row r="299" spans="1:32">
      <c r="A299" s="69" t="s">
        <v>903</v>
      </c>
      <c r="B299" s="129"/>
      <c r="C299" s="229" t="s">
        <v>141</v>
      </c>
      <c r="D299" s="230"/>
      <c r="E299" s="230"/>
      <c r="F299" s="230"/>
      <c r="G299" s="22"/>
      <c r="H299" s="230"/>
      <c r="I299" s="445"/>
      <c r="J299" s="440"/>
      <c r="K299" s="440"/>
      <c r="L299" s="440"/>
      <c r="M299" s="440"/>
      <c r="N299" s="440"/>
      <c r="O299" s="440"/>
      <c r="P299" s="492"/>
      <c r="Q299" s="147">
        <f t="shared" si="88"/>
        <v>0</v>
      </c>
      <c r="R299" s="148"/>
      <c r="S299" s="148">
        <f t="shared" si="89"/>
        <v>0</v>
      </c>
      <c r="T299" s="148" t="str">
        <f t="shared" si="93"/>
        <v xml:space="preserve"> </v>
      </c>
      <c r="U299" s="148">
        <f t="shared" si="92"/>
        <v>0</v>
      </c>
      <c r="V299" s="330"/>
      <c r="W299" s="330"/>
      <c r="X299" s="57" t="str">
        <f>IF(B299&lt;&gt;0,VLOOKUP(B299,#REF!,4,FALSE),"")</f>
        <v/>
      </c>
      <c r="Y299" s="334" t="s">
        <v>1891</v>
      </c>
      <c r="Z299" s="58"/>
      <c r="AA299" s="58">
        <f t="shared" si="96"/>
        <v>0</v>
      </c>
      <c r="AB299" s="58"/>
      <c r="AC299" s="58">
        <f t="shared" si="97"/>
        <v>0</v>
      </c>
      <c r="AD299" s="58" t="str">
        <f>IF(B299&lt;&gt;0,VLOOKUP(B299,#REF!,2,FALSE),"")</f>
        <v/>
      </c>
      <c r="AE299" s="2">
        <v>8</v>
      </c>
      <c r="AF299" s="55">
        <f t="shared" si="85"/>
        <v>8</v>
      </c>
    </row>
    <row r="300" spans="1:32" s="38" customFormat="1" ht="90">
      <c r="A300" s="447" t="s">
        <v>904</v>
      </c>
      <c r="B300" s="448" t="s">
        <v>2117</v>
      </c>
      <c r="C300" s="449" t="s">
        <v>142</v>
      </c>
      <c r="D300" s="447" t="s">
        <v>1914</v>
      </c>
      <c r="E300" s="447" t="s">
        <v>17</v>
      </c>
      <c r="F300" s="450">
        <v>8</v>
      </c>
      <c r="G300" s="450">
        <f t="shared" si="94"/>
        <v>194.76900000000001</v>
      </c>
      <c r="H300" s="450">
        <f>ROUND(G300*(1+$X$13),2)</f>
        <v>246.99</v>
      </c>
      <c r="I300" s="451">
        <f>ROUND(H300*F300,2)</f>
        <v>1975.92</v>
      </c>
      <c r="J300" s="452"/>
      <c r="K300" s="452"/>
      <c r="L300" s="452"/>
      <c r="M300" s="452">
        <v>216.97</v>
      </c>
      <c r="N300" s="452">
        <v>275.14</v>
      </c>
      <c r="O300" s="452">
        <v>2201.12</v>
      </c>
      <c r="P300" s="493">
        <v>14</v>
      </c>
      <c r="Q300" s="451">
        <f t="shared" si="88"/>
        <v>3851.96</v>
      </c>
      <c r="R300" s="452"/>
      <c r="S300" s="452">
        <f t="shared" si="89"/>
        <v>0</v>
      </c>
      <c r="T300" s="452">
        <f t="shared" si="93"/>
        <v>22</v>
      </c>
      <c r="U300" s="452">
        <f t="shared" si="92"/>
        <v>6053.08</v>
      </c>
      <c r="V300" s="453"/>
      <c r="W300" s="453"/>
      <c r="X300" s="42">
        <f>'COMPOSIÇÃO DE CUSTOS'!G682</f>
        <v>194.75</v>
      </c>
      <c r="Y300" s="336">
        <v>229.14</v>
      </c>
      <c r="Z300" s="39">
        <f t="shared" si="95"/>
        <v>-34.370999999999981</v>
      </c>
      <c r="AA300" s="39">
        <f t="shared" si="96"/>
        <v>1558.152</v>
      </c>
      <c r="AB300" s="39"/>
      <c r="AC300" s="39">
        <f t="shared" si="97"/>
        <v>1975.92</v>
      </c>
      <c r="AD300" s="39" t="e">
        <f>IF(B300&lt;&gt;0,VLOOKUP(B300,#REF!,2,FALSE),"")</f>
        <v>#REF!</v>
      </c>
      <c r="AE300" s="38">
        <v>8</v>
      </c>
      <c r="AF300" s="38">
        <f t="shared" si="85"/>
        <v>0</v>
      </c>
    </row>
    <row r="301" spans="1:32" ht="30">
      <c r="A301" s="21" t="s">
        <v>905</v>
      </c>
      <c r="B301" s="20">
        <v>72285</v>
      </c>
      <c r="C301" s="19" t="s">
        <v>143</v>
      </c>
      <c r="D301" s="21" t="s">
        <v>1914</v>
      </c>
      <c r="E301" s="21" t="s">
        <v>17</v>
      </c>
      <c r="F301" s="22">
        <v>8</v>
      </c>
      <c r="G301" s="22">
        <f t="shared" si="94"/>
        <v>60.375500000000002</v>
      </c>
      <c r="H301" s="22">
        <f>ROUND(G301*(1+$X$13),2)</f>
        <v>76.56</v>
      </c>
      <c r="I301" s="147">
        <f>ROUND(H301*F301,2)</f>
        <v>612.48</v>
      </c>
      <c r="J301" s="148"/>
      <c r="K301" s="148"/>
      <c r="L301" s="148"/>
      <c r="M301" s="148">
        <v>67.260000000000005</v>
      </c>
      <c r="N301" s="148">
        <v>85.29</v>
      </c>
      <c r="O301" s="148">
        <v>682.32</v>
      </c>
      <c r="P301" s="494"/>
      <c r="Q301" s="147">
        <f t="shared" si="88"/>
        <v>0</v>
      </c>
      <c r="R301" s="148"/>
      <c r="S301" s="148">
        <f t="shared" si="89"/>
        <v>0</v>
      </c>
      <c r="T301" s="148">
        <f t="shared" si="93"/>
        <v>8</v>
      </c>
      <c r="U301" s="148">
        <f t="shared" si="92"/>
        <v>682.32</v>
      </c>
      <c r="V301" s="379"/>
      <c r="W301" s="379"/>
      <c r="X301" s="57">
        <f>'COMPOSIÇÃO DE CUSTOS'!G692</f>
        <v>60.38</v>
      </c>
      <c r="Y301" s="334">
        <v>71.03</v>
      </c>
      <c r="Z301" s="58">
        <f t="shared" si="95"/>
        <v>-10.654499999999999</v>
      </c>
      <c r="AA301" s="58">
        <f t="shared" si="96"/>
        <v>483.00400000000002</v>
      </c>
      <c r="AB301" s="58"/>
      <c r="AC301" s="58">
        <f t="shared" si="97"/>
        <v>612.48</v>
      </c>
      <c r="AD301" s="58" t="e">
        <f>IF(B301&lt;&gt;0,VLOOKUP(B301,#REF!,2,FALSE),"")</f>
        <v>#REF!</v>
      </c>
      <c r="AE301" s="2">
        <v>8</v>
      </c>
      <c r="AF301" s="55">
        <f t="shared" si="85"/>
        <v>0</v>
      </c>
    </row>
    <row r="302" spans="1:32" ht="45">
      <c r="A302" s="21" t="s">
        <v>906</v>
      </c>
      <c r="B302" s="20">
        <v>89495</v>
      </c>
      <c r="C302" s="19" t="s">
        <v>1627</v>
      </c>
      <c r="D302" s="21" t="s">
        <v>12</v>
      </c>
      <c r="E302" s="21" t="s">
        <v>17</v>
      </c>
      <c r="F302" s="22">
        <v>8</v>
      </c>
      <c r="G302" s="22">
        <f t="shared" si="94"/>
        <v>6.0009999999999994</v>
      </c>
      <c r="H302" s="22">
        <f>ROUND(G302*(1+$X$13),2)</f>
        <v>7.61</v>
      </c>
      <c r="I302" s="147">
        <f>ROUND(H302*F302,2)</f>
        <v>60.88</v>
      </c>
      <c r="J302" s="148"/>
      <c r="K302" s="148"/>
      <c r="L302" s="148"/>
      <c r="M302" s="148">
        <v>6.69</v>
      </c>
      <c r="N302" s="148">
        <v>8.48</v>
      </c>
      <c r="O302" s="148">
        <v>67.84</v>
      </c>
      <c r="P302" s="494"/>
      <c r="Q302" s="147">
        <f t="shared" si="88"/>
        <v>0</v>
      </c>
      <c r="R302" s="148"/>
      <c r="S302" s="148">
        <f t="shared" si="89"/>
        <v>0</v>
      </c>
      <c r="T302" s="148">
        <f t="shared" si="93"/>
        <v>8</v>
      </c>
      <c r="U302" s="148">
        <f t="shared" si="92"/>
        <v>67.84</v>
      </c>
      <c r="V302" s="379"/>
      <c r="W302" s="379"/>
      <c r="X302" s="58" t="e">
        <f>IF(B302&lt;&gt;0,VLOOKUP(B302,#REF!,4,FALSE),"")</f>
        <v>#REF!</v>
      </c>
      <c r="Y302" s="334" t="s">
        <v>1839</v>
      </c>
      <c r="Z302" s="58">
        <f t="shared" si="95"/>
        <v>-1.0590000000000002</v>
      </c>
      <c r="AA302" s="58">
        <f t="shared" si="96"/>
        <v>48.007999999999996</v>
      </c>
      <c r="AB302" s="58"/>
      <c r="AC302" s="58">
        <f t="shared" si="97"/>
        <v>60.88</v>
      </c>
      <c r="AD302" s="58" t="e">
        <f>IF(B302&lt;&gt;0,VLOOKUP(B302,#REF!,2,FALSE),"")</f>
        <v>#REF!</v>
      </c>
      <c r="AE302" s="2">
        <v>2</v>
      </c>
      <c r="AF302" s="55">
        <f t="shared" si="85"/>
        <v>-6</v>
      </c>
    </row>
    <row r="303" spans="1:32" ht="45">
      <c r="A303" s="21" t="s">
        <v>907</v>
      </c>
      <c r="B303" s="20">
        <v>759</v>
      </c>
      <c r="C303" s="19" t="s">
        <v>144</v>
      </c>
      <c r="D303" s="21" t="s">
        <v>12</v>
      </c>
      <c r="E303" s="21" t="s">
        <v>17</v>
      </c>
      <c r="F303" s="22">
        <v>2</v>
      </c>
      <c r="G303" s="22">
        <f t="shared" si="94"/>
        <v>4085.1</v>
      </c>
      <c r="H303" s="22">
        <f>ROUND(G303*(1+$X$13),2)</f>
        <v>5180.32</v>
      </c>
      <c r="I303" s="147">
        <f>ROUND(H303*F303,2)</f>
        <v>10360.64</v>
      </c>
      <c r="J303" s="148"/>
      <c r="K303" s="148"/>
      <c r="L303" s="148"/>
      <c r="M303" s="148">
        <v>4550.84</v>
      </c>
      <c r="N303" s="148">
        <v>5770.92</v>
      </c>
      <c r="O303" s="148">
        <v>11541.84</v>
      </c>
      <c r="P303" s="494"/>
      <c r="Q303" s="147">
        <f t="shared" si="88"/>
        <v>0</v>
      </c>
      <c r="R303" s="148"/>
      <c r="S303" s="148">
        <f t="shared" si="89"/>
        <v>0</v>
      </c>
      <c r="T303" s="148">
        <f t="shared" si="93"/>
        <v>2</v>
      </c>
      <c r="U303" s="148">
        <f t="shared" si="92"/>
        <v>11541.84</v>
      </c>
      <c r="V303" s="379"/>
      <c r="W303" s="379"/>
      <c r="X303" s="58" t="e">
        <f>IF(B303&lt;&gt;0,VLOOKUP(B303,#REF!,4,FALSE),"")</f>
        <v>#REF!</v>
      </c>
      <c r="Y303" s="334" t="s">
        <v>3313</v>
      </c>
      <c r="Z303" s="58">
        <f t="shared" si="95"/>
        <v>-720.90000000000009</v>
      </c>
      <c r="AA303" s="58">
        <f t="shared" si="96"/>
        <v>8170.2</v>
      </c>
      <c r="AB303" s="58"/>
      <c r="AC303" s="58">
        <f t="shared" si="97"/>
        <v>10360.64</v>
      </c>
      <c r="AD303" s="58" t="e">
        <f>IF(B303&lt;&gt;0,VLOOKUP(B303,#REF!,2,FALSE),"")</f>
        <v>#REF!</v>
      </c>
      <c r="AF303" s="55">
        <f t="shared" si="85"/>
        <v>-2</v>
      </c>
    </row>
    <row r="304" spans="1:32">
      <c r="A304" s="69" t="s">
        <v>908</v>
      </c>
      <c r="B304" s="129"/>
      <c r="C304" s="229" t="s">
        <v>145</v>
      </c>
      <c r="D304" s="230"/>
      <c r="E304" s="230"/>
      <c r="F304" s="230"/>
      <c r="G304" s="22"/>
      <c r="H304" s="230"/>
      <c r="I304" s="445"/>
      <c r="J304" s="440"/>
      <c r="K304" s="440"/>
      <c r="L304" s="440"/>
      <c r="M304" s="440"/>
      <c r="N304" s="440"/>
      <c r="O304" s="440"/>
      <c r="P304" s="492"/>
      <c r="Q304" s="147">
        <f t="shared" si="88"/>
        <v>0</v>
      </c>
      <c r="R304" s="148"/>
      <c r="S304" s="148">
        <f t="shared" si="89"/>
        <v>0</v>
      </c>
      <c r="T304" s="148" t="str">
        <f t="shared" si="93"/>
        <v xml:space="preserve"> </v>
      </c>
      <c r="U304" s="148">
        <f t="shared" si="92"/>
        <v>0</v>
      </c>
      <c r="V304" s="330"/>
      <c r="W304" s="330"/>
      <c r="X304" s="58" t="str">
        <f>IF(B304&lt;&gt;0,VLOOKUP(B304,#REF!,4,FALSE),"")</f>
        <v/>
      </c>
      <c r="Y304" s="334" t="s">
        <v>1891</v>
      </c>
      <c r="Z304" s="58"/>
      <c r="AA304" s="58">
        <f t="shared" si="96"/>
        <v>0</v>
      </c>
      <c r="AB304" s="58"/>
      <c r="AC304" s="58">
        <f t="shared" si="97"/>
        <v>0</v>
      </c>
      <c r="AD304" s="58" t="str">
        <f>IF(B304&lt;&gt;0,VLOOKUP(B304,#REF!,2,FALSE),"")</f>
        <v/>
      </c>
      <c r="AF304" s="55">
        <f t="shared" si="85"/>
        <v>0</v>
      </c>
    </row>
    <row r="305" spans="1:32">
      <c r="A305" s="69" t="s">
        <v>909</v>
      </c>
      <c r="B305" s="129"/>
      <c r="C305" s="229" t="s">
        <v>140</v>
      </c>
      <c r="D305" s="230"/>
      <c r="E305" s="230"/>
      <c r="F305" s="230"/>
      <c r="G305" s="22"/>
      <c r="H305" s="230"/>
      <c r="I305" s="445"/>
      <c r="J305" s="440"/>
      <c r="K305" s="440"/>
      <c r="L305" s="440"/>
      <c r="M305" s="440"/>
      <c r="N305" s="440"/>
      <c r="O305" s="440"/>
      <c r="P305" s="492"/>
      <c r="Q305" s="147">
        <f t="shared" si="88"/>
        <v>0</v>
      </c>
      <c r="R305" s="148"/>
      <c r="S305" s="148">
        <f t="shared" si="89"/>
        <v>0</v>
      </c>
      <c r="T305" s="148" t="str">
        <f t="shared" si="93"/>
        <v xml:space="preserve"> </v>
      </c>
      <c r="U305" s="148">
        <f t="shared" si="92"/>
        <v>0</v>
      </c>
      <c r="V305" s="330"/>
      <c r="W305" s="330"/>
      <c r="X305" s="58" t="str">
        <f>IF(B305&lt;&gt;0,VLOOKUP(B305,#REF!,4,FALSE),"")</f>
        <v/>
      </c>
      <c r="Y305" s="334" t="s">
        <v>1891</v>
      </c>
      <c r="Z305" s="58"/>
      <c r="AA305" s="58">
        <f t="shared" si="96"/>
        <v>0</v>
      </c>
      <c r="AB305" s="58"/>
      <c r="AC305" s="58">
        <f t="shared" si="97"/>
        <v>0</v>
      </c>
      <c r="AD305" s="58" t="str">
        <f>IF(B305&lt;&gt;0,VLOOKUP(B305,#REF!,2,FALSE),"")</f>
        <v/>
      </c>
      <c r="AE305" s="2">
        <v>13</v>
      </c>
      <c r="AF305" s="55">
        <f t="shared" si="85"/>
        <v>13</v>
      </c>
    </row>
    <row r="306" spans="1:32" s="38" customFormat="1" ht="45">
      <c r="A306" s="447" t="s">
        <v>910</v>
      </c>
      <c r="B306" s="448">
        <v>89711</v>
      </c>
      <c r="C306" s="449" t="s">
        <v>1628</v>
      </c>
      <c r="D306" s="447" t="s">
        <v>12</v>
      </c>
      <c r="E306" s="447" t="s">
        <v>52</v>
      </c>
      <c r="F306" s="450">
        <v>13</v>
      </c>
      <c r="G306" s="450">
        <f t="shared" si="94"/>
        <v>12.1805</v>
      </c>
      <c r="H306" s="450">
        <f t="shared" ref="H306:H338" si="98">ROUND(G306*(1+$X$13),2)</f>
        <v>15.45</v>
      </c>
      <c r="I306" s="451">
        <f t="shared" ref="I306:I338" si="99">ROUND(H306*F306,2)</f>
        <v>200.85</v>
      </c>
      <c r="J306" s="452"/>
      <c r="K306" s="452"/>
      <c r="L306" s="452"/>
      <c r="M306" s="452">
        <v>13.57</v>
      </c>
      <c r="N306" s="452">
        <v>17.21</v>
      </c>
      <c r="O306" s="452">
        <v>223.73</v>
      </c>
      <c r="P306" s="493">
        <v>120</v>
      </c>
      <c r="Q306" s="451">
        <f t="shared" si="88"/>
        <v>2065.1999999999998</v>
      </c>
      <c r="R306" s="452"/>
      <c r="S306" s="452">
        <f t="shared" si="89"/>
        <v>0</v>
      </c>
      <c r="T306" s="452">
        <f t="shared" si="93"/>
        <v>133</v>
      </c>
      <c r="U306" s="452">
        <f t="shared" si="92"/>
        <v>2288.9299999999998</v>
      </c>
      <c r="V306" s="453"/>
      <c r="W306" s="453"/>
      <c r="X306" s="39" t="e">
        <f>IF(B306&lt;&gt;0,VLOOKUP(B306,#REF!,4,FALSE),"")</f>
        <v>#REF!</v>
      </c>
      <c r="Y306" s="336" t="s">
        <v>3115</v>
      </c>
      <c r="Z306" s="39">
        <f t="shared" si="95"/>
        <v>-2.1494999999999997</v>
      </c>
      <c r="AA306" s="39">
        <f t="shared" si="96"/>
        <v>158.34649999999999</v>
      </c>
      <c r="AB306" s="39"/>
      <c r="AC306" s="39">
        <f t="shared" si="97"/>
        <v>200.85</v>
      </c>
      <c r="AD306" s="39" t="e">
        <f>IF(B306&lt;&gt;0,VLOOKUP(B306,#REF!,2,FALSE),"")</f>
        <v>#REF!</v>
      </c>
      <c r="AE306" s="38">
        <v>166</v>
      </c>
      <c r="AF306" s="38">
        <f t="shared" si="85"/>
        <v>153</v>
      </c>
    </row>
    <row r="307" spans="1:32" ht="45">
      <c r="A307" s="21" t="s">
        <v>911</v>
      </c>
      <c r="B307" s="20">
        <v>89798</v>
      </c>
      <c r="C307" s="19" t="s">
        <v>1629</v>
      </c>
      <c r="D307" s="21" t="s">
        <v>12</v>
      </c>
      <c r="E307" s="21" t="s">
        <v>52</v>
      </c>
      <c r="F307" s="22">
        <v>166</v>
      </c>
      <c r="G307" s="22">
        <f t="shared" si="94"/>
        <v>8.84</v>
      </c>
      <c r="H307" s="22">
        <f t="shared" si="98"/>
        <v>11.21</v>
      </c>
      <c r="I307" s="147">
        <f t="shared" si="99"/>
        <v>1860.86</v>
      </c>
      <c r="J307" s="148"/>
      <c r="K307" s="148"/>
      <c r="L307" s="148"/>
      <c r="M307" s="148">
        <v>9.85</v>
      </c>
      <c r="N307" s="148">
        <v>12.49</v>
      </c>
      <c r="O307" s="148">
        <v>2073.34</v>
      </c>
      <c r="P307" s="494"/>
      <c r="Q307" s="147">
        <f t="shared" si="88"/>
        <v>0</v>
      </c>
      <c r="R307" s="148"/>
      <c r="S307" s="148">
        <f t="shared" si="89"/>
        <v>0</v>
      </c>
      <c r="T307" s="148">
        <f t="shared" si="93"/>
        <v>166</v>
      </c>
      <c r="U307" s="148">
        <f t="shared" si="92"/>
        <v>2073.34</v>
      </c>
      <c r="V307" s="379"/>
      <c r="W307" s="379"/>
      <c r="X307" s="58" t="e">
        <f>IF(B307&lt;&gt;0,VLOOKUP(B307,#REF!,4,FALSE),"")</f>
        <v>#REF!</v>
      </c>
      <c r="Y307" s="334" t="s">
        <v>1908</v>
      </c>
      <c r="Z307" s="58">
        <f t="shared" si="95"/>
        <v>-1.5600000000000005</v>
      </c>
      <c r="AA307" s="58">
        <f t="shared" si="96"/>
        <v>1467.44</v>
      </c>
      <c r="AB307" s="58"/>
      <c r="AC307" s="58">
        <f t="shared" si="97"/>
        <v>1860.8600000000001</v>
      </c>
      <c r="AD307" s="58" t="e">
        <f>IF(B307&lt;&gt;0,VLOOKUP(B307,#REF!,2,FALSE),"")</f>
        <v>#REF!</v>
      </c>
      <c r="AE307" s="2">
        <v>27</v>
      </c>
      <c r="AF307" s="55">
        <f t="shared" si="85"/>
        <v>-139</v>
      </c>
    </row>
    <row r="308" spans="1:32" s="23" customFormat="1" ht="45">
      <c r="A308" s="21" t="s">
        <v>912</v>
      </c>
      <c r="B308" s="20">
        <v>89799</v>
      </c>
      <c r="C308" s="19" t="s">
        <v>1630</v>
      </c>
      <c r="D308" s="21" t="s">
        <v>12</v>
      </c>
      <c r="E308" s="21" t="s">
        <v>52</v>
      </c>
      <c r="F308" s="22">
        <v>27</v>
      </c>
      <c r="G308" s="22">
        <f t="shared" si="94"/>
        <v>14.220500000000001</v>
      </c>
      <c r="H308" s="22">
        <f t="shared" si="98"/>
        <v>18.03</v>
      </c>
      <c r="I308" s="147">
        <f t="shared" si="99"/>
        <v>486.81</v>
      </c>
      <c r="J308" s="148"/>
      <c r="K308" s="148"/>
      <c r="L308" s="148"/>
      <c r="M308" s="148">
        <v>15.84</v>
      </c>
      <c r="N308" s="148">
        <v>20.09</v>
      </c>
      <c r="O308" s="148">
        <v>542.42999999999995</v>
      </c>
      <c r="P308" s="494"/>
      <c r="Q308" s="147">
        <f t="shared" si="88"/>
        <v>0</v>
      </c>
      <c r="R308" s="148"/>
      <c r="S308" s="148">
        <f t="shared" si="89"/>
        <v>0</v>
      </c>
      <c r="T308" s="148">
        <f t="shared" si="93"/>
        <v>27</v>
      </c>
      <c r="U308" s="148">
        <f t="shared" si="92"/>
        <v>542.42999999999995</v>
      </c>
      <c r="V308" s="379"/>
      <c r="W308" s="379"/>
      <c r="X308" s="58" t="e">
        <f>IF(B308&lt;&gt;0,VLOOKUP(B308,#REF!,4,FALSE),"")</f>
        <v>#REF!</v>
      </c>
      <c r="Y308" s="334" t="s">
        <v>3270</v>
      </c>
      <c r="Z308" s="58">
        <f t="shared" si="95"/>
        <v>-2.5094999999999992</v>
      </c>
      <c r="AA308" s="58">
        <f t="shared" si="96"/>
        <v>383.95350000000002</v>
      </c>
      <c r="AB308" s="58"/>
      <c r="AC308" s="58">
        <f t="shared" si="97"/>
        <v>486.81000000000006</v>
      </c>
      <c r="AD308" s="58" t="e">
        <f>IF(B308&lt;&gt;0,VLOOKUP(B308,#REF!,2,FALSE),"")</f>
        <v>#REF!</v>
      </c>
      <c r="AE308" s="23">
        <v>480</v>
      </c>
      <c r="AF308" s="55">
        <f t="shared" si="85"/>
        <v>453</v>
      </c>
    </row>
    <row r="309" spans="1:32" s="38" customFormat="1" ht="54" customHeight="1">
      <c r="A309" s="447" t="s">
        <v>913</v>
      </c>
      <c r="B309" s="448">
        <v>89714</v>
      </c>
      <c r="C309" s="449" t="s">
        <v>1631</v>
      </c>
      <c r="D309" s="447" t="s">
        <v>12</v>
      </c>
      <c r="E309" s="447" t="s">
        <v>52</v>
      </c>
      <c r="F309" s="450">
        <v>480</v>
      </c>
      <c r="G309" s="450">
        <f t="shared" si="94"/>
        <v>36.21</v>
      </c>
      <c r="H309" s="450">
        <f t="shared" si="98"/>
        <v>45.92</v>
      </c>
      <c r="I309" s="451">
        <f t="shared" si="99"/>
        <v>22041.599999999999</v>
      </c>
      <c r="J309" s="452"/>
      <c r="K309" s="452"/>
      <c r="L309" s="452"/>
      <c r="M309" s="452">
        <v>40.340000000000003</v>
      </c>
      <c r="N309" s="452">
        <v>51.16</v>
      </c>
      <c r="O309" s="452">
        <v>24556.799999999999</v>
      </c>
      <c r="P309" s="493">
        <v>165</v>
      </c>
      <c r="Q309" s="451">
        <f t="shared" si="88"/>
        <v>8441.4</v>
      </c>
      <c r="R309" s="452"/>
      <c r="S309" s="452">
        <f t="shared" si="89"/>
        <v>0</v>
      </c>
      <c r="T309" s="452">
        <f t="shared" si="93"/>
        <v>645</v>
      </c>
      <c r="U309" s="452">
        <f t="shared" si="92"/>
        <v>32998.199999999997</v>
      </c>
      <c r="V309" s="453"/>
      <c r="W309" s="453"/>
      <c r="X309" s="39" t="e">
        <f>IF(B309&lt;&gt;0,VLOOKUP(B309,#REF!,4,FALSE),"")</f>
        <v>#REF!</v>
      </c>
      <c r="Y309" s="336" t="s">
        <v>3036</v>
      </c>
      <c r="Z309" s="39">
        <f t="shared" si="95"/>
        <v>-6.3900000000000006</v>
      </c>
      <c r="AA309" s="39">
        <f t="shared" si="96"/>
        <v>17380.8</v>
      </c>
      <c r="AB309" s="39"/>
      <c r="AC309" s="39">
        <f t="shared" si="97"/>
        <v>22041.600000000002</v>
      </c>
      <c r="AD309" s="39" t="e">
        <f>IF(B309&lt;&gt;0,VLOOKUP(B309,#REF!,2,FALSE),"")</f>
        <v>#REF!</v>
      </c>
      <c r="AE309" s="38">
        <v>101</v>
      </c>
      <c r="AF309" s="38">
        <f t="shared" si="85"/>
        <v>-379</v>
      </c>
    </row>
    <row r="310" spans="1:32" s="23" customFormat="1" ht="45">
      <c r="A310" s="21" t="s">
        <v>914</v>
      </c>
      <c r="B310" s="20">
        <v>89849</v>
      </c>
      <c r="C310" s="19" t="s">
        <v>1632</v>
      </c>
      <c r="D310" s="21" t="s">
        <v>12</v>
      </c>
      <c r="E310" s="21" t="s">
        <v>52</v>
      </c>
      <c r="F310" s="22">
        <v>101</v>
      </c>
      <c r="G310" s="22">
        <f t="shared" si="94"/>
        <v>41.794499999999999</v>
      </c>
      <c r="H310" s="22">
        <f t="shared" si="98"/>
        <v>53</v>
      </c>
      <c r="I310" s="147">
        <f t="shared" si="99"/>
        <v>5353</v>
      </c>
      <c r="J310" s="148"/>
      <c r="K310" s="148"/>
      <c r="L310" s="148"/>
      <c r="M310" s="148">
        <v>46.56</v>
      </c>
      <c r="N310" s="148">
        <v>59.04</v>
      </c>
      <c r="O310" s="148">
        <v>5963.04</v>
      </c>
      <c r="P310" s="494"/>
      <c r="Q310" s="147">
        <f t="shared" si="88"/>
        <v>0</v>
      </c>
      <c r="R310" s="148"/>
      <c r="S310" s="148">
        <f t="shared" si="89"/>
        <v>0</v>
      </c>
      <c r="T310" s="148">
        <f t="shared" si="93"/>
        <v>101</v>
      </c>
      <c r="U310" s="148">
        <f t="shared" si="92"/>
        <v>5963.04</v>
      </c>
      <c r="V310" s="379"/>
      <c r="W310" s="379"/>
      <c r="X310" s="58" t="e">
        <f>IF(B310&lt;&gt;0,VLOOKUP(B310,#REF!,4,FALSE),"")</f>
        <v>#REF!</v>
      </c>
      <c r="Y310" s="334" t="s">
        <v>3271</v>
      </c>
      <c r="Z310" s="58">
        <f t="shared" si="95"/>
        <v>-7.3755000000000024</v>
      </c>
      <c r="AA310" s="58">
        <f t="shared" si="96"/>
        <v>4221.2444999999998</v>
      </c>
      <c r="AB310" s="58"/>
      <c r="AC310" s="58">
        <f t="shared" si="97"/>
        <v>5353</v>
      </c>
      <c r="AD310" s="58" t="e">
        <f>IF(B310&lt;&gt;0,VLOOKUP(B310,#REF!,2,FALSE),"")</f>
        <v>#REF!</v>
      </c>
      <c r="AE310" s="23">
        <v>96</v>
      </c>
      <c r="AF310" s="55">
        <f t="shared" si="85"/>
        <v>-5</v>
      </c>
    </row>
    <row r="311" spans="1:32" s="23" customFormat="1" ht="60">
      <c r="A311" s="21" t="s">
        <v>915</v>
      </c>
      <c r="B311" s="20">
        <v>89731</v>
      </c>
      <c r="C311" s="19" t="s">
        <v>1633</v>
      </c>
      <c r="D311" s="21" t="s">
        <v>12</v>
      </c>
      <c r="E311" s="21" t="s">
        <v>17</v>
      </c>
      <c r="F311" s="22">
        <v>96</v>
      </c>
      <c r="G311" s="22">
        <f t="shared" si="94"/>
        <v>7.3525</v>
      </c>
      <c r="H311" s="22">
        <f t="shared" si="98"/>
        <v>9.32</v>
      </c>
      <c r="I311" s="147">
        <f t="shared" si="99"/>
        <v>894.72</v>
      </c>
      <c r="J311" s="148"/>
      <c r="K311" s="148"/>
      <c r="L311" s="148"/>
      <c r="M311" s="148">
        <v>8.19</v>
      </c>
      <c r="N311" s="148">
        <v>10.39</v>
      </c>
      <c r="O311" s="148">
        <v>997.44</v>
      </c>
      <c r="P311" s="494"/>
      <c r="Q311" s="147">
        <f t="shared" si="88"/>
        <v>0</v>
      </c>
      <c r="R311" s="148"/>
      <c r="S311" s="148">
        <f t="shared" si="89"/>
        <v>0</v>
      </c>
      <c r="T311" s="148">
        <f t="shared" si="93"/>
        <v>96</v>
      </c>
      <c r="U311" s="148">
        <f t="shared" si="92"/>
        <v>997.44</v>
      </c>
      <c r="V311" s="379"/>
      <c r="W311" s="379"/>
      <c r="X311" s="58" t="e">
        <f>IF(B311&lt;&gt;0,VLOOKUP(B311,#REF!,4,FALSE),"")</f>
        <v>#REF!</v>
      </c>
      <c r="Y311" s="334" t="s">
        <v>3039</v>
      </c>
      <c r="Z311" s="58">
        <f t="shared" si="95"/>
        <v>-1.2975000000000003</v>
      </c>
      <c r="AA311" s="58">
        <f t="shared" si="96"/>
        <v>705.84</v>
      </c>
      <c r="AB311" s="58"/>
      <c r="AC311" s="58">
        <f t="shared" si="97"/>
        <v>894.72</v>
      </c>
      <c r="AD311" s="58" t="e">
        <f>IF(B311&lt;&gt;0,VLOOKUP(B311,#REF!,2,FALSE),"")</f>
        <v>#REF!</v>
      </c>
      <c r="AE311" s="23">
        <v>134</v>
      </c>
      <c r="AF311" s="55">
        <f t="shared" si="85"/>
        <v>38</v>
      </c>
    </row>
    <row r="312" spans="1:32" s="23" customFormat="1" ht="60">
      <c r="A312" s="21" t="s">
        <v>916</v>
      </c>
      <c r="B312" s="20">
        <v>89724</v>
      </c>
      <c r="C312" s="19" t="s">
        <v>1634</v>
      </c>
      <c r="D312" s="21" t="s">
        <v>12</v>
      </c>
      <c r="E312" s="21" t="s">
        <v>17</v>
      </c>
      <c r="F312" s="22">
        <v>134</v>
      </c>
      <c r="G312" s="22">
        <f t="shared" si="94"/>
        <v>6.6724999999999994</v>
      </c>
      <c r="H312" s="22">
        <f t="shared" si="98"/>
        <v>8.4600000000000009</v>
      </c>
      <c r="I312" s="147">
        <f t="shared" si="99"/>
        <v>1133.6400000000001</v>
      </c>
      <c r="J312" s="148"/>
      <c r="K312" s="148"/>
      <c r="L312" s="148"/>
      <c r="M312" s="148">
        <v>7.43</v>
      </c>
      <c r="N312" s="148">
        <v>9.42</v>
      </c>
      <c r="O312" s="148">
        <v>1262.28</v>
      </c>
      <c r="P312" s="494"/>
      <c r="Q312" s="147">
        <f t="shared" si="88"/>
        <v>0</v>
      </c>
      <c r="R312" s="148"/>
      <c r="S312" s="148">
        <f t="shared" si="89"/>
        <v>0</v>
      </c>
      <c r="T312" s="148">
        <f t="shared" si="93"/>
        <v>134</v>
      </c>
      <c r="U312" s="148">
        <f t="shared" si="92"/>
        <v>1262.28</v>
      </c>
      <c r="V312" s="379"/>
      <c r="W312" s="379"/>
      <c r="X312" s="58" t="e">
        <f>IF(B312&lt;&gt;0,VLOOKUP(B312,#REF!,4,FALSE),"")</f>
        <v>#REF!</v>
      </c>
      <c r="Y312" s="334" t="s">
        <v>2648</v>
      </c>
      <c r="Z312" s="58">
        <f t="shared" si="95"/>
        <v>-1.1775000000000002</v>
      </c>
      <c r="AA312" s="58">
        <f t="shared" si="96"/>
        <v>894.1149999999999</v>
      </c>
      <c r="AB312" s="58"/>
      <c r="AC312" s="58">
        <f t="shared" si="97"/>
        <v>1133.6400000000001</v>
      </c>
      <c r="AD312" s="58" t="e">
        <f>IF(B312&lt;&gt;0,VLOOKUP(B312,#REF!,2,FALSE),"")</f>
        <v>#REF!</v>
      </c>
      <c r="AE312" s="23">
        <v>4</v>
      </c>
      <c r="AF312" s="55">
        <f t="shared" si="85"/>
        <v>-130</v>
      </c>
    </row>
    <row r="313" spans="1:32" s="23" customFormat="1" ht="60">
      <c r="A313" s="21" t="s">
        <v>917</v>
      </c>
      <c r="B313" s="20">
        <v>89805</v>
      </c>
      <c r="C313" s="19" t="s">
        <v>1635</v>
      </c>
      <c r="D313" s="21" t="s">
        <v>12</v>
      </c>
      <c r="E313" s="21" t="s">
        <v>17</v>
      </c>
      <c r="F313" s="22">
        <v>4</v>
      </c>
      <c r="G313" s="22">
        <f t="shared" si="94"/>
        <v>9.9705000000000013</v>
      </c>
      <c r="H313" s="22">
        <f t="shared" si="98"/>
        <v>12.64</v>
      </c>
      <c r="I313" s="147">
        <f t="shared" si="99"/>
        <v>50.56</v>
      </c>
      <c r="J313" s="148"/>
      <c r="K313" s="148"/>
      <c r="L313" s="148"/>
      <c r="M313" s="148">
        <v>11.11</v>
      </c>
      <c r="N313" s="148">
        <v>14.09</v>
      </c>
      <c r="O313" s="148">
        <v>56.36</v>
      </c>
      <c r="P313" s="494"/>
      <c r="Q313" s="147">
        <f t="shared" si="88"/>
        <v>0</v>
      </c>
      <c r="R313" s="148"/>
      <c r="S313" s="148">
        <f t="shared" si="89"/>
        <v>0</v>
      </c>
      <c r="T313" s="148">
        <f t="shared" si="93"/>
        <v>4</v>
      </c>
      <c r="U313" s="148">
        <f t="shared" si="92"/>
        <v>56.36</v>
      </c>
      <c r="V313" s="379"/>
      <c r="W313" s="379"/>
      <c r="X313" s="58" t="e">
        <f>IF(B313&lt;&gt;0,VLOOKUP(B313,#REF!,4,FALSE),"")</f>
        <v>#REF!</v>
      </c>
      <c r="Y313" s="334" t="s">
        <v>3103</v>
      </c>
      <c r="Z313" s="58">
        <f t="shared" si="95"/>
        <v>-1.7594999999999992</v>
      </c>
      <c r="AA313" s="58">
        <f t="shared" si="96"/>
        <v>39.882000000000005</v>
      </c>
      <c r="AB313" s="58"/>
      <c r="AC313" s="58">
        <f t="shared" si="97"/>
        <v>50.56</v>
      </c>
      <c r="AD313" s="58" t="e">
        <f>IF(B313&lt;&gt;0,VLOOKUP(B313,#REF!,2,FALSE),"")</f>
        <v>#REF!</v>
      </c>
      <c r="AE313" s="23">
        <v>42</v>
      </c>
      <c r="AF313" s="55">
        <f t="shared" si="85"/>
        <v>38</v>
      </c>
    </row>
    <row r="314" spans="1:32" s="38" customFormat="1" ht="67.5" customHeight="1">
      <c r="A314" s="21" t="s">
        <v>918</v>
      </c>
      <c r="B314" s="20">
        <v>89744</v>
      </c>
      <c r="C314" s="19" t="s">
        <v>1636</v>
      </c>
      <c r="D314" s="21" t="s">
        <v>12</v>
      </c>
      <c r="E314" s="21" t="s">
        <v>17</v>
      </c>
      <c r="F314" s="22">
        <v>42</v>
      </c>
      <c r="G314" s="22">
        <f t="shared" si="94"/>
        <v>16.677</v>
      </c>
      <c r="H314" s="22">
        <f t="shared" si="98"/>
        <v>21.15</v>
      </c>
      <c r="I314" s="147">
        <f t="shared" si="99"/>
        <v>888.3</v>
      </c>
      <c r="J314" s="148"/>
      <c r="K314" s="148"/>
      <c r="L314" s="148"/>
      <c r="M314" s="148">
        <v>18.579999999999998</v>
      </c>
      <c r="N314" s="148">
        <v>23.56</v>
      </c>
      <c r="O314" s="148">
        <v>989.52</v>
      </c>
      <c r="P314" s="494"/>
      <c r="Q314" s="147">
        <f t="shared" si="88"/>
        <v>0</v>
      </c>
      <c r="R314" s="148"/>
      <c r="S314" s="148">
        <f t="shared" si="89"/>
        <v>0</v>
      </c>
      <c r="T314" s="148">
        <f t="shared" si="93"/>
        <v>42</v>
      </c>
      <c r="U314" s="148">
        <f t="shared" si="92"/>
        <v>989.52</v>
      </c>
      <c r="V314" s="379"/>
      <c r="W314" s="379"/>
      <c r="X314" s="58" t="e">
        <f>IF(B314&lt;&gt;0,VLOOKUP(B314,#REF!,4,FALSE),"")</f>
        <v>#REF!</v>
      </c>
      <c r="Y314" s="334" t="s">
        <v>3129</v>
      </c>
      <c r="Z314" s="58">
        <f t="shared" si="95"/>
        <v>-2.9430000000000014</v>
      </c>
      <c r="AA314" s="58">
        <f t="shared" si="96"/>
        <v>700.43399999999997</v>
      </c>
      <c r="AB314" s="58"/>
      <c r="AC314" s="58">
        <f t="shared" si="97"/>
        <v>888.3</v>
      </c>
      <c r="AD314" s="58" t="e">
        <f>IF(B314&lt;&gt;0,VLOOKUP(B314,#REF!,2,FALSE),"")</f>
        <v>#REF!</v>
      </c>
      <c r="AE314" s="38">
        <v>18</v>
      </c>
      <c r="AF314" s="55">
        <f t="shared" si="85"/>
        <v>-24</v>
      </c>
    </row>
    <row r="315" spans="1:32" ht="60">
      <c r="A315" s="21" t="s">
        <v>919</v>
      </c>
      <c r="B315" s="20">
        <v>89854</v>
      </c>
      <c r="C315" s="19" t="s">
        <v>1637</v>
      </c>
      <c r="D315" s="21" t="s">
        <v>12</v>
      </c>
      <c r="E315" s="21" t="s">
        <v>17</v>
      </c>
      <c r="F315" s="22">
        <v>18</v>
      </c>
      <c r="G315" s="22">
        <f t="shared" si="94"/>
        <v>59.126000000000005</v>
      </c>
      <c r="H315" s="22">
        <f t="shared" si="98"/>
        <v>74.98</v>
      </c>
      <c r="I315" s="147">
        <f t="shared" si="99"/>
        <v>1349.64</v>
      </c>
      <c r="J315" s="148"/>
      <c r="K315" s="148"/>
      <c r="L315" s="148"/>
      <c r="M315" s="148">
        <v>65.87</v>
      </c>
      <c r="N315" s="148">
        <v>83.53</v>
      </c>
      <c r="O315" s="148">
        <v>1503.54</v>
      </c>
      <c r="P315" s="494"/>
      <c r="Q315" s="147">
        <f t="shared" si="88"/>
        <v>0</v>
      </c>
      <c r="R315" s="148"/>
      <c r="S315" s="148">
        <f t="shared" si="89"/>
        <v>0</v>
      </c>
      <c r="T315" s="148">
        <f t="shared" si="93"/>
        <v>18</v>
      </c>
      <c r="U315" s="148">
        <f t="shared" si="92"/>
        <v>1503.54</v>
      </c>
      <c r="V315" s="379"/>
      <c r="W315" s="379"/>
      <c r="X315" s="58" t="e">
        <f>IF(B315&lt;&gt;0,VLOOKUP(B315,#REF!,4,FALSE),"")</f>
        <v>#REF!</v>
      </c>
      <c r="Y315" s="334" t="s">
        <v>3185</v>
      </c>
      <c r="Z315" s="58">
        <f t="shared" si="95"/>
        <v>-10.433999999999997</v>
      </c>
      <c r="AA315" s="58">
        <f t="shared" si="96"/>
        <v>1064.268</v>
      </c>
      <c r="AB315" s="58"/>
      <c r="AC315" s="58">
        <f t="shared" si="97"/>
        <v>1349.64</v>
      </c>
      <c r="AD315" s="58" t="e">
        <f>IF(B315&lt;&gt;0,VLOOKUP(B315,#REF!,2,FALSE),"")</f>
        <v>#REF!</v>
      </c>
      <c r="AE315" s="2">
        <v>13</v>
      </c>
      <c r="AF315" s="55">
        <f t="shared" si="85"/>
        <v>-5</v>
      </c>
    </row>
    <row r="316" spans="1:32" ht="60">
      <c r="A316" s="21" t="s">
        <v>920</v>
      </c>
      <c r="B316" s="20">
        <v>89855</v>
      </c>
      <c r="C316" s="19" t="s">
        <v>1638</v>
      </c>
      <c r="D316" s="21" t="s">
        <v>12</v>
      </c>
      <c r="E316" s="21" t="s">
        <v>17</v>
      </c>
      <c r="F316" s="22">
        <v>13</v>
      </c>
      <c r="G316" s="22">
        <f t="shared" si="94"/>
        <v>62.815000000000005</v>
      </c>
      <c r="H316" s="22">
        <f t="shared" si="98"/>
        <v>79.66</v>
      </c>
      <c r="I316" s="147">
        <f t="shared" si="99"/>
        <v>1035.58</v>
      </c>
      <c r="J316" s="148"/>
      <c r="K316" s="148"/>
      <c r="L316" s="148"/>
      <c r="M316" s="148">
        <v>69.98</v>
      </c>
      <c r="N316" s="148">
        <v>88.74</v>
      </c>
      <c r="O316" s="148">
        <v>1153.6199999999999</v>
      </c>
      <c r="P316" s="494"/>
      <c r="Q316" s="147">
        <f t="shared" si="88"/>
        <v>0</v>
      </c>
      <c r="R316" s="148"/>
      <c r="S316" s="148">
        <f t="shared" si="89"/>
        <v>0</v>
      </c>
      <c r="T316" s="148">
        <f t="shared" si="93"/>
        <v>13</v>
      </c>
      <c r="U316" s="148">
        <f t="shared" si="92"/>
        <v>1153.6199999999999</v>
      </c>
      <c r="V316" s="379"/>
      <c r="W316" s="379"/>
      <c r="X316" s="58" t="e">
        <f>IF(B316&lt;&gt;0,VLOOKUP(B316,#REF!,4,FALSE),"")</f>
        <v>#REF!</v>
      </c>
      <c r="Y316" s="334" t="s">
        <v>3286</v>
      </c>
      <c r="Z316" s="58">
        <f t="shared" si="95"/>
        <v>-11.085000000000001</v>
      </c>
      <c r="AA316" s="58">
        <f t="shared" si="96"/>
        <v>816.59500000000003</v>
      </c>
      <c r="AB316" s="58"/>
      <c r="AC316" s="58">
        <f t="shared" si="97"/>
        <v>1035.58</v>
      </c>
      <c r="AD316" s="58" t="e">
        <f>IF(B316&lt;&gt;0,VLOOKUP(B316,#REF!,2,FALSE),"")</f>
        <v>#REF!</v>
      </c>
      <c r="AE316" s="2">
        <v>31</v>
      </c>
      <c r="AF316" s="55">
        <f t="shared" si="85"/>
        <v>18</v>
      </c>
    </row>
    <row r="317" spans="1:32" ht="60">
      <c r="A317" s="21" t="s">
        <v>921</v>
      </c>
      <c r="B317" s="20">
        <v>89746</v>
      </c>
      <c r="C317" s="19" t="s">
        <v>1639</v>
      </c>
      <c r="D317" s="21" t="s">
        <v>12</v>
      </c>
      <c r="E317" s="21" t="s">
        <v>17</v>
      </c>
      <c r="F317" s="22">
        <v>31</v>
      </c>
      <c r="G317" s="22">
        <f t="shared" si="94"/>
        <v>16.634499999999999</v>
      </c>
      <c r="H317" s="22">
        <f t="shared" si="98"/>
        <v>21.09</v>
      </c>
      <c r="I317" s="147">
        <f t="shared" si="99"/>
        <v>653.79</v>
      </c>
      <c r="J317" s="148"/>
      <c r="K317" s="148"/>
      <c r="L317" s="148"/>
      <c r="M317" s="148">
        <v>18.53</v>
      </c>
      <c r="N317" s="148">
        <v>23.5</v>
      </c>
      <c r="O317" s="148">
        <v>728.5</v>
      </c>
      <c r="P317" s="494"/>
      <c r="Q317" s="147">
        <f t="shared" si="88"/>
        <v>0</v>
      </c>
      <c r="R317" s="148"/>
      <c r="S317" s="148">
        <f t="shared" si="89"/>
        <v>0</v>
      </c>
      <c r="T317" s="148">
        <f t="shared" si="93"/>
        <v>31</v>
      </c>
      <c r="U317" s="148">
        <f t="shared" si="92"/>
        <v>728.5</v>
      </c>
      <c r="V317" s="379"/>
      <c r="W317" s="379"/>
      <c r="X317" s="58" t="e">
        <f>IF(B317&lt;&gt;0,VLOOKUP(B317,#REF!,4,FALSE),"")</f>
        <v>#REF!</v>
      </c>
      <c r="Y317" s="334" t="s">
        <v>3181</v>
      </c>
      <c r="Z317" s="58">
        <f t="shared" si="95"/>
        <v>-2.9355000000000011</v>
      </c>
      <c r="AA317" s="58">
        <f t="shared" si="96"/>
        <v>515.66949999999997</v>
      </c>
      <c r="AB317" s="58"/>
      <c r="AC317" s="58">
        <f t="shared" si="97"/>
        <v>653.79</v>
      </c>
      <c r="AD317" s="58" t="e">
        <f>IF(B317&lt;&gt;0,VLOOKUP(B317,#REF!,2,FALSE),"")</f>
        <v>#REF!</v>
      </c>
      <c r="AE317" s="2">
        <v>7</v>
      </c>
      <c r="AF317" s="55">
        <f t="shared" si="85"/>
        <v>-24</v>
      </c>
    </row>
    <row r="318" spans="1:32" ht="60">
      <c r="A318" s="21" t="s">
        <v>922</v>
      </c>
      <c r="B318" s="20">
        <v>89739</v>
      </c>
      <c r="C318" s="19" t="s">
        <v>1640</v>
      </c>
      <c r="D318" s="21" t="s">
        <v>12</v>
      </c>
      <c r="E318" s="21" t="s">
        <v>17</v>
      </c>
      <c r="F318" s="22">
        <v>7</v>
      </c>
      <c r="G318" s="22">
        <f t="shared" si="94"/>
        <v>13.506500000000001</v>
      </c>
      <c r="H318" s="22">
        <f t="shared" si="98"/>
        <v>17.13</v>
      </c>
      <c r="I318" s="147">
        <f t="shared" si="99"/>
        <v>119.91</v>
      </c>
      <c r="J318" s="148"/>
      <c r="K318" s="148"/>
      <c r="L318" s="148"/>
      <c r="M318" s="148">
        <v>15.05</v>
      </c>
      <c r="N318" s="148">
        <v>19.079999999999998</v>
      </c>
      <c r="O318" s="148">
        <v>133.56</v>
      </c>
      <c r="P318" s="494"/>
      <c r="Q318" s="147">
        <f t="shared" si="88"/>
        <v>0</v>
      </c>
      <c r="R318" s="148"/>
      <c r="S318" s="148">
        <f t="shared" si="89"/>
        <v>0</v>
      </c>
      <c r="T318" s="148">
        <f t="shared" si="93"/>
        <v>7</v>
      </c>
      <c r="U318" s="148">
        <f t="shared" si="92"/>
        <v>133.56</v>
      </c>
      <c r="V318" s="379"/>
      <c r="W318" s="379"/>
      <c r="X318" s="58" t="e">
        <f>IF(B318&lt;&gt;0,VLOOKUP(B318,#REF!,4,FALSE),"")</f>
        <v>#REF!</v>
      </c>
      <c r="Y318" s="334" t="s">
        <v>1881</v>
      </c>
      <c r="Z318" s="58">
        <f t="shared" si="95"/>
        <v>-2.3834999999999997</v>
      </c>
      <c r="AA318" s="58">
        <f t="shared" si="96"/>
        <v>94.545500000000004</v>
      </c>
      <c r="AB318" s="58"/>
      <c r="AC318" s="58">
        <f t="shared" si="97"/>
        <v>119.91</v>
      </c>
      <c r="AD318" s="58" t="e">
        <f>IF(B318&lt;&gt;0,VLOOKUP(B318,#REF!,2,FALSE),"")</f>
        <v>#REF!</v>
      </c>
      <c r="AE318" s="2">
        <v>46</v>
      </c>
      <c r="AF318" s="55">
        <f t="shared" si="85"/>
        <v>39</v>
      </c>
    </row>
    <row r="319" spans="1:32" ht="60">
      <c r="A319" s="21" t="s">
        <v>923</v>
      </c>
      <c r="B319" s="20">
        <v>89802</v>
      </c>
      <c r="C319" s="19" t="s">
        <v>1641</v>
      </c>
      <c r="D319" s="21" t="s">
        <v>12</v>
      </c>
      <c r="E319" s="21" t="s">
        <v>17</v>
      </c>
      <c r="F319" s="22">
        <v>46</v>
      </c>
      <c r="G319" s="22">
        <f t="shared" si="94"/>
        <v>5.4654999999999996</v>
      </c>
      <c r="H319" s="22">
        <f t="shared" si="98"/>
        <v>6.93</v>
      </c>
      <c r="I319" s="147">
        <f t="shared" si="99"/>
        <v>318.77999999999997</v>
      </c>
      <c r="J319" s="148"/>
      <c r="K319" s="148"/>
      <c r="L319" s="148"/>
      <c r="M319" s="148">
        <v>6.09</v>
      </c>
      <c r="N319" s="148">
        <v>7.72</v>
      </c>
      <c r="O319" s="148">
        <v>355.12</v>
      </c>
      <c r="P319" s="494"/>
      <c r="Q319" s="147">
        <f t="shared" si="88"/>
        <v>0</v>
      </c>
      <c r="R319" s="148"/>
      <c r="S319" s="148">
        <f t="shared" si="89"/>
        <v>0</v>
      </c>
      <c r="T319" s="148">
        <f t="shared" si="93"/>
        <v>46</v>
      </c>
      <c r="U319" s="148">
        <f t="shared" si="92"/>
        <v>355.12</v>
      </c>
      <c r="V319" s="379"/>
      <c r="W319" s="379"/>
      <c r="X319" s="58" t="e">
        <f>IF(B319&lt;&gt;0,VLOOKUP(B319,#REF!,4,FALSE),"")</f>
        <v>#REF!</v>
      </c>
      <c r="Y319" s="334" t="s">
        <v>1835</v>
      </c>
      <c r="Z319" s="58">
        <f t="shared" si="95"/>
        <v>-0.96450000000000014</v>
      </c>
      <c r="AA319" s="58">
        <f t="shared" si="96"/>
        <v>251.41299999999998</v>
      </c>
      <c r="AB319" s="58"/>
      <c r="AC319" s="58">
        <f t="shared" si="97"/>
        <v>318.77999999999997</v>
      </c>
      <c r="AD319" s="58" t="e">
        <f>IF(B319&lt;&gt;0,VLOOKUP(B319,#REF!,2,FALSE),"")</f>
        <v>#REF!</v>
      </c>
      <c r="AE319" s="2">
        <v>22</v>
      </c>
      <c r="AF319" s="55">
        <f t="shared" si="85"/>
        <v>-24</v>
      </c>
    </row>
    <row r="320" spans="1:32" ht="60">
      <c r="A320" s="21" t="s">
        <v>924</v>
      </c>
      <c r="B320" s="20">
        <v>89726</v>
      </c>
      <c r="C320" s="19" t="s">
        <v>1642</v>
      </c>
      <c r="D320" s="21" t="s">
        <v>12</v>
      </c>
      <c r="E320" s="21" t="s">
        <v>17</v>
      </c>
      <c r="F320" s="22">
        <v>22</v>
      </c>
      <c r="G320" s="22">
        <f t="shared" si="94"/>
        <v>4.7089999999999996</v>
      </c>
      <c r="H320" s="22">
        <f t="shared" si="98"/>
        <v>5.97</v>
      </c>
      <c r="I320" s="147">
        <f t="shared" si="99"/>
        <v>131.34</v>
      </c>
      <c r="J320" s="148"/>
      <c r="K320" s="148"/>
      <c r="L320" s="148"/>
      <c r="M320" s="148">
        <v>5.25</v>
      </c>
      <c r="N320" s="148">
        <v>6.66</v>
      </c>
      <c r="O320" s="148">
        <v>146.52000000000001</v>
      </c>
      <c r="P320" s="494"/>
      <c r="Q320" s="147">
        <f t="shared" si="88"/>
        <v>0</v>
      </c>
      <c r="R320" s="148"/>
      <c r="S320" s="148">
        <f t="shared" si="89"/>
        <v>0</v>
      </c>
      <c r="T320" s="148">
        <f t="shared" si="93"/>
        <v>22</v>
      </c>
      <c r="U320" s="148">
        <f t="shared" si="92"/>
        <v>146.52000000000001</v>
      </c>
      <c r="V320" s="379"/>
      <c r="W320" s="379"/>
      <c r="X320" s="58" t="e">
        <f>IF(B320&lt;&gt;0,VLOOKUP(B320,#REF!,4,FALSE),"")</f>
        <v>#REF!</v>
      </c>
      <c r="Y320" s="334" t="s">
        <v>1904</v>
      </c>
      <c r="Z320" s="58">
        <f t="shared" si="95"/>
        <v>-0.83100000000000041</v>
      </c>
      <c r="AA320" s="58">
        <f t="shared" si="96"/>
        <v>103.59799999999998</v>
      </c>
      <c r="AB320" s="58"/>
      <c r="AC320" s="58">
        <f t="shared" si="97"/>
        <v>131.34</v>
      </c>
      <c r="AD320" s="58" t="e">
        <f>IF(B320&lt;&gt;0,VLOOKUP(B320,#REF!,2,FALSE),"")</f>
        <v>#REF!</v>
      </c>
      <c r="AE320" s="2">
        <v>22</v>
      </c>
      <c r="AF320" s="55">
        <f t="shared" si="85"/>
        <v>0</v>
      </c>
    </row>
    <row r="321" spans="1:32" ht="30">
      <c r="A321" s="21" t="s">
        <v>925</v>
      </c>
      <c r="B321" s="20" t="s">
        <v>2209</v>
      </c>
      <c r="C321" s="19" t="s">
        <v>146</v>
      </c>
      <c r="D321" s="21" t="s">
        <v>70</v>
      </c>
      <c r="E321" s="21" t="s">
        <v>17</v>
      </c>
      <c r="F321" s="22">
        <v>22</v>
      </c>
      <c r="G321" s="22">
        <f t="shared" si="94"/>
        <v>33.855499999999999</v>
      </c>
      <c r="H321" s="22">
        <f t="shared" si="98"/>
        <v>42.93</v>
      </c>
      <c r="I321" s="147">
        <f t="shared" si="99"/>
        <v>944.46</v>
      </c>
      <c r="J321" s="148"/>
      <c r="K321" s="148"/>
      <c r="L321" s="148"/>
      <c r="M321" s="148">
        <v>37.72</v>
      </c>
      <c r="N321" s="148">
        <v>47.83</v>
      </c>
      <c r="O321" s="148">
        <v>1052.26</v>
      </c>
      <c r="P321" s="494"/>
      <c r="Q321" s="147">
        <f t="shared" si="88"/>
        <v>0</v>
      </c>
      <c r="R321" s="148"/>
      <c r="S321" s="148">
        <f t="shared" si="89"/>
        <v>0</v>
      </c>
      <c r="T321" s="148">
        <f t="shared" si="93"/>
        <v>22</v>
      </c>
      <c r="U321" s="148">
        <f t="shared" si="92"/>
        <v>1052.26</v>
      </c>
      <c r="V321" s="379"/>
      <c r="W321" s="379"/>
      <c r="X321" s="57">
        <f>'COMPOSIÇÃO DE CUSTOS'!G702</f>
        <v>33.86</v>
      </c>
      <c r="Y321" s="334">
        <v>39.83</v>
      </c>
      <c r="Z321" s="58">
        <f t="shared" si="95"/>
        <v>-5.974499999999999</v>
      </c>
      <c r="AA321" s="58">
        <f t="shared" si="96"/>
        <v>744.82100000000003</v>
      </c>
      <c r="AB321" s="58"/>
      <c r="AC321" s="58">
        <f t="shared" si="97"/>
        <v>944.46</v>
      </c>
      <c r="AD321" s="58" t="e">
        <f>IF(B321&lt;&gt;0,VLOOKUP(B321,#REF!,2,FALSE),"")</f>
        <v>#REF!</v>
      </c>
      <c r="AE321" s="2">
        <v>5</v>
      </c>
      <c r="AF321" s="55">
        <f t="shared" si="85"/>
        <v>-17</v>
      </c>
    </row>
    <row r="322" spans="1:32">
      <c r="A322" s="21" t="s">
        <v>926</v>
      </c>
      <c r="B322" s="20">
        <v>145683</v>
      </c>
      <c r="C322" s="19" t="s">
        <v>147</v>
      </c>
      <c r="D322" s="21" t="s">
        <v>1914</v>
      </c>
      <c r="E322" s="21" t="s">
        <v>17</v>
      </c>
      <c r="F322" s="22">
        <v>5</v>
      </c>
      <c r="G322" s="22">
        <f t="shared" si="94"/>
        <v>21.819500000000001</v>
      </c>
      <c r="H322" s="22">
        <f t="shared" si="98"/>
        <v>27.67</v>
      </c>
      <c r="I322" s="147">
        <f t="shared" si="99"/>
        <v>138.35</v>
      </c>
      <c r="J322" s="148"/>
      <c r="K322" s="148"/>
      <c r="L322" s="148"/>
      <c r="M322" s="148">
        <v>24.31</v>
      </c>
      <c r="N322" s="148">
        <v>30.83</v>
      </c>
      <c r="O322" s="148">
        <v>154.15</v>
      </c>
      <c r="P322" s="494"/>
      <c r="Q322" s="147">
        <f t="shared" si="88"/>
        <v>0</v>
      </c>
      <c r="R322" s="148"/>
      <c r="S322" s="148">
        <f t="shared" si="89"/>
        <v>0</v>
      </c>
      <c r="T322" s="148">
        <f t="shared" si="93"/>
        <v>5</v>
      </c>
      <c r="U322" s="148">
        <f t="shared" si="92"/>
        <v>154.15</v>
      </c>
      <c r="V322" s="379"/>
      <c r="W322" s="379"/>
      <c r="X322" s="57">
        <f>'COMPOSIÇÃO DE CUSTOS'!G711</f>
        <v>21.81</v>
      </c>
      <c r="Y322" s="334">
        <v>25.67</v>
      </c>
      <c r="Z322" s="58">
        <f t="shared" si="95"/>
        <v>-3.8505000000000003</v>
      </c>
      <c r="AA322" s="58">
        <f t="shared" si="96"/>
        <v>109.09750000000001</v>
      </c>
      <c r="AB322" s="58"/>
      <c r="AC322" s="58">
        <f t="shared" si="97"/>
        <v>138.35000000000002</v>
      </c>
      <c r="AD322" s="58" t="e">
        <f>IF(B322&lt;&gt;0,VLOOKUP(B322,#REF!,2,FALSE),"")</f>
        <v>#REF!</v>
      </c>
      <c r="AE322" s="2">
        <v>88</v>
      </c>
      <c r="AF322" s="55">
        <f t="shared" si="85"/>
        <v>83</v>
      </c>
    </row>
    <row r="323" spans="1:32" ht="60">
      <c r="A323" s="21" t="s">
        <v>927</v>
      </c>
      <c r="B323" s="20">
        <v>89784</v>
      </c>
      <c r="C323" s="19" t="s">
        <v>1643</v>
      </c>
      <c r="D323" s="21" t="s">
        <v>12</v>
      </c>
      <c r="E323" s="21" t="s">
        <v>17</v>
      </c>
      <c r="F323" s="22">
        <v>88</v>
      </c>
      <c r="G323" s="22">
        <f t="shared" si="94"/>
        <v>13.9145</v>
      </c>
      <c r="H323" s="22">
        <f t="shared" si="98"/>
        <v>17.64</v>
      </c>
      <c r="I323" s="147">
        <f t="shared" si="99"/>
        <v>1552.32</v>
      </c>
      <c r="J323" s="148"/>
      <c r="K323" s="148"/>
      <c r="L323" s="148"/>
      <c r="M323" s="148">
        <v>15.5</v>
      </c>
      <c r="N323" s="148">
        <v>19.66</v>
      </c>
      <c r="O323" s="148">
        <v>1730.08</v>
      </c>
      <c r="P323" s="494"/>
      <c r="Q323" s="147">
        <f t="shared" si="88"/>
        <v>0</v>
      </c>
      <c r="R323" s="148"/>
      <c r="S323" s="148">
        <f t="shared" si="89"/>
        <v>0</v>
      </c>
      <c r="T323" s="148">
        <f t="shared" si="93"/>
        <v>88</v>
      </c>
      <c r="U323" s="148">
        <f t="shared" si="92"/>
        <v>1730.08</v>
      </c>
      <c r="V323" s="379"/>
      <c r="W323" s="379"/>
      <c r="X323" s="58" t="e">
        <f>IF(B323&lt;&gt;0,VLOOKUP(B323,#REF!,4,FALSE),"")</f>
        <v>#REF!</v>
      </c>
      <c r="Y323" s="334" t="s">
        <v>1882</v>
      </c>
      <c r="Z323" s="58">
        <f t="shared" si="95"/>
        <v>-2.4555000000000007</v>
      </c>
      <c r="AA323" s="58">
        <f t="shared" si="96"/>
        <v>1224.4760000000001</v>
      </c>
      <c r="AB323" s="58"/>
      <c r="AC323" s="58">
        <f t="shared" si="97"/>
        <v>1552.3200000000002</v>
      </c>
      <c r="AD323" s="58" t="e">
        <f>IF(B323&lt;&gt;0,VLOOKUP(B323,#REF!,2,FALSE),"")</f>
        <v>#REF!</v>
      </c>
      <c r="AE323" s="2">
        <v>9</v>
      </c>
      <c r="AF323" s="55">
        <f t="shared" si="85"/>
        <v>-79</v>
      </c>
    </row>
    <row r="324" spans="1:32" ht="60">
      <c r="A324" s="21" t="s">
        <v>928</v>
      </c>
      <c r="B324" s="20">
        <v>89677</v>
      </c>
      <c r="C324" s="19" t="s">
        <v>1644</v>
      </c>
      <c r="D324" s="21" t="s">
        <v>12</v>
      </c>
      <c r="E324" s="21" t="s">
        <v>17</v>
      </c>
      <c r="F324" s="22">
        <v>9</v>
      </c>
      <c r="G324" s="22">
        <f t="shared" si="94"/>
        <v>49.146999999999998</v>
      </c>
      <c r="H324" s="22">
        <f t="shared" si="98"/>
        <v>62.32</v>
      </c>
      <c r="I324" s="147">
        <f t="shared" si="99"/>
        <v>560.88</v>
      </c>
      <c r="J324" s="148"/>
      <c r="K324" s="148"/>
      <c r="L324" s="148"/>
      <c r="M324" s="148">
        <v>54.75</v>
      </c>
      <c r="N324" s="148">
        <v>69.430000000000007</v>
      </c>
      <c r="O324" s="148">
        <v>624.87</v>
      </c>
      <c r="P324" s="494"/>
      <c r="Q324" s="147">
        <f t="shared" si="88"/>
        <v>0</v>
      </c>
      <c r="R324" s="148"/>
      <c r="S324" s="148">
        <f t="shared" si="89"/>
        <v>0</v>
      </c>
      <c r="T324" s="148">
        <f t="shared" si="93"/>
        <v>9</v>
      </c>
      <c r="U324" s="148">
        <f t="shared" si="92"/>
        <v>624.87</v>
      </c>
      <c r="V324" s="379"/>
      <c r="W324" s="379"/>
      <c r="X324" s="58" t="e">
        <f>IF(B324&lt;&gt;0,VLOOKUP(B324,#REF!,4,FALSE),"")</f>
        <v>#REF!</v>
      </c>
      <c r="Y324" s="334" t="s">
        <v>3180</v>
      </c>
      <c r="Z324" s="58">
        <f t="shared" si="95"/>
        <v>-8.6730000000000018</v>
      </c>
      <c r="AA324" s="58">
        <f t="shared" si="96"/>
        <v>442.32299999999998</v>
      </c>
      <c r="AB324" s="58"/>
      <c r="AC324" s="58">
        <f t="shared" si="97"/>
        <v>560.88</v>
      </c>
      <c r="AD324" s="58" t="e">
        <f>IF(B324&lt;&gt;0,VLOOKUP(B324,#REF!,2,FALSE),"")</f>
        <v>#REF!</v>
      </c>
      <c r="AE324" s="2">
        <v>6</v>
      </c>
      <c r="AF324" s="55">
        <f t="shared" si="85"/>
        <v>-3</v>
      </c>
    </row>
    <row r="325" spans="1:32" ht="60">
      <c r="A325" s="21" t="s">
        <v>929</v>
      </c>
      <c r="B325" s="20">
        <v>89856</v>
      </c>
      <c r="C325" s="19" t="s">
        <v>1645</v>
      </c>
      <c r="D325" s="21" t="s">
        <v>12</v>
      </c>
      <c r="E325" s="21" t="s">
        <v>17</v>
      </c>
      <c r="F325" s="22">
        <v>6</v>
      </c>
      <c r="G325" s="22">
        <f t="shared" si="94"/>
        <v>12.835000000000001</v>
      </c>
      <c r="H325" s="22">
        <f t="shared" si="98"/>
        <v>16.28</v>
      </c>
      <c r="I325" s="147">
        <f t="shared" si="99"/>
        <v>97.68</v>
      </c>
      <c r="J325" s="148"/>
      <c r="K325" s="148"/>
      <c r="L325" s="148"/>
      <c r="M325" s="148">
        <v>14.3</v>
      </c>
      <c r="N325" s="148">
        <v>18.13</v>
      </c>
      <c r="O325" s="148">
        <v>108.78</v>
      </c>
      <c r="P325" s="494"/>
      <c r="Q325" s="147">
        <f t="shared" si="88"/>
        <v>0</v>
      </c>
      <c r="R325" s="148"/>
      <c r="S325" s="148">
        <f t="shared" si="89"/>
        <v>0</v>
      </c>
      <c r="T325" s="148">
        <f t="shared" si="93"/>
        <v>6</v>
      </c>
      <c r="U325" s="148">
        <f t="shared" si="92"/>
        <v>108.78</v>
      </c>
      <c r="V325" s="379"/>
      <c r="W325" s="379"/>
      <c r="X325" s="58" t="e">
        <f>IF(B325&lt;&gt;0,VLOOKUP(B325,#REF!,4,FALSE),"")</f>
        <v>#REF!</v>
      </c>
      <c r="Y325" s="334" t="s">
        <v>3236</v>
      </c>
      <c r="Z325" s="58">
        <f t="shared" si="95"/>
        <v>-2.2649999999999988</v>
      </c>
      <c r="AA325" s="58">
        <f t="shared" si="96"/>
        <v>77.010000000000005</v>
      </c>
      <c r="AB325" s="58"/>
      <c r="AC325" s="58">
        <f t="shared" si="97"/>
        <v>97.68</v>
      </c>
      <c r="AD325" s="58" t="e">
        <f>IF(B325&lt;&gt;0,VLOOKUP(B325,#REF!,2,FALSE),"")</f>
        <v>#REF!</v>
      </c>
      <c r="AE325" s="2">
        <v>3</v>
      </c>
      <c r="AF325" s="55">
        <f t="shared" ref="AF325:AF398" si="100">AE325-F325</f>
        <v>-3</v>
      </c>
    </row>
    <row r="326" spans="1:32" ht="60">
      <c r="A326" s="21" t="s">
        <v>930</v>
      </c>
      <c r="B326" s="20">
        <v>89813</v>
      </c>
      <c r="C326" s="19" t="s">
        <v>1646</v>
      </c>
      <c r="D326" s="21" t="s">
        <v>12</v>
      </c>
      <c r="E326" s="21" t="s">
        <v>17</v>
      </c>
      <c r="F326" s="22">
        <v>3</v>
      </c>
      <c r="G326" s="22">
        <f t="shared" si="94"/>
        <v>5.0065</v>
      </c>
      <c r="H326" s="22">
        <f t="shared" si="98"/>
        <v>6.35</v>
      </c>
      <c r="I326" s="147">
        <f t="shared" si="99"/>
        <v>19.05</v>
      </c>
      <c r="J326" s="148"/>
      <c r="K326" s="148"/>
      <c r="L326" s="148"/>
      <c r="M326" s="148">
        <v>5.58</v>
      </c>
      <c r="N326" s="148">
        <v>7.08</v>
      </c>
      <c r="O326" s="148">
        <v>21.24</v>
      </c>
      <c r="P326" s="494"/>
      <c r="Q326" s="147">
        <f t="shared" si="88"/>
        <v>0</v>
      </c>
      <c r="R326" s="148"/>
      <c r="S326" s="148">
        <f t="shared" si="89"/>
        <v>0</v>
      </c>
      <c r="T326" s="148">
        <f t="shared" si="93"/>
        <v>3</v>
      </c>
      <c r="U326" s="148">
        <f t="shared" si="92"/>
        <v>21.24</v>
      </c>
      <c r="V326" s="379"/>
      <c r="W326" s="379"/>
      <c r="X326" s="58" t="e">
        <f>IF(B326&lt;&gt;0,VLOOKUP(B326,#REF!,4,FALSE),"")</f>
        <v>#REF!</v>
      </c>
      <c r="Y326" s="334" t="s">
        <v>3123</v>
      </c>
      <c r="Z326" s="58">
        <f t="shared" si="95"/>
        <v>-0.88349999999999973</v>
      </c>
      <c r="AA326" s="58">
        <f t="shared" si="96"/>
        <v>15.019500000000001</v>
      </c>
      <c r="AB326" s="58"/>
      <c r="AC326" s="58">
        <f t="shared" si="97"/>
        <v>19.049999999999997</v>
      </c>
      <c r="AD326" s="58" t="e">
        <f>IF(B326&lt;&gt;0,VLOOKUP(B326,#REF!,2,FALSE),"")</f>
        <v>#REF!</v>
      </c>
      <c r="AE326" s="2">
        <v>4</v>
      </c>
      <c r="AF326" s="55">
        <f t="shared" si="100"/>
        <v>1</v>
      </c>
    </row>
    <row r="327" spans="1:32" ht="60">
      <c r="A327" s="21" t="s">
        <v>931</v>
      </c>
      <c r="B327" s="20">
        <v>89752</v>
      </c>
      <c r="C327" s="19" t="s">
        <v>1647</v>
      </c>
      <c r="D327" s="21" t="s">
        <v>12</v>
      </c>
      <c r="E327" s="21" t="s">
        <v>17</v>
      </c>
      <c r="F327" s="22">
        <v>4</v>
      </c>
      <c r="G327" s="22">
        <f t="shared" si="94"/>
        <v>4.0970000000000004</v>
      </c>
      <c r="H327" s="22">
        <f t="shared" si="98"/>
        <v>5.2</v>
      </c>
      <c r="I327" s="147">
        <f t="shared" si="99"/>
        <v>20.8</v>
      </c>
      <c r="J327" s="148"/>
      <c r="K327" s="148"/>
      <c r="L327" s="148"/>
      <c r="M327" s="148">
        <v>4.5599999999999996</v>
      </c>
      <c r="N327" s="148">
        <v>5.78</v>
      </c>
      <c r="O327" s="148">
        <v>23.12</v>
      </c>
      <c r="P327" s="494"/>
      <c r="Q327" s="147">
        <f t="shared" si="88"/>
        <v>0</v>
      </c>
      <c r="R327" s="148"/>
      <c r="S327" s="148">
        <f t="shared" si="89"/>
        <v>0</v>
      </c>
      <c r="T327" s="148">
        <f t="shared" si="93"/>
        <v>4</v>
      </c>
      <c r="U327" s="148">
        <f t="shared" si="92"/>
        <v>23.12</v>
      </c>
      <c r="V327" s="379"/>
      <c r="W327" s="379"/>
      <c r="X327" s="58" t="e">
        <f>IF(B327&lt;&gt;0,VLOOKUP(B327,#REF!,4,FALSE),"")</f>
        <v>#REF!</v>
      </c>
      <c r="Y327" s="334" t="s">
        <v>1862</v>
      </c>
      <c r="Z327" s="58">
        <f t="shared" si="95"/>
        <v>-0.72299999999999986</v>
      </c>
      <c r="AA327" s="58">
        <f t="shared" si="96"/>
        <v>16.388000000000002</v>
      </c>
      <c r="AB327" s="58"/>
      <c r="AC327" s="58">
        <f t="shared" si="97"/>
        <v>20.8</v>
      </c>
      <c r="AD327" s="58" t="e">
        <f>IF(B327&lt;&gt;0,VLOOKUP(B327,#REF!,2,FALSE),"")</f>
        <v>#REF!</v>
      </c>
      <c r="AE327" s="2">
        <v>10</v>
      </c>
      <c r="AF327" s="55">
        <f t="shared" si="100"/>
        <v>6</v>
      </c>
    </row>
    <row r="328" spans="1:32" ht="45">
      <c r="A328" s="21" t="s">
        <v>932</v>
      </c>
      <c r="B328" s="20">
        <v>89798</v>
      </c>
      <c r="C328" s="19" t="s">
        <v>1629</v>
      </c>
      <c r="D328" s="21" t="s">
        <v>12</v>
      </c>
      <c r="E328" s="21" t="s">
        <v>52</v>
      </c>
      <c r="F328" s="22">
        <v>10</v>
      </c>
      <c r="G328" s="22">
        <f t="shared" si="94"/>
        <v>8.84</v>
      </c>
      <c r="H328" s="22">
        <f t="shared" si="98"/>
        <v>11.21</v>
      </c>
      <c r="I328" s="147">
        <f t="shared" si="99"/>
        <v>112.1</v>
      </c>
      <c r="J328" s="148"/>
      <c r="K328" s="148"/>
      <c r="L328" s="148"/>
      <c r="M328" s="148">
        <v>9.85</v>
      </c>
      <c r="N328" s="148">
        <v>12.49</v>
      </c>
      <c r="O328" s="148">
        <v>124.9</v>
      </c>
      <c r="P328" s="494"/>
      <c r="Q328" s="147">
        <f t="shared" si="88"/>
        <v>0</v>
      </c>
      <c r="R328" s="148"/>
      <c r="S328" s="148">
        <f t="shared" si="89"/>
        <v>0</v>
      </c>
      <c r="T328" s="148">
        <f t="shared" si="93"/>
        <v>10</v>
      </c>
      <c r="U328" s="148">
        <f t="shared" si="92"/>
        <v>124.9</v>
      </c>
      <c r="V328" s="379"/>
      <c r="W328" s="379"/>
      <c r="X328" s="58" t="e">
        <f>IF(B328&lt;&gt;0,VLOOKUP(B328,#REF!,4,FALSE),"")</f>
        <v>#REF!</v>
      </c>
      <c r="Y328" s="334" t="s">
        <v>1908</v>
      </c>
      <c r="Z328" s="58">
        <f t="shared" si="95"/>
        <v>-1.5600000000000005</v>
      </c>
      <c r="AA328" s="58">
        <f t="shared" si="96"/>
        <v>88.4</v>
      </c>
      <c r="AB328" s="58"/>
      <c r="AC328" s="58">
        <f t="shared" si="97"/>
        <v>112.10000000000001</v>
      </c>
      <c r="AD328" s="58" t="e">
        <f>IF(B328&lt;&gt;0,VLOOKUP(B328,#REF!,2,FALSE),"")</f>
        <v>#REF!</v>
      </c>
      <c r="AE328" s="2">
        <v>4</v>
      </c>
      <c r="AF328" s="55">
        <f t="shared" si="100"/>
        <v>-6</v>
      </c>
    </row>
    <row r="329" spans="1:32" ht="60">
      <c r="A329" s="21" t="s">
        <v>933</v>
      </c>
      <c r="B329" s="20">
        <v>89782</v>
      </c>
      <c r="C329" s="19" t="s">
        <v>1648</v>
      </c>
      <c r="D329" s="21" t="s">
        <v>12</v>
      </c>
      <c r="E329" s="21" t="s">
        <v>17</v>
      </c>
      <c r="F329" s="22">
        <v>4</v>
      </c>
      <c r="G329" s="22">
        <f t="shared" si="94"/>
        <v>7.8370000000000006</v>
      </c>
      <c r="H329" s="22">
        <f t="shared" si="98"/>
        <v>9.94</v>
      </c>
      <c r="I329" s="147">
        <f t="shared" si="99"/>
        <v>39.76</v>
      </c>
      <c r="J329" s="148"/>
      <c r="K329" s="148"/>
      <c r="L329" s="148"/>
      <c r="M329" s="148">
        <v>8.73</v>
      </c>
      <c r="N329" s="148">
        <v>11.07</v>
      </c>
      <c r="O329" s="148">
        <v>44.28</v>
      </c>
      <c r="P329" s="494"/>
      <c r="Q329" s="147">
        <f t="shared" si="88"/>
        <v>0</v>
      </c>
      <c r="R329" s="148"/>
      <c r="S329" s="148">
        <f t="shared" si="89"/>
        <v>0</v>
      </c>
      <c r="T329" s="148">
        <f t="shared" si="93"/>
        <v>4</v>
      </c>
      <c r="U329" s="148">
        <f t="shared" si="92"/>
        <v>44.28</v>
      </c>
      <c r="V329" s="379"/>
      <c r="W329" s="379"/>
      <c r="X329" s="58" t="e">
        <f>IF(B329&lt;&gt;0,VLOOKUP(B329,#REF!,4,FALSE),"")</f>
        <v>#REF!</v>
      </c>
      <c r="Y329" s="334" t="s">
        <v>1884</v>
      </c>
      <c r="Z329" s="58">
        <f t="shared" si="95"/>
        <v>-1.383</v>
      </c>
      <c r="AA329" s="58">
        <f t="shared" si="96"/>
        <v>31.348000000000003</v>
      </c>
      <c r="AB329" s="58"/>
      <c r="AC329" s="58">
        <f t="shared" si="97"/>
        <v>39.76</v>
      </c>
      <c r="AD329" s="58" t="e">
        <f>IF(B329&lt;&gt;0,VLOOKUP(B329,#REF!,2,FALSE),"")</f>
        <v>#REF!</v>
      </c>
      <c r="AE329" s="2">
        <v>17</v>
      </c>
      <c r="AF329" s="55">
        <f t="shared" si="100"/>
        <v>13</v>
      </c>
    </row>
    <row r="330" spans="1:32" ht="60">
      <c r="A330" s="21" t="s">
        <v>934</v>
      </c>
      <c r="B330" s="20">
        <v>89829</v>
      </c>
      <c r="C330" s="19" t="s">
        <v>1649</v>
      </c>
      <c r="D330" s="21" t="s">
        <v>12</v>
      </c>
      <c r="E330" s="21" t="s">
        <v>17</v>
      </c>
      <c r="F330" s="22">
        <v>17</v>
      </c>
      <c r="G330" s="22">
        <f t="shared" si="94"/>
        <v>19.456500000000002</v>
      </c>
      <c r="H330" s="22">
        <f t="shared" si="98"/>
        <v>24.67</v>
      </c>
      <c r="I330" s="147">
        <f t="shared" si="99"/>
        <v>419.39</v>
      </c>
      <c r="J330" s="148"/>
      <c r="K330" s="148"/>
      <c r="L330" s="148"/>
      <c r="M330" s="148">
        <v>21.67</v>
      </c>
      <c r="N330" s="148">
        <v>27.48</v>
      </c>
      <c r="O330" s="148">
        <v>467.16</v>
      </c>
      <c r="P330" s="494"/>
      <c r="Q330" s="147">
        <f t="shared" si="88"/>
        <v>0</v>
      </c>
      <c r="R330" s="148"/>
      <c r="S330" s="148">
        <f t="shared" si="89"/>
        <v>0</v>
      </c>
      <c r="T330" s="148">
        <f t="shared" si="93"/>
        <v>17</v>
      </c>
      <c r="U330" s="148">
        <f t="shared" si="92"/>
        <v>467.16</v>
      </c>
      <c r="V330" s="379"/>
      <c r="W330" s="379"/>
      <c r="X330" s="58" t="e">
        <f>IF(B330&lt;&gt;0,VLOOKUP(B330,#REF!,4,FALSE),"")</f>
        <v>#REF!</v>
      </c>
      <c r="Y330" s="334" t="s">
        <v>3099</v>
      </c>
      <c r="Z330" s="58">
        <f t="shared" si="95"/>
        <v>-3.4334999999999987</v>
      </c>
      <c r="AA330" s="58">
        <f t="shared" si="96"/>
        <v>330.76050000000004</v>
      </c>
      <c r="AB330" s="58"/>
      <c r="AC330" s="58">
        <f t="shared" si="97"/>
        <v>419.39000000000004</v>
      </c>
      <c r="AD330" s="58" t="e">
        <f>IF(B330&lt;&gt;0,VLOOKUP(B330,#REF!,2,FALSE),"")</f>
        <v>#REF!</v>
      </c>
      <c r="AE330" s="2">
        <v>29</v>
      </c>
      <c r="AF330" s="55">
        <f t="shared" si="100"/>
        <v>12</v>
      </c>
    </row>
    <row r="331" spans="1:32" ht="60">
      <c r="A331" s="21" t="s">
        <v>935</v>
      </c>
      <c r="B331" s="20">
        <v>89833</v>
      </c>
      <c r="C331" s="19" t="s">
        <v>1650</v>
      </c>
      <c r="D331" s="21" t="s">
        <v>12</v>
      </c>
      <c r="E331" s="21" t="s">
        <v>17</v>
      </c>
      <c r="F331" s="22">
        <v>29</v>
      </c>
      <c r="G331" s="22">
        <f t="shared" si="94"/>
        <v>23.97</v>
      </c>
      <c r="H331" s="22">
        <f t="shared" si="98"/>
        <v>30.4</v>
      </c>
      <c r="I331" s="147">
        <f t="shared" si="99"/>
        <v>881.6</v>
      </c>
      <c r="J331" s="148"/>
      <c r="K331" s="148"/>
      <c r="L331" s="148"/>
      <c r="M331" s="148">
        <v>26.7</v>
      </c>
      <c r="N331" s="148">
        <v>33.86</v>
      </c>
      <c r="O331" s="148">
        <v>981.94</v>
      </c>
      <c r="P331" s="494"/>
      <c r="Q331" s="147">
        <f t="shared" si="88"/>
        <v>0</v>
      </c>
      <c r="R331" s="148"/>
      <c r="S331" s="148">
        <f t="shared" si="89"/>
        <v>0</v>
      </c>
      <c r="T331" s="148">
        <f t="shared" si="93"/>
        <v>29</v>
      </c>
      <c r="U331" s="148">
        <f t="shared" si="92"/>
        <v>981.94</v>
      </c>
      <c r="V331" s="379"/>
      <c r="W331" s="379"/>
      <c r="X331" s="58" t="e">
        <f>IF(B331&lt;&gt;0,VLOOKUP(B331,#REF!,4,FALSE),"")</f>
        <v>#REF!</v>
      </c>
      <c r="Y331" s="334" t="s">
        <v>3149</v>
      </c>
      <c r="Z331" s="58">
        <f t="shared" si="95"/>
        <v>-4.2300000000000004</v>
      </c>
      <c r="AA331" s="58">
        <f t="shared" si="96"/>
        <v>695.13</v>
      </c>
      <c r="AB331" s="58"/>
      <c r="AC331" s="58">
        <f t="shared" si="97"/>
        <v>881.59999999999991</v>
      </c>
      <c r="AD331" s="58" t="e">
        <f>IF(B331&lt;&gt;0,VLOOKUP(B331,#REF!,2,FALSE),"")</f>
        <v>#REF!</v>
      </c>
      <c r="AE331" s="2">
        <v>5</v>
      </c>
      <c r="AF331" s="55">
        <f t="shared" si="100"/>
        <v>-24</v>
      </c>
    </row>
    <row r="332" spans="1:32" s="23" customFormat="1" ht="60">
      <c r="A332" s="21" t="s">
        <v>936</v>
      </c>
      <c r="B332" s="20" t="s">
        <v>2122</v>
      </c>
      <c r="C332" s="19" t="s">
        <v>148</v>
      </c>
      <c r="D332" s="21" t="s">
        <v>1914</v>
      </c>
      <c r="E332" s="21" t="s">
        <v>17</v>
      </c>
      <c r="F332" s="22">
        <v>5</v>
      </c>
      <c r="G332" s="22">
        <f t="shared" si="94"/>
        <v>23.442999999999998</v>
      </c>
      <c r="H332" s="22">
        <f t="shared" si="98"/>
        <v>29.73</v>
      </c>
      <c r="I332" s="147">
        <f t="shared" si="99"/>
        <v>148.65</v>
      </c>
      <c r="J332" s="148"/>
      <c r="K332" s="148"/>
      <c r="L332" s="148"/>
      <c r="M332" s="148">
        <v>26.12</v>
      </c>
      <c r="N332" s="148">
        <v>33.119999999999997</v>
      </c>
      <c r="O332" s="148">
        <v>165.6</v>
      </c>
      <c r="P332" s="494"/>
      <c r="Q332" s="147">
        <f t="shared" si="88"/>
        <v>0</v>
      </c>
      <c r="R332" s="148"/>
      <c r="S332" s="148">
        <f t="shared" si="89"/>
        <v>0</v>
      </c>
      <c r="T332" s="148">
        <f t="shared" si="93"/>
        <v>5</v>
      </c>
      <c r="U332" s="148">
        <f t="shared" si="92"/>
        <v>165.6</v>
      </c>
      <c r="V332" s="379"/>
      <c r="W332" s="379"/>
      <c r="X332" s="57">
        <f>'COMPOSIÇÃO DE CUSTOS'!G721</f>
        <v>23.44</v>
      </c>
      <c r="Y332" s="334">
        <v>27.58</v>
      </c>
      <c r="Z332" s="58">
        <f t="shared" si="95"/>
        <v>-4.1370000000000005</v>
      </c>
      <c r="AA332" s="58">
        <f t="shared" si="96"/>
        <v>117.21499999999999</v>
      </c>
      <c r="AB332" s="58"/>
      <c r="AC332" s="58">
        <f t="shared" si="97"/>
        <v>148.65</v>
      </c>
      <c r="AD332" s="58" t="e">
        <f>IF(B332&lt;&gt;0,VLOOKUP(B332,#REF!,2,FALSE),"")</f>
        <v>#REF!</v>
      </c>
      <c r="AE332" s="23">
        <v>5</v>
      </c>
      <c r="AF332" s="55">
        <f t="shared" si="100"/>
        <v>0</v>
      </c>
    </row>
    <row r="333" spans="1:32" s="23" customFormat="1" ht="60">
      <c r="A333" s="21" t="s">
        <v>937</v>
      </c>
      <c r="B333" s="20" t="s">
        <v>2123</v>
      </c>
      <c r="C333" s="19" t="s">
        <v>1651</v>
      </c>
      <c r="D333" s="21" t="s">
        <v>1914</v>
      </c>
      <c r="E333" s="21" t="s">
        <v>17</v>
      </c>
      <c r="F333" s="22">
        <v>5</v>
      </c>
      <c r="G333" s="22">
        <f t="shared" si="94"/>
        <v>19.277999999999999</v>
      </c>
      <c r="H333" s="22">
        <f t="shared" si="98"/>
        <v>24.45</v>
      </c>
      <c r="I333" s="147">
        <f t="shared" si="99"/>
        <v>122.25</v>
      </c>
      <c r="J333" s="148"/>
      <c r="K333" s="148"/>
      <c r="L333" s="148"/>
      <c r="M333" s="148">
        <v>21.48</v>
      </c>
      <c r="N333" s="148">
        <v>27.24</v>
      </c>
      <c r="O333" s="148">
        <v>136.19999999999999</v>
      </c>
      <c r="P333" s="494"/>
      <c r="Q333" s="147">
        <f t="shared" si="88"/>
        <v>0</v>
      </c>
      <c r="R333" s="148"/>
      <c r="S333" s="148">
        <f t="shared" si="89"/>
        <v>0</v>
      </c>
      <c r="T333" s="148">
        <f t="shared" si="93"/>
        <v>5</v>
      </c>
      <c r="U333" s="148">
        <f t="shared" si="92"/>
        <v>136.19999999999999</v>
      </c>
      <c r="V333" s="379"/>
      <c r="W333" s="379"/>
      <c r="X333" s="57">
        <f>'COMPOSIÇÃO DE CUSTOS'!G730</f>
        <v>19.27</v>
      </c>
      <c r="Y333" s="334">
        <v>22.68</v>
      </c>
      <c r="Z333" s="58">
        <f t="shared" si="95"/>
        <v>-3.402000000000001</v>
      </c>
      <c r="AA333" s="58">
        <f t="shared" si="96"/>
        <v>96.389999999999986</v>
      </c>
      <c r="AB333" s="58"/>
      <c r="AC333" s="58">
        <f t="shared" si="97"/>
        <v>122.25</v>
      </c>
      <c r="AD333" s="58" t="e">
        <f>IF(B333&lt;&gt;0,VLOOKUP(B333,#REF!,2,FALSE),"")</f>
        <v>#REF!</v>
      </c>
      <c r="AE333" s="23">
        <v>10</v>
      </c>
      <c r="AF333" s="55">
        <f t="shared" si="100"/>
        <v>5</v>
      </c>
    </row>
    <row r="334" spans="1:32" s="23" customFormat="1" ht="60">
      <c r="A334" s="21" t="s">
        <v>938</v>
      </c>
      <c r="B334" s="20" t="s">
        <v>2124</v>
      </c>
      <c r="C334" s="19" t="s">
        <v>1652</v>
      </c>
      <c r="D334" s="21" t="s">
        <v>1914</v>
      </c>
      <c r="E334" s="21" t="s">
        <v>17</v>
      </c>
      <c r="F334" s="22">
        <v>10</v>
      </c>
      <c r="G334" s="22">
        <f t="shared" si="94"/>
        <v>64.61699999999999</v>
      </c>
      <c r="H334" s="22">
        <f t="shared" si="98"/>
        <v>81.94</v>
      </c>
      <c r="I334" s="147">
        <f t="shared" si="99"/>
        <v>819.4</v>
      </c>
      <c r="J334" s="148"/>
      <c r="K334" s="148"/>
      <c r="L334" s="148"/>
      <c r="M334" s="148">
        <v>71.98</v>
      </c>
      <c r="N334" s="148">
        <v>91.28</v>
      </c>
      <c r="O334" s="148">
        <v>912.8</v>
      </c>
      <c r="P334" s="494"/>
      <c r="Q334" s="147">
        <f t="shared" si="88"/>
        <v>0</v>
      </c>
      <c r="R334" s="148"/>
      <c r="S334" s="148">
        <f t="shared" si="89"/>
        <v>0</v>
      </c>
      <c r="T334" s="148">
        <f t="shared" si="93"/>
        <v>10</v>
      </c>
      <c r="U334" s="148">
        <f t="shared" si="92"/>
        <v>912.8</v>
      </c>
      <c r="V334" s="379"/>
      <c r="W334" s="379"/>
      <c r="X334" s="57">
        <f>'COMPOSIÇÃO DE CUSTOS'!G739</f>
        <v>64.61</v>
      </c>
      <c r="Y334" s="334">
        <v>76.02</v>
      </c>
      <c r="Z334" s="58">
        <f t="shared" si="95"/>
        <v>-11.403000000000006</v>
      </c>
      <c r="AA334" s="58">
        <f t="shared" si="96"/>
        <v>646.16999999999985</v>
      </c>
      <c r="AB334" s="58"/>
      <c r="AC334" s="58">
        <f t="shared" si="97"/>
        <v>819.4</v>
      </c>
      <c r="AD334" s="58" t="e">
        <f>IF(B334&lt;&gt;0,VLOOKUP(B334,#REF!,2,FALSE),"")</f>
        <v>#REF!</v>
      </c>
      <c r="AE334" s="23">
        <v>17</v>
      </c>
      <c r="AF334" s="55">
        <f t="shared" si="100"/>
        <v>7</v>
      </c>
    </row>
    <row r="335" spans="1:32" ht="30">
      <c r="A335" s="21" t="s">
        <v>939</v>
      </c>
      <c r="B335" s="20">
        <v>1208</v>
      </c>
      <c r="C335" s="19" t="s">
        <v>149</v>
      </c>
      <c r="D335" s="21" t="s">
        <v>44</v>
      </c>
      <c r="E335" s="21" t="s">
        <v>17</v>
      </c>
      <c r="F335" s="22">
        <v>17</v>
      </c>
      <c r="G335" s="22">
        <f t="shared" si="94"/>
        <v>51.186999999999998</v>
      </c>
      <c r="H335" s="22">
        <f t="shared" si="98"/>
        <v>64.91</v>
      </c>
      <c r="I335" s="147">
        <f t="shared" si="99"/>
        <v>1103.47</v>
      </c>
      <c r="J335" s="148"/>
      <c r="K335" s="148"/>
      <c r="L335" s="148"/>
      <c r="M335" s="148">
        <v>57.02</v>
      </c>
      <c r="N335" s="148">
        <v>72.31</v>
      </c>
      <c r="O335" s="148">
        <v>1229.27</v>
      </c>
      <c r="P335" s="494"/>
      <c r="Q335" s="147">
        <f t="shared" si="88"/>
        <v>0</v>
      </c>
      <c r="R335" s="148"/>
      <c r="S335" s="148">
        <f t="shared" si="89"/>
        <v>0</v>
      </c>
      <c r="T335" s="148">
        <f t="shared" si="93"/>
        <v>17</v>
      </c>
      <c r="U335" s="148">
        <f t="shared" si="92"/>
        <v>1229.27</v>
      </c>
      <c r="V335" s="379"/>
      <c r="W335" s="379"/>
      <c r="X335" s="57">
        <f>'COMPOSIÇÃO DE CUSTOS'!G748</f>
        <v>51.2</v>
      </c>
      <c r="Y335" s="334">
        <v>60.22</v>
      </c>
      <c r="Z335" s="58">
        <f t="shared" si="95"/>
        <v>-9.0330000000000013</v>
      </c>
      <c r="AA335" s="58">
        <f t="shared" si="96"/>
        <v>870.17899999999997</v>
      </c>
      <c r="AB335" s="58"/>
      <c r="AC335" s="58">
        <f t="shared" si="97"/>
        <v>1103.47</v>
      </c>
      <c r="AD335" s="58" t="e">
        <f>IF(B335&lt;&gt;0,VLOOKUP(B335,#REF!,2,FALSE),"")</f>
        <v>#REF!</v>
      </c>
      <c r="AE335" s="2">
        <v>16</v>
      </c>
      <c r="AF335" s="55">
        <f t="shared" si="100"/>
        <v>-1</v>
      </c>
    </row>
    <row r="336" spans="1:32" ht="45">
      <c r="A336" s="21" t="s">
        <v>940</v>
      </c>
      <c r="B336" s="20">
        <v>1582</v>
      </c>
      <c r="C336" s="19" t="s">
        <v>150</v>
      </c>
      <c r="D336" s="21" t="s">
        <v>44</v>
      </c>
      <c r="E336" s="21" t="s">
        <v>17</v>
      </c>
      <c r="F336" s="22">
        <v>16</v>
      </c>
      <c r="G336" s="22">
        <f t="shared" si="94"/>
        <v>12.6905</v>
      </c>
      <c r="H336" s="22">
        <f t="shared" si="98"/>
        <v>16.09</v>
      </c>
      <c r="I336" s="147">
        <f t="shared" si="99"/>
        <v>257.44</v>
      </c>
      <c r="J336" s="148"/>
      <c r="K336" s="148"/>
      <c r="L336" s="148"/>
      <c r="M336" s="148">
        <v>14.14</v>
      </c>
      <c r="N336" s="148">
        <v>17.93</v>
      </c>
      <c r="O336" s="148">
        <v>286.88</v>
      </c>
      <c r="P336" s="494"/>
      <c r="Q336" s="147">
        <f t="shared" si="88"/>
        <v>0</v>
      </c>
      <c r="R336" s="148"/>
      <c r="S336" s="148">
        <f t="shared" si="89"/>
        <v>0</v>
      </c>
      <c r="T336" s="148">
        <f t="shared" si="93"/>
        <v>16</v>
      </c>
      <c r="U336" s="148">
        <f t="shared" si="92"/>
        <v>286.88</v>
      </c>
      <c r="V336" s="379"/>
      <c r="W336" s="379"/>
      <c r="X336" s="57">
        <f>'COMPOSIÇÃO DE CUSTOS'!G757</f>
        <v>12.68</v>
      </c>
      <c r="Y336" s="334">
        <v>14.93</v>
      </c>
      <c r="Z336" s="58">
        <f t="shared" si="95"/>
        <v>-2.2394999999999996</v>
      </c>
      <c r="AA336" s="58">
        <f t="shared" si="96"/>
        <v>203.048</v>
      </c>
      <c r="AB336" s="58"/>
      <c r="AC336" s="58">
        <f t="shared" si="97"/>
        <v>257.44</v>
      </c>
      <c r="AD336" s="58" t="e">
        <f>IF(B336&lt;&gt;0,VLOOKUP(B336,#REF!,2,FALSE),"")</f>
        <v>#REF!</v>
      </c>
      <c r="AE336" s="2">
        <v>7</v>
      </c>
      <c r="AF336" s="55">
        <f t="shared" si="100"/>
        <v>-9</v>
      </c>
    </row>
    <row r="337" spans="1:32" ht="30">
      <c r="A337" s="21" t="s">
        <v>941</v>
      </c>
      <c r="B337" s="20" t="s">
        <v>2134</v>
      </c>
      <c r="C337" s="19" t="s">
        <v>151</v>
      </c>
      <c r="D337" s="21" t="s">
        <v>70</v>
      </c>
      <c r="E337" s="21" t="s">
        <v>17</v>
      </c>
      <c r="F337" s="22">
        <v>7</v>
      </c>
      <c r="G337" s="22">
        <f t="shared" si="94"/>
        <v>13.123999999999999</v>
      </c>
      <c r="H337" s="22">
        <f t="shared" si="98"/>
        <v>16.64</v>
      </c>
      <c r="I337" s="147">
        <f t="shared" si="99"/>
        <v>116.48</v>
      </c>
      <c r="J337" s="148"/>
      <c r="K337" s="148"/>
      <c r="L337" s="148"/>
      <c r="M337" s="148">
        <v>14.62</v>
      </c>
      <c r="N337" s="148">
        <v>18.54</v>
      </c>
      <c r="O337" s="148">
        <v>129.78</v>
      </c>
      <c r="P337" s="494"/>
      <c r="Q337" s="147">
        <f t="shared" si="88"/>
        <v>0</v>
      </c>
      <c r="R337" s="148"/>
      <c r="S337" s="148">
        <f t="shared" si="89"/>
        <v>0</v>
      </c>
      <c r="T337" s="148">
        <f t="shared" si="93"/>
        <v>7</v>
      </c>
      <c r="U337" s="148">
        <f t="shared" si="92"/>
        <v>129.78</v>
      </c>
      <c r="V337" s="379"/>
      <c r="W337" s="379"/>
      <c r="X337" s="57">
        <f>'COMPOSIÇÃO DE CUSTOS'!G766</f>
        <v>13.13</v>
      </c>
      <c r="Y337" s="334">
        <v>15.44</v>
      </c>
      <c r="Z337" s="58">
        <f t="shared" si="95"/>
        <v>-2.3160000000000007</v>
      </c>
      <c r="AA337" s="58">
        <f t="shared" si="96"/>
        <v>91.867999999999995</v>
      </c>
      <c r="AB337" s="58"/>
      <c r="AC337" s="58">
        <f t="shared" si="97"/>
        <v>116.48</v>
      </c>
      <c r="AD337" s="58" t="e">
        <f>IF(B337&lt;&gt;0,VLOOKUP(B337,#REF!,2,FALSE),"")</f>
        <v>#REF!</v>
      </c>
      <c r="AE337" s="2">
        <v>1</v>
      </c>
      <c r="AF337" s="55">
        <f t="shared" si="100"/>
        <v>-6</v>
      </c>
    </row>
    <row r="338" spans="1:32" ht="30">
      <c r="A338" s="21" t="s">
        <v>942</v>
      </c>
      <c r="B338" s="20" t="s">
        <v>2135</v>
      </c>
      <c r="C338" s="19" t="s">
        <v>152</v>
      </c>
      <c r="D338" s="21" t="s">
        <v>70</v>
      </c>
      <c r="E338" s="21" t="s">
        <v>17</v>
      </c>
      <c r="F338" s="22">
        <v>1</v>
      </c>
      <c r="G338" s="22">
        <f t="shared" si="94"/>
        <v>5.0999999999999996</v>
      </c>
      <c r="H338" s="22">
        <f t="shared" si="98"/>
        <v>6.47</v>
      </c>
      <c r="I338" s="147">
        <f t="shared" si="99"/>
        <v>6.47</v>
      </c>
      <c r="J338" s="148"/>
      <c r="K338" s="148"/>
      <c r="L338" s="148"/>
      <c r="M338" s="148">
        <v>5.68</v>
      </c>
      <c r="N338" s="148">
        <v>7.2</v>
      </c>
      <c r="O338" s="148">
        <v>7.2</v>
      </c>
      <c r="P338" s="494"/>
      <c r="Q338" s="147">
        <f t="shared" ref="Q338:Q366" si="101">ROUND(P338*N338,2)</f>
        <v>0</v>
      </c>
      <c r="R338" s="148"/>
      <c r="S338" s="148">
        <f t="shared" ref="S338:S366" si="102">ROUND(R338*N338,2)</f>
        <v>0</v>
      </c>
      <c r="T338" s="148">
        <f t="shared" si="93"/>
        <v>1</v>
      </c>
      <c r="U338" s="148">
        <f t="shared" si="92"/>
        <v>7.2</v>
      </c>
      <c r="V338" s="379"/>
      <c r="W338" s="379"/>
      <c r="X338" s="57">
        <f>'COMPOSIÇÃO DE CUSTOS'!G775</f>
        <v>5.0999999999999996</v>
      </c>
      <c r="Y338" s="334">
        <v>6</v>
      </c>
      <c r="Z338" s="58">
        <f t="shared" si="95"/>
        <v>-0.90000000000000036</v>
      </c>
      <c r="AA338" s="58">
        <f t="shared" si="96"/>
        <v>5.0999999999999996</v>
      </c>
      <c r="AB338" s="58"/>
      <c r="AC338" s="58">
        <f t="shared" si="97"/>
        <v>6.47</v>
      </c>
      <c r="AD338" s="58" t="e">
        <f>IF(B338&lt;&gt;0,VLOOKUP(B338,#REF!,2,FALSE),"")</f>
        <v>#REF!</v>
      </c>
      <c r="AF338" s="55">
        <f t="shared" si="100"/>
        <v>-1</v>
      </c>
    </row>
    <row r="339" spans="1:32">
      <c r="A339" s="69" t="s">
        <v>943</v>
      </c>
      <c r="B339" s="129"/>
      <c r="C339" s="229" t="s">
        <v>141</v>
      </c>
      <c r="D339" s="230"/>
      <c r="E339" s="230"/>
      <c r="F339" s="230"/>
      <c r="G339" s="22"/>
      <c r="H339" s="230"/>
      <c r="I339" s="445"/>
      <c r="J339" s="440"/>
      <c r="K339" s="440"/>
      <c r="L339" s="440"/>
      <c r="M339" s="440">
        <v>0</v>
      </c>
      <c r="N339" s="440">
        <v>0</v>
      </c>
      <c r="O339" s="440">
        <v>0</v>
      </c>
      <c r="P339" s="492"/>
      <c r="Q339" s="147">
        <f t="shared" si="101"/>
        <v>0</v>
      </c>
      <c r="R339" s="148"/>
      <c r="S339" s="148">
        <f t="shared" si="102"/>
        <v>0</v>
      </c>
      <c r="T339" s="148" t="str">
        <f t="shared" si="93"/>
        <v xml:space="preserve"> </v>
      </c>
      <c r="U339" s="148">
        <f t="shared" si="92"/>
        <v>0</v>
      </c>
      <c r="V339" s="330"/>
      <c r="W339" s="330"/>
      <c r="X339" s="58" t="str">
        <f>IF(B339&lt;&gt;0,VLOOKUP(B339,#REF!,4,FALSE),"")</f>
        <v/>
      </c>
      <c r="Y339" s="334" t="s">
        <v>1891</v>
      </c>
      <c r="Z339" s="58"/>
      <c r="AA339" s="58">
        <f t="shared" si="96"/>
        <v>0</v>
      </c>
      <c r="AB339" s="58"/>
      <c r="AC339" s="58">
        <f t="shared" si="97"/>
        <v>0</v>
      </c>
      <c r="AD339" s="58" t="str">
        <f>IF(B339&lt;&gt;0,VLOOKUP(B339,#REF!,2,FALSE),"")</f>
        <v/>
      </c>
      <c r="AE339" s="2">
        <v>8</v>
      </c>
      <c r="AF339" s="55">
        <f t="shared" si="100"/>
        <v>8</v>
      </c>
    </row>
    <row r="340" spans="1:32" ht="90">
      <c r="A340" s="21" t="s">
        <v>944</v>
      </c>
      <c r="B340" s="20" t="s">
        <v>2117</v>
      </c>
      <c r="C340" s="19" t="s">
        <v>142</v>
      </c>
      <c r="D340" s="21" t="s">
        <v>1914</v>
      </c>
      <c r="E340" s="21" t="s">
        <v>17</v>
      </c>
      <c r="F340" s="22">
        <v>8</v>
      </c>
      <c r="G340" s="22">
        <f t="shared" si="94"/>
        <v>194.76900000000001</v>
      </c>
      <c r="H340" s="22">
        <f>ROUND(G340*(1+$X$13),2)</f>
        <v>246.99</v>
      </c>
      <c r="I340" s="147">
        <f>ROUND(H340*F340,2)</f>
        <v>1975.92</v>
      </c>
      <c r="J340" s="148"/>
      <c r="K340" s="148"/>
      <c r="L340" s="148"/>
      <c r="M340" s="148">
        <v>216.97</v>
      </c>
      <c r="N340" s="148">
        <v>275.14</v>
      </c>
      <c r="O340" s="148">
        <v>2201.12</v>
      </c>
      <c r="P340" s="494"/>
      <c r="Q340" s="147">
        <f t="shared" si="101"/>
        <v>0</v>
      </c>
      <c r="R340" s="148"/>
      <c r="S340" s="148">
        <f t="shared" si="102"/>
        <v>0</v>
      </c>
      <c r="T340" s="148">
        <f t="shared" si="93"/>
        <v>8</v>
      </c>
      <c r="U340" s="148">
        <f t="shared" si="92"/>
        <v>2201.12</v>
      </c>
      <c r="V340" s="379"/>
      <c r="W340" s="379"/>
      <c r="X340" s="57">
        <f>'COMPOSIÇÃO DE CUSTOS'!G788</f>
        <v>194.75</v>
      </c>
      <c r="Y340" s="334">
        <v>229.14</v>
      </c>
      <c r="Z340" s="58">
        <f t="shared" si="95"/>
        <v>-34.370999999999981</v>
      </c>
      <c r="AA340" s="58">
        <f t="shared" si="96"/>
        <v>1558.152</v>
      </c>
      <c r="AB340" s="58"/>
      <c r="AC340" s="58">
        <f t="shared" si="97"/>
        <v>1975.92</v>
      </c>
      <c r="AD340" s="58" t="e">
        <f>IF(B340&lt;&gt;0,VLOOKUP(B340,#REF!,2,FALSE),"")</f>
        <v>#REF!</v>
      </c>
      <c r="AE340" s="2">
        <v>1</v>
      </c>
      <c r="AF340" s="55">
        <f t="shared" si="100"/>
        <v>-7</v>
      </c>
    </row>
    <row r="341" spans="1:32" ht="45">
      <c r="A341" s="21" t="s">
        <v>945</v>
      </c>
      <c r="B341" s="20" t="s">
        <v>2139</v>
      </c>
      <c r="C341" s="19" t="s">
        <v>153</v>
      </c>
      <c r="D341" s="21" t="s">
        <v>1914</v>
      </c>
      <c r="E341" s="21" t="s">
        <v>17</v>
      </c>
      <c r="F341" s="22">
        <v>1</v>
      </c>
      <c r="G341" s="22">
        <f t="shared" si="94"/>
        <v>337.12700000000001</v>
      </c>
      <c r="H341" s="22">
        <f>ROUND(G341*(1+$X$13),2)</f>
        <v>427.51</v>
      </c>
      <c r="I341" s="147">
        <f>ROUND(H341*F341,2)</f>
        <v>427.51</v>
      </c>
      <c r="J341" s="148"/>
      <c r="K341" s="148"/>
      <c r="L341" s="148"/>
      <c r="M341" s="148">
        <v>375.56</v>
      </c>
      <c r="N341" s="148">
        <v>476.25</v>
      </c>
      <c r="O341" s="148">
        <v>476.25</v>
      </c>
      <c r="P341" s="494"/>
      <c r="Q341" s="147">
        <f t="shared" si="101"/>
        <v>0</v>
      </c>
      <c r="R341" s="148"/>
      <c r="S341" s="148">
        <f t="shared" si="102"/>
        <v>0</v>
      </c>
      <c r="T341" s="148">
        <f t="shared" si="93"/>
        <v>1</v>
      </c>
      <c r="U341" s="148">
        <f t="shared" si="92"/>
        <v>476.25</v>
      </c>
      <c r="V341" s="379"/>
      <c r="W341" s="379"/>
      <c r="X341" s="57">
        <f>'COMPOSIÇÃO DE CUSTOS'!G796</f>
        <v>337.13</v>
      </c>
      <c r="Y341" s="334">
        <v>396.62</v>
      </c>
      <c r="Z341" s="58">
        <f t="shared" si="95"/>
        <v>-59.492999999999995</v>
      </c>
      <c r="AA341" s="58">
        <f t="shared" si="96"/>
        <v>337.12700000000001</v>
      </c>
      <c r="AB341" s="58"/>
      <c r="AC341" s="58">
        <f t="shared" si="97"/>
        <v>427.51</v>
      </c>
      <c r="AD341" s="58" t="e">
        <f>IF(B341&lt;&gt;0,VLOOKUP(B341,#REF!,2,FALSE),"")</f>
        <v>#REF!</v>
      </c>
      <c r="AE341" s="2">
        <v>21</v>
      </c>
      <c r="AF341" s="55">
        <f t="shared" si="100"/>
        <v>20</v>
      </c>
    </row>
    <row r="342" spans="1:32" ht="30">
      <c r="A342" s="21" t="s">
        <v>946</v>
      </c>
      <c r="B342" s="20">
        <v>522265</v>
      </c>
      <c r="C342" s="19" t="s">
        <v>154</v>
      </c>
      <c r="D342" s="21" t="s">
        <v>1914</v>
      </c>
      <c r="E342" s="21" t="s">
        <v>17</v>
      </c>
      <c r="F342" s="22">
        <v>21</v>
      </c>
      <c r="G342" s="22">
        <f t="shared" si="94"/>
        <v>6.63</v>
      </c>
      <c r="H342" s="22">
        <f>ROUND(G342*(1+$X$13),2)</f>
        <v>8.41</v>
      </c>
      <c r="I342" s="147">
        <f>ROUND(H342*F342,2)</f>
        <v>176.61</v>
      </c>
      <c r="J342" s="148"/>
      <c r="K342" s="148"/>
      <c r="L342" s="148"/>
      <c r="M342" s="148">
        <v>7.39</v>
      </c>
      <c r="N342" s="148">
        <v>9.3699999999999992</v>
      </c>
      <c r="O342" s="148">
        <v>196.77</v>
      </c>
      <c r="P342" s="494"/>
      <c r="Q342" s="147">
        <f t="shared" si="101"/>
        <v>0</v>
      </c>
      <c r="R342" s="148"/>
      <c r="S342" s="148">
        <f t="shared" si="102"/>
        <v>0</v>
      </c>
      <c r="T342" s="148">
        <f t="shared" si="93"/>
        <v>21</v>
      </c>
      <c r="U342" s="148">
        <f t="shared" si="92"/>
        <v>196.77</v>
      </c>
      <c r="V342" s="379"/>
      <c r="W342" s="379"/>
      <c r="X342" s="57">
        <f>'COMPOSIÇÃO DE CUSTOS'!G805</f>
        <v>6.63</v>
      </c>
      <c r="Y342" s="334">
        <v>7.8</v>
      </c>
      <c r="Z342" s="58">
        <f t="shared" si="95"/>
        <v>-1.17</v>
      </c>
      <c r="AA342" s="58">
        <f t="shared" si="96"/>
        <v>139.22999999999999</v>
      </c>
      <c r="AB342" s="58"/>
      <c r="AC342" s="58">
        <f t="shared" si="97"/>
        <v>176.61</v>
      </c>
      <c r="AD342" s="58" t="e">
        <f>IF(B342&lt;&gt;0,VLOOKUP(B342,#REF!,2,FALSE),"")</f>
        <v>#REF!</v>
      </c>
      <c r="AF342" s="55">
        <f t="shared" si="100"/>
        <v>-21</v>
      </c>
    </row>
    <row r="343" spans="1:32">
      <c r="A343" s="455" t="s">
        <v>4173</v>
      </c>
      <c r="B343" s="129"/>
      <c r="C343" s="229" t="s">
        <v>4174</v>
      </c>
      <c r="D343" s="21"/>
      <c r="E343" s="21"/>
      <c r="F343" s="22"/>
      <c r="G343" s="22"/>
      <c r="H343" s="22"/>
      <c r="I343" s="147"/>
      <c r="J343" s="148"/>
      <c r="K343" s="148"/>
      <c r="L343" s="148"/>
      <c r="M343" s="148"/>
      <c r="N343" s="148"/>
      <c r="O343" s="148"/>
      <c r="P343" s="494"/>
      <c r="Q343" s="147"/>
      <c r="R343" s="148"/>
      <c r="S343" s="148"/>
      <c r="T343" s="148"/>
      <c r="U343" s="148"/>
      <c r="V343" s="379"/>
      <c r="W343" s="379"/>
      <c r="X343" s="57"/>
      <c r="Y343" s="334"/>
      <c r="Z343" s="58"/>
      <c r="AA343" s="58"/>
      <c r="AB343" s="58"/>
      <c r="AC343" s="58"/>
      <c r="AD343" s="58"/>
      <c r="AF343" s="55"/>
    </row>
    <row r="344" spans="1:32" s="38" customFormat="1">
      <c r="A344" s="454" t="s">
        <v>4175</v>
      </c>
      <c r="B344" s="448">
        <v>77</v>
      </c>
      <c r="C344" s="449" t="s">
        <v>3790</v>
      </c>
      <c r="D344" s="447" t="s">
        <v>44</v>
      </c>
      <c r="E344" s="447" t="s">
        <v>35</v>
      </c>
      <c r="F344" s="450"/>
      <c r="G344" s="450">
        <v>71.624053795785713</v>
      </c>
      <c r="H344" s="450">
        <v>90.83</v>
      </c>
      <c r="I344" s="451"/>
      <c r="J344" s="452"/>
      <c r="K344" s="452"/>
      <c r="L344" s="452"/>
      <c r="M344" s="452"/>
      <c r="N344" s="452"/>
      <c r="O344" s="452"/>
      <c r="P344" s="493">
        <f>165*0.5*1</f>
        <v>82.5</v>
      </c>
      <c r="Q344" s="451">
        <f>ROUND(P344*H344,2)</f>
        <v>7493.48</v>
      </c>
      <c r="R344" s="452"/>
      <c r="S344" s="452"/>
      <c r="T344" s="452">
        <f>F344+P344-R344</f>
        <v>82.5</v>
      </c>
      <c r="U344" s="452">
        <f t="shared" si="92"/>
        <v>7493.48</v>
      </c>
      <c r="V344" s="453"/>
      <c r="W344" s="453"/>
      <c r="X344" s="42"/>
      <c r="Y344" s="336"/>
      <c r="Z344" s="39"/>
      <c r="AA344" s="39"/>
      <c r="AB344" s="39"/>
      <c r="AC344" s="39"/>
      <c r="AD344" s="39"/>
    </row>
    <row r="345" spans="1:32" s="38" customFormat="1" ht="30">
      <c r="A345" s="454" t="s">
        <v>4176</v>
      </c>
      <c r="B345" s="448">
        <v>79480</v>
      </c>
      <c r="C345" s="449" t="s">
        <v>34</v>
      </c>
      <c r="D345" s="447" t="s">
        <v>1914</v>
      </c>
      <c r="E345" s="447" t="s">
        <v>35</v>
      </c>
      <c r="F345" s="450"/>
      <c r="G345" s="450">
        <v>2.0995000000000004</v>
      </c>
      <c r="H345" s="450">
        <v>2.66</v>
      </c>
      <c r="I345" s="451"/>
      <c r="J345" s="452"/>
      <c r="K345" s="452"/>
      <c r="L345" s="452"/>
      <c r="M345" s="452"/>
      <c r="N345" s="452"/>
      <c r="O345" s="452"/>
      <c r="P345" s="493">
        <f>P344</f>
        <v>82.5</v>
      </c>
      <c r="Q345" s="451">
        <f>ROUND(P345*H345*'PLANILHA ORÇA - CORREGEDORIA'!$S$16,2)</f>
        <v>244.47</v>
      </c>
      <c r="R345" s="452"/>
      <c r="S345" s="452"/>
      <c r="T345" s="452">
        <f t="shared" ref="T345:T347" si="103">F345+P345-R345</f>
        <v>82.5</v>
      </c>
      <c r="U345" s="452">
        <f t="shared" si="92"/>
        <v>244.47</v>
      </c>
      <c r="V345" s="453"/>
      <c r="W345" s="453"/>
      <c r="X345" s="42"/>
      <c r="Y345" s="336"/>
      <c r="Z345" s="39"/>
      <c r="AA345" s="39"/>
      <c r="AB345" s="39"/>
      <c r="AC345" s="39"/>
      <c r="AD345" s="39"/>
    </row>
    <row r="346" spans="1:32" s="38" customFormat="1" ht="30">
      <c r="A346" s="454" t="s">
        <v>4177</v>
      </c>
      <c r="B346" s="448">
        <v>97635</v>
      </c>
      <c r="C346" s="449" t="s">
        <v>3007</v>
      </c>
      <c r="D346" s="447" t="s">
        <v>12</v>
      </c>
      <c r="E346" s="447" t="s">
        <v>26</v>
      </c>
      <c r="F346" s="450"/>
      <c r="G346" s="450">
        <v>8.7635000000000005</v>
      </c>
      <c r="H346" s="450">
        <v>11.11</v>
      </c>
      <c r="I346" s="451"/>
      <c r="J346" s="452"/>
      <c r="K346" s="452"/>
      <c r="L346" s="452"/>
      <c r="M346" s="452"/>
      <c r="N346" s="452"/>
      <c r="O346" s="452"/>
      <c r="P346" s="493">
        <f>165*0.5</f>
        <v>82.5</v>
      </c>
      <c r="Q346" s="451">
        <f>ROUND(P346*H346*'PLANILHA ORÇA - CORREGEDORIA'!$S$16,2)</f>
        <v>1021.07</v>
      </c>
      <c r="R346" s="452"/>
      <c r="S346" s="452"/>
      <c r="T346" s="452">
        <f t="shared" si="103"/>
        <v>82.5</v>
      </c>
      <c r="U346" s="452">
        <f t="shared" ref="U346:U347" si="104">L346+Q346-S346+O346</f>
        <v>1021.07</v>
      </c>
      <c r="V346" s="453"/>
      <c r="W346" s="453"/>
      <c r="X346" s="42"/>
      <c r="Y346" s="336"/>
      <c r="Z346" s="39"/>
      <c r="AA346" s="39"/>
      <c r="AB346" s="39"/>
      <c r="AC346" s="39"/>
      <c r="AD346" s="39"/>
    </row>
    <row r="347" spans="1:32" s="38" customFormat="1" ht="75">
      <c r="A347" s="454" t="s">
        <v>4178</v>
      </c>
      <c r="B347" s="448">
        <v>101860</v>
      </c>
      <c r="C347" s="449" t="s">
        <v>3803</v>
      </c>
      <c r="D347" s="447" t="s">
        <v>12</v>
      </c>
      <c r="E347" s="447" t="s">
        <v>26</v>
      </c>
      <c r="F347" s="450"/>
      <c r="G347" s="450">
        <v>24.316574583233436</v>
      </c>
      <c r="H347" s="450">
        <v>30.84</v>
      </c>
      <c r="I347" s="451"/>
      <c r="J347" s="452"/>
      <c r="K347" s="452"/>
      <c r="L347" s="452"/>
      <c r="M347" s="452"/>
      <c r="N347" s="452"/>
      <c r="O347" s="452"/>
      <c r="P347" s="493">
        <f>165*0.5</f>
        <v>82.5</v>
      </c>
      <c r="Q347" s="451">
        <f t="shared" ref="Q347" si="105">ROUND(P347*H347,2)</f>
        <v>2544.3000000000002</v>
      </c>
      <c r="R347" s="452"/>
      <c r="S347" s="452"/>
      <c r="T347" s="452">
        <f t="shared" si="103"/>
        <v>82.5</v>
      </c>
      <c r="U347" s="452">
        <f t="shared" si="104"/>
        <v>2544.3000000000002</v>
      </c>
      <c r="V347" s="453"/>
      <c r="W347" s="453"/>
      <c r="X347" s="42"/>
      <c r="Y347" s="336"/>
      <c r="Z347" s="39"/>
      <c r="AA347" s="39"/>
      <c r="AB347" s="39"/>
      <c r="AC347" s="39"/>
      <c r="AD347" s="39"/>
    </row>
    <row r="348" spans="1:32" s="38" customFormat="1">
      <c r="A348" s="455" t="s">
        <v>4184</v>
      </c>
      <c r="B348" s="129"/>
      <c r="C348" s="229" t="s">
        <v>4179</v>
      </c>
      <c r="D348" s="21"/>
      <c r="E348" s="21"/>
      <c r="F348" s="22"/>
      <c r="G348" s="22"/>
      <c r="H348" s="22"/>
      <c r="I348" s="147"/>
      <c r="J348" s="148"/>
      <c r="K348" s="148"/>
      <c r="L348" s="148"/>
      <c r="M348" s="148"/>
      <c r="N348" s="148"/>
      <c r="O348" s="148"/>
      <c r="P348" s="494"/>
      <c r="Q348" s="147"/>
      <c r="R348" s="148"/>
      <c r="S348" s="148"/>
      <c r="T348" s="148"/>
      <c r="U348" s="148"/>
      <c r="V348" s="453"/>
      <c r="W348" s="453"/>
      <c r="X348" s="42"/>
      <c r="Y348" s="336"/>
      <c r="Z348" s="39"/>
      <c r="AA348" s="39"/>
      <c r="AB348" s="39"/>
      <c r="AC348" s="39"/>
      <c r="AD348" s="39"/>
    </row>
    <row r="349" spans="1:32" s="38" customFormat="1">
      <c r="A349" s="454" t="s">
        <v>4180</v>
      </c>
      <c r="B349" s="448">
        <v>77</v>
      </c>
      <c r="C349" s="449" t="s">
        <v>3790</v>
      </c>
      <c r="D349" s="447" t="s">
        <v>44</v>
      </c>
      <c r="E349" s="447" t="s">
        <v>35</v>
      </c>
      <c r="F349" s="450"/>
      <c r="G349" s="450">
        <v>71.624053795785713</v>
      </c>
      <c r="H349" s="450">
        <v>90.83</v>
      </c>
      <c r="I349" s="451"/>
      <c r="J349" s="452"/>
      <c r="K349" s="452"/>
      <c r="L349" s="452"/>
      <c r="M349" s="452"/>
      <c r="N349" s="452"/>
      <c r="O349" s="452"/>
      <c r="P349" s="493">
        <f>120*0.5*0.5</f>
        <v>30</v>
      </c>
      <c r="Q349" s="451">
        <f>ROUND(P349*H349,2)</f>
        <v>2724.9</v>
      </c>
      <c r="R349" s="452"/>
      <c r="S349" s="452"/>
      <c r="T349" s="452">
        <f>F349+P349-R349</f>
        <v>30</v>
      </c>
      <c r="U349" s="452">
        <f t="shared" ref="U349:U352" si="106">L349+Q349-S349+O349</f>
        <v>2724.9</v>
      </c>
      <c r="V349" s="453"/>
      <c r="W349" s="453"/>
      <c r="X349" s="42"/>
      <c r="Y349" s="336"/>
      <c r="Z349" s="39"/>
      <c r="AA349" s="39"/>
      <c r="AB349" s="39"/>
      <c r="AC349" s="39"/>
      <c r="AD349" s="39"/>
    </row>
    <row r="350" spans="1:32" s="38" customFormat="1" ht="30">
      <c r="A350" s="454" t="s">
        <v>4181</v>
      </c>
      <c r="B350" s="448">
        <v>79480</v>
      </c>
      <c r="C350" s="449" t="s">
        <v>34</v>
      </c>
      <c r="D350" s="447" t="s">
        <v>1914</v>
      </c>
      <c r="E350" s="447" t="s">
        <v>35</v>
      </c>
      <c r="F350" s="450"/>
      <c r="G350" s="450">
        <v>2.0995000000000004</v>
      </c>
      <c r="H350" s="450">
        <v>2.66</v>
      </c>
      <c r="I350" s="451"/>
      <c r="J350" s="452"/>
      <c r="K350" s="452"/>
      <c r="L350" s="452"/>
      <c r="M350" s="452"/>
      <c r="N350" s="452"/>
      <c r="O350" s="452"/>
      <c r="P350" s="493">
        <f>120*0.5*0.5</f>
        <v>30</v>
      </c>
      <c r="Q350" s="451">
        <f>ROUND(P350*H350*'PLANILHA ORÇA - CORREGEDORIA'!$S$16,2)</f>
        <v>88.9</v>
      </c>
      <c r="R350" s="452"/>
      <c r="S350" s="452"/>
      <c r="T350" s="452">
        <f t="shared" ref="T350:T352" si="107">F350+P350-R350</f>
        <v>30</v>
      </c>
      <c r="U350" s="452">
        <f t="shared" si="106"/>
        <v>88.9</v>
      </c>
      <c r="V350" s="453"/>
      <c r="W350" s="453"/>
      <c r="X350" s="42"/>
      <c r="Y350" s="336"/>
      <c r="Z350" s="39"/>
      <c r="AA350" s="39"/>
      <c r="AB350" s="39"/>
      <c r="AC350" s="39"/>
      <c r="AD350" s="39"/>
    </row>
    <row r="351" spans="1:32" s="38" customFormat="1" ht="30">
      <c r="A351" s="454" t="s">
        <v>4182</v>
      </c>
      <c r="B351" s="448">
        <v>97635</v>
      </c>
      <c r="C351" s="449" t="s">
        <v>3007</v>
      </c>
      <c r="D351" s="447" t="s">
        <v>12</v>
      </c>
      <c r="E351" s="447" t="s">
        <v>26</v>
      </c>
      <c r="F351" s="450"/>
      <c r="G351" s="450">
        <v>8.7635000000000005</v>
      </c>
      <c r="H351" s="450">
        <v>11.11</v>
      </c>
      <c r="I351" s="451"/>
      <c r="J351" s="452"/>
      <c r="K351" s="452"/>
      <c r="L351" s="452"/>
      <c r="M351" s="452"/>
      <c r="N351" s="452"/>
      <c r="O351" s="452"/>
      <c r="P351" s="493">
        <f>120*0.5</f>
        <v>60</v>
      </c>
      <c r="Q351" s="451">
        <f>ROUND(P351*H351*'PLANILHA ORÇA - CORREGEDORIA'!$S$16,2)</f>
        <v>742.6</v>
      </c>
      <c r="R351" s="452"/>
      <c r="S351" s="452"/>
      <c r="T351" s="452">
        <f t="shared" si="107"/>
        <v>60</v>
      </c>
      <c r="U351" s="452">
        <f t="shared" si="106"/>
        <v>742.6</v>
      </c>
      <c r="V351" s="453"/>
      <c r="W351" s="453"/>
      <c r="X351" s="42"/>
      <c r="Y351" s="336"/>
      <c r="Z351" s="39"/>
      <c r="AA351" s="39"/>
      <c r="AB351" s="39"/>
      <c r="AC351" s="39"/>
      <c r="AD351" s="39"/>
    </row>
    <row r="352" spans="1:32" s="38" customFormat="1" ht="75">
      <c r="A352" s="454" t="s">
        <v>4183</v>
      </c>
      <c r="B352" s="448">
        <v>101860</v>
      </c>
      <c r="C352" s="449" t="s">
        <v>3803</v>
      </c>
      <c r="D352" s="447" t="s">
        <v>12</v>
      </c>
      <c r="E352" s="447" t="s">
        <v>26</v>
      </c>
      <c r="F352" s="450"/>
      <c r="G352" s="450">
        <v>24.316574583233436</v>
      </c>
      <c r="H352" s="450">
        <v>30.84</v>
      </c>
      <c r="I352" s="451"/>
      <c r="J352" s="452"/>
      <c r="K352" s="452"/>
      <c r="L352" s="452"/>
      <c r="M352" s="452"/>
      <c r="N352" s="452"/>
      <c r="O352" s="452"/>
      <c r="P352" s="493">
        <f>120*0.5</f>
        <v>60</v>
      </c>
      <c r="Q352" s="451">
        <f t="shared" ref="Q352" si="108">ROUND(P352*H352,2)</f>
        <v>1850.4</v>
      </c>
      <c r="R352" s="452"/>
      <c r="S352" s="452"/>
      <c r="T352" s="452">
        <f t="shared" si="107"/>
        <v>60</v>
      </c>
      <c r="U352" s="452">
        <f t="shared" si="106"/>
        <v>1850.4</v>
      </c>
      <c r="V352" s="453"/>
      <c r="W352" s="453"/>
      <c r="X352" s="42"/>
      <c r="Y352" s="336"/>
      <c r="Z352" s="39"/>
      <c r="AA352" s="39"/>
      <c r="AB352" s="39"/>
      <c r="AC352" s="39"/>
      <c r="AD352" s="39"/>
    </row>
    <row r="353" spans="1:32" s="55" customFormat="1">
      <c r="A353" s="69" t="s">
        <v>947</v>
      </c>
      <c r="B353" s="129"/>
      <c r="C353" s="229" t="s">
        <v>155</v>
      </c>
      <c r="D353" s="230"/>
      <c r="E353" s="230"/>
      <c r="F353" s="230"/>
      <c r="G353" s="22"/>
      <c r="H353" s="230"/>
      <c r="I353" s="445"/>
      <c r="J353" s="440"/>
      <c r="K353" s="440"/>
      <c r="L353" s="440"/>
      <c r="M353" s="440"/>
      <c r="N353" s="440"/>
      <c r="O353" s="440"/>
      <c r="P353" s="492"/>
      <c r="Q353" s="147">
        <f t="shared" si="101"/>
        <v>0</v>
      </c>
      <c r="R353" s="148"/>
      <c r="S353" s="148">
        <f t="shared" si="102"/>
        <v>0</v>
      </c>
      <c r="T353" s="148" t="str">
        <f t="shared" si="93"/>
        <v xml:space="preserve"> </v>
      </c>
      <c r="U353" s="148">
        <f t="shared" ref="U353:U416" si="109">L353+Q353-S353+O353</f>
        <v>0</v>
      </c>
      <c r="V353" s="330"/>
      <c r="W353" s="330"/>
      <c r="X353" s="57" t="str">
        <f>IF(B353&lt;&gt;0,VLOOKUP(B353,#REF!,4,FALSE),"")</f>
        <v/>
      </c>
      <c r="Y353" s="334" t="s">
        <v>1891</v>
      </c>
      <c r="Z353" s="58"/>
      <c r="AA353" s="58">
        <f t="shared" si="96"/>
        <v>0</v>
      </c>
      <c r="AB353" s="58"/>
      <c r="AC353" s="58">
        <f t="shared" si="97"/>
        <v>0</v>
      </c>
      <c r="AD353" s="58" t="str">
        <f>IF(B353&lt;&gt;0,VLOOKUP(B353,#REF!,2,FALSE),"")</f>
        <v/>
      </c>
      <c r="AF353" s="55">
        <f t="shared" si="100"/>
        <v>0</v>
      </c>
    </row>
    <row r="354" spans="1:32" s="55" customFormat="1">
      <c r="A354" s="69" t="s">
        <v>948</v>
      </c>
      <c r="B354" s="129"/>
      <c r="C354" s="229" t="s">
        <v>156</v>
      </c>
      <c r="D354" s="230"/>
      <c r="E354" s="230"/>
      <c r="F354" s="230"/>
      <c r="G354" s="22"/>
      <c r="H354" s="230"/>
      <c r="I354" s="445"/>
      <c r="J354" s="440"/>
      <c r="K354" s="440"/>
      <c r="L354" s="440"/>
      <c r="M354" s="440"/>
      <c r="N354" s="440"/>
      <c r="O354" s="440"/>
      <c r="P354" s="492"/>
      <c r="Q354" s="147">
        <f t="shared" si="101"/>
        <v>0</v>
      </c>
      <c r="R354" s="148"/>
      <c r="S354" s="148">
        <f t="shared" si="102"/>
        <v>0</v>
      </c>
      <c r="T354" s="148" t="str">
        <f t="shared" si="93"/>
        <v xml:space="preserve"> </v>
      </c>
      <c r="U354" s="148">
        <f t="shared" si="109"/>
        <v>0</v>
      </c>
      <c r="V354" s="330"/>
      <c r="W354" s="330"/>
      <c r="X354" s="57" t="str">
        <f>IF(B354&lt;&gt;0,VLOOKUP(B354,#REF!,4,FALSE),"")</f>
        <v/>
      </c>
      <c r="Y354" s="334" t="s">
        <v>1891</v>
      </c>
      <c r="Z354" s="58"/>
      <c r="AA354" s="58">
        <f t="shared" si="96"/>
        <v>0</v>
      </c>
      <c r="AB354" s="58"/>
      <c r="AC354" s="58">
        <f t="shared" si="97"/>
        <v>0</v>
      </c>
      <c r="AD354" s="58" t="str">
        <f>IF(B354&lt;&gt;0,VLOOKUP(B354,#REF!,2,FALSE),"")</f>
        <v/>
      </c>
      <c r="AE354" s="55">
        <v>85</v>
      </c>
      <c r="AF354" s="55">
        <f t="shared" si="100"/>
        <v>85</v>
      </c>
    </row>
    <row r="355" spans="1:32" s="55" customFormat="1">
      <c r="A355" s="21" t="s">
        <v>949</v>
      </c>
      <c r="B355" s="20" t="s">
        <v>2147</v>
      </c>
      <c r="C355" s="19" t="s">
        <v>157</v>
      </c>
      <c r="D355" s="21" t="s">
        <v>70</v>
      </c>
      <c r="E355" s="21" t="s">
        <v>52</v>
      </c>
      <c r="F355" s="22">
        <v>85</v>
      </c>
      <c r="G355" s="22">
        <f t="shared" si="94"/>
        <v>177.2165</v>
      </c>
      <c r="H355" s="22">
        <f t="shared" ref="H355:H361" si="110">ROUND(G355*(1+$X$13),2)</f>
        <v>224.73</v>
      </c>
      <c r="I355" s="147">
        <f t="shared" ref="I355:I361" si="111">ROUND(H355*F355,2)</f>
        <v>19102.05</v>
      </c>
      <c r="J355" s="148"/>
      <c r="K355" s="148"/>
      <c r="L355" s="148"/>
      <c r="M355" s="148">
        <v>197.42</v>
      </c>
      <c r="N355" s="148">
        <v>250.35</v>
      </c>
      <c r="O355" s="148">
        <v>21279.75</v>
      </c>
      <c r="P355" s="494"/>
      <c r="Q355" s="147">
        <f t="shared" si="101"/>
        <v>0</v>
      </c>
      <c r="R355" s="148"/>
      <c r="S355" s="148">
        <f t="shared" si="102"/>
        <v>0</v>
      </c>
      <c r="T355" s="148">
        <f t="shared" ref="T355:T418" si="112">IF(F355&gt;0,F355+P355-R355," ")</f>
        <v>85</v>
      </c>
      <c r="U355" s="148">
        <f t="shared" si="109"/>
        <v>21279.75</v>
      </c>
      <c r="V355" s="379"/>
      <c r="W355" s="379"/>
      <c r="X355" s="57">
        <f>'COMPOSIÇÃO DE CUSTOS'!G817</f>
        <v>177.22</v>
      </c>
      <c r="Y355" s="334">
        <v>208.49</v>
      </c>
      <c r="Z355" s="58">
        <f t="shared" si="95"/>
        <v>-31.273500000000013</v>
      </c>
      <c r="AA355" s="58">
        <f t="shared" si="96"/>
        <v>15063.4025</v>
      </c>
      <c r="AB355" s="58"/>
      <c r="AC355" s="58">
        <f t="shared" si="97"/>
        <v>19102.05</v>
      </c>
      <c r="AD355" s="58" t="e">
        <f>IF(B355&lt;&gt;0,VLOOKUP(B355,#REF!,2,FALSE),"")</f>
        <v>#REF!</v>
      </c>
      <c r="AE355" s="55">
        <v>12</v>
      </c>
      <c r="AF355" s="55">
        <f t="shared" si="100"/>
        <v>-73</v>
      </c>
    </row>
    <row r="356" spans="1:32" s="55" customFormat="1" ht="45">
      <c r="A356" s="21" t="s">
        <v>950</v>
      </c>
      <c r="B356" s="20" t="s">
        <v>2148</v>
      </c>
      <c r="C356" s="19" t="s">
        <v>158</v>
      </c>
      <c r="D356" s="21" t="s">
        <v>70</v>
      </c>
      <c r="E356" s="21" t="s">
        <v>17</v>
      </c>
      <c r="F356" s="22">
        <v>12</v>
      </c>
      <c r="G356" s="22">
        <f t="shared" si="94"/>
        <v>575.22900000000004</v>
      </c>
      <c r="H356" s="22">
        <f t="shared" si="110"/>
        <v>729.45</v>
      </c>
      <c r="I356" s="147">
        <f t="shared" si="111"/>
        <v>8753.4</v>
      </c>
      <c r="J356" s="148"/>
      <c r="K356" s="148"/>
      <c r="L356" s="148"/>
      <c r="M356" s="148">
        <v>640.80999999999995</v>
      </c>
      <c r="N356" s="148">
        <v>812.61</v>
      </c>
      <c r="O356" s="148">
        <v>9751.32</v>
      </c>
      <c r="P356" s="494"/>
      <c r="Q356" s="147">
        <f t="shared" si="101"/>
        <v>0</v>
      </c>
      <c r="R356" s="148"/>
      <c r="S356" s="148">
        <f t="shared" si="102"/>
        <v>0</v>
      </c>
      <c r="T356" s="148">
        <f t="shared" si="112"/>
        <v>12</v>
      </c>
      <c r="U356" s="148">
        <f t="shared" si="109"/>
        <v>9751.32</v>
      </c>
      <c r="V356" s="379"/>
      <c r="W356" s="379"/>
      <c r="X356" s="57">
        <f>'COMPOSIÇÃO DE CUSTOS'!G836</f>
        <v>575.22</v>
      </c>
      <c r="Y356" s="334">
        <v>676.74</v>
      </c>
      <c r="Z356" s="58">
        <f t="shared" si="95"/>
        <v>-101.51099999999997</v>
      </c>
      <c r="AA356" s="58">
        <f t="shared" si="96"/>
        <v>6902.7480000000005</v>
      </c>
      <c r="AB356" s="58"/>
      <c r="AC356" s="58">
        <f t="shared" si="97"/>
        <v>8753.4000000000015</v>
      </c>
      <c r="AD356" s="58" t="e">
        <f>IF(B356&lt;&gt;0,VLOOKUP(B356,#REF!,2,FALSE),"")</f>
        <v>#REF!</v>
      </c>
      <c r="AE356" s="55">
        <v>3</v>
      </c>
      <c r="AF356" s="55">
        <f t="shared" si="100"/>
        <v>-9</v>
      </c>
    </row>
    <row r="357" spans="1:32" ht="45">
      <c r="A357" s="21" t="s">
        <v>951</v>
      </c>
      <c r="B357" s="20">
        <v>238093</v>
      </c>
      <c r="C357" s="19" t="s">
        <v>159</v>
      </c>
      <c r="D357" s="21" t="s">
        <v>1914</v>
      </c>
      <c r="E357" s="21" t="s">
        <v>17</v>
      </c>
      <c r="F357" s="22">
        <v>3</v>
      </c>
      <c r="G357" s="22">
        <f t="shared" si="94"/>
        <v>350.625</v>
      </c>
      <c r="H357" s="22">
        <f t="shared" si="110"/>
        <v>444.63</v>
      </c>
      <c r="I357" s="147">
        <f t="shared" si="111"/>
        <v>1333.89</v>
      </c>
      <c r="J357" s="148"/>
      <c r="K357" s="148"/>
      <c r="L357" s="148"/>
      <c r="M357" s="148">
        <v>390.6</v>
      </c>
      <c r="N357" s="148">
        <v>495.32</v>
      </c>
      <c r="O357" s="148">
        <v>1485.96</v>
      </c>
      <c r="P357" s="494"/>
      <c r="Q357" s="147">
        <f t="shared" si="101"/>
        <v>0</v>
      </c>
      <c r="R357" s="148"/>
      <c r="S357" s="148">
        <f t="shared" si="102"/>
        <v>0</v>
      </c>
      <c r="T357" s="148">
        <f t="shared" si="112"/>
        <v>3</v>
      </c>
      <c r="U357" s="148">
        <f t="shared" si="109"/>
        <v>1485.96</v>
      </c>
      <c r="V357" s="379"/>
      <c r="W357" s="379"/>
      <c r="X357" s="57">
        <f>'COMPOSIÇÃO DE CUSTOS'!G845</f>
        <v>350.63</v>
      </c>
      <c r="Y357" s="334">
        <v>412.5</v>
      </c>
      <c r="Z357" s="58">
        <f t="shared" si="95"/>
        <v>-61.875</v>
      </c>
      <c r="AA357" s="58">
        <f t="shared" si="96"/>
        <v>1051.875</v>
      </c>
      <c r="AB357" s="58"/>
      <c r="AC357" s="58">
        <f t="shared" si="97"/>
        <v>1333.8899999999999</v>
      </c>
      <c r="AD357" s="58" t="e">
        <f>IF(B357&lt;&gt;0,VLOOKUP(B357,#REF!,2,FALSE),"")</f>
        <v>#REF!</v>
      </c>
      <c r="AE357" s="2">
        <v>8</v>
      </c>
      <c r="AF357" s="55">
        <f t="shared" si="100"/>
        <v>5</v>
      </c>
    </row>
    <row r="358" spans="1:32" ht="75">
      <c r="A358" s="21" t="s">
        <v>952</v>
      </c>
      <c r="B358" s="20" t="s">
        <v>2142</v>
      </c>
      <c r="C358" s="19" t="s">
        <v>160</v>
      </c>
      <c r="D358" s="21" t="s">
        <v>1914</v>
      </c>
      <c r="E358" s="21" t="s">
        <v>17</v>
      </c>
      <c r="F358" s="22">
        <v>8</v>
      </c>
      <c r="G358" s="22">
        <f t="shared" si="94"/>
        <v>343.80799999999999</v>
      </c>
      <c r="H358" s="22">
        <f t="shared" si="110"/>
        <v>435.98</v>
      </c>
      <c r="I358" s="147">
        <f t="shared" si="111"/>
        <v>3487.84</v>
      </c>
      <c r="J358" s="148"/>
      <c r="K358" s="148"/>
      <c r="L358" s="148"/>
      <c r="M358" s="148">
        <v>383</v>
      </c>
      <c r="N358" s="148">
        <v>485.68</v>
      </c>
      <c r="O358" s="148">
        <v>3885.44</v>
      </c>
      <c r="P358" s="494"/>
      <c r="Q358" s="147">
        <f t="shared" si="101"/>
        <v>0</v>
      </c>
      <c r="R358" s="148"/>
      <c r="S358" s="148">
        <f t="shared" si="102"/>
        <v>0</v>
      </c>
      <c r="T358" s="148">
        <f t="shared" si="112"/>
        <v>8</v>
      </c>
      <c r="U358" s="148">
        <f t="shared" si="109"/>
        <v>3885.44</v>
      </c>
      <c r="V358" s="379"/>
      <c r="W358" s="379"/>
      <c r="X358" s="57">
        <f>'COMPOSIÇÃO DE CUSTOS'!G855</f>
        <v>343.79</v>
      </c>
      <c r="Y358" s="334">
        <v>404.48</v>
      </c>
      <c r="Z358" s="58">
        <f t="shared" si="95"/>
        <v>-60.672000000000025</v>
      </c>
      <c r="AA358" s="58">
        <f t="shared" si="96"/>
        <v>2750.4639999999999</v>
      </c>
      <c r="AB358" s="58"/>
      <c r="AC358" s="58">
        <f t="shared" si="97"/>
        <v>3487.84</v>
      </c>
      <c r="AD358" s="58" t="e">
        <f>IF(B358&lt;&gt;0,VLOOKUP(B358,#REF!,2,FALSE),"")</f>
        <v>#REF!</v>
      </c>
      <c r="AE358" s="2">
        <v>3</v>
      </c>
      <c r="AF358" s="55">
        <f t="shared" si="100"/>
        <v>-5</v>
      </c>
    </row>
    <row r="359" spans="1:32" ht="45">
      <c r="A359" s="21" t="s">
        <v>953</v>
      </c>
      <c r="B359" s="20" t="s">
        <v>2143</v>
      </c>
      <c r="C359" s="19" t="s">
        <v>161</v>
      </c>
      <c r="D359" s="21" t="s">
        <v>1914</v>
      </c>
      <c r="E359" s="21" t="s">
        <v>17</v>
      </c>
      <c r="F359" s="22">
        <v>3</v>
      </c>
      <c r="G359" s="22">
        <f t="shared" si="94"/>
        <v>1425.1185</v>
      </c>
      <c r="H359" s="22">
        <f t="shared" si="110"/>
        <v>1807.19</v>
      </c>
      <c r="I359" s="147">
        <f t="shared" si="111"/>
        <v>5421.57</v>
      </c>
      <c r="J359" s="148"/>
      <c r="K359" s="148"/>
      <c r="L359" s="148"/>
      <c r="M359" s="148">
        <v>1587.59</v>
      </c>
      <c r="N359" s="148">
        <v>2013.22</v>
      </c>
      <c r="O359" s="148">
        <v>6039.66</v>
      </c>
      <c r="P359" s="494"/>
      <c r="Q359" s="147">
        <f t="shared" si="101"/>
        <v>0</v>
      </c>
      <c r="R359" s="148"/>
      <c r="S359" s="148">
        <f t="shared" si="102"/>
        <v>0</v>
      </c>
      <c r="T359" s="148">
        <f t="shared" si="112"/>
        <v>3</v>
      </c>
      <c r="U359" s="148">
        <f t="shared" si="109"/>
        <v>6039.66</v>
      </c>
      <c r="V359" s="379"/>
      <c r="W359" s="379"/>
      <c r="X359" s="57">
        <f>'COMPOSIÇÃO DE CUSTOS'!G866</f>
        <v>1425.13</v>
      </c>
      <c r="Y359" s="334">
        <v>1676.61</v>
      </c>
      <c r="Z359" s="58">
        <f t="shared" si="95"/>
        <v>-251.49149999999986</v>
      </c>
      <c r="AA359" s="58">
        <f t="shared" si="96"/>
        <v>4275.3554999999997</v>
      </c>
      <c r="AB359" s="58"/>
      <c r="AC359" s="58">
        <f t="shared" si="97"/>
        <v>5421.57</v>
      </c>
      <c r="AD359" s="58" t="e">
        <f>IF(B359&lt;&gt;0,VLOOKUP(B359,#REF!,2,FALSE),"")</f>
        <v>#REF!</v>
      </c>
      <c r="AE359" s="2">
        <v>1</v>
      </c>
      <c r="AF359" s="55">
        <f t="shared" si="100"/>
        <v>-2</v>
      </c>
    </row>
    <row r="360" spans="1:32" ht="15" customHeight="1">
      <c r="A360" s="21" t="s">
        <v>954</v>
      </c>
      <c r="B360" s="20" t="s">
        <v>2149</v>
      </c>
      <c r="C360" s="19" t="s">
        <v>162</v>
      </c>
      <c r="D360" s="21" t="s">
        <v>70</v>
      </c>
      <c r="E360" s="21" t="s">
        <v>17</v>
      </c>
      <c r="F360" s="22">
        <v>1</v>
      </c>
      <c r="G360" s="22">
        <f t="shared" si="94"/>
        <v>206.97499999999999</v>
      </c>
      <c r="H360" s="22">
        <f t="shared" si="110"/>
        <v>262.45999999999998</v>
      </c>
      <c r="I360" s="147">
        <f t="shared" si="111"/>
        <v>262.45999999999998</v>
      </c>
      <c r="J360" s="148"/>
      <c r="K360" s="148"/>
      <c r="L360" s="148"/>
      <c r="M360" s="148">
        <v>230.57</v>
      </c>
      <c r="N360" s="148">
        <v>292.39</v>
      </c>
      <c r="O360" s="148">
        <v>292.39</v>
      </c>
      <c r="P360" s="494"/>
      <c r="Q360" s="147">
        <f t="shared" si="101"/>
        <v>0</v>
      </c>
      <c r="R360" s="148"/>
      <c r="S360" s="148">
        <f t="shared" si="102"/>
        <v>0</v>
      </c>
      <c r="T360" s="148">
        <f t="shared" si="112"/>
        <v>1</v>
      </c>
      <c r="U360" s="148">
        <f t="shared" si="109"/>
        <v>292.39</v>
      </c>
      <c r="V360" s="379"/>
      <c r="W360" s="379"/>
      <c r="X360" s="57">
        <f>'COMPOSIÇÃO DE CUSTOS'!G883</f>
        <v>206.98</v>
      </c>
      <c r="Y360" s="334">
        <v>243.5</v>
      </c>
      <c r="Z360" s="58">
        <f t="shared" si="95"/>
        <v>-36.525000000000006</v>
      </c>
      <c r="AA360" s="58">
        <f t="shared" si="96"/>
        <v>206.97499999999999</v>
      </c>
      <c r="AB360" s="58"/>
      <c r="AC360" s="58">
        <f t="shared" si="97"/>
        <v>262.45999999999998</v>
      </c>
      <c r="AD360" s="58" t="e">
        <f>IF(B360&lt;&gt;0,VLOOKUP(B360,#REF!,2,FALSE),"")</f>
        <v>#REF!</v>
      </c>
      <c r="AE360" s="2">
        <v>13</v>
      </c>
      <c r="AF360" s="55">
        <f t="shared" si="100"/>
        <v>12</v>
      </c>
    </row>
    <row r="361" spans="1:32">
      <c r="A361" s="21" t="s">
        <v>955</v>
      </c>
      <c r="B361" s="20" t="s">
        <v>2150</v>
      </c>
      <c r="C361" s="19" t="s">
        <v>163</v>
      </c>
      <c r="D361" s="21" t="s">
        <v>70</v>
      </c>
      <c r="E361" s="21" t="s">
        <v>26</v>
      </c>
      <c r="F361" s="22">
        <v>13</v>
      </c>
      <c r="G361" s="22">
        <f t="shared" si="94"/>
        <v>221.73950000000002</v>
      </c>
      <c r="H361" s="22">
        <f t="shared" si="110"/>
        <v>281.19</v>
      </c>
      <c r="I361" s="147">
        <f t="shared" si="111"/>
        <v>3655.47</v>
      </c>
      <c r="J361" s="148"/>
      <c r="K361" s="148"/>
      <c r="L361" s="148"/>
      <c r="M361" s="148">
        <v>247.02</v>
      </c>
      <c r="N361" s="148">
        <v>313.25</v>
      </c>
      <c r="O361" s="148">
        <v>4072.25</v>
      </c>
      <c r="P361" s="494"/>
      <c r="Q361" s="147">
        <f t="shared" si="101"/>
        <v>0</v>
      </c>
      <c r="R361" s="148"/>
      <c r="S361" s="148">
        <f t="shared" si="102"/>
        <v>0</v>
      </c>
      <c r="T361" s="148">
        <f t="shared" si="112"/>
        <v>13</v>
      </c>
      <c r="U361" s="148">
        <f t="shared" si="109"/>
        <v>4072.25</v>
      </c>
      <c r="V361" s="379"/>
      <c r="W361" s="379"/>
      <c r="X361" s="57">
        <f>'COMPOSIÇÃO DE CUSTOS'!G893</f>
        <v>221.74</v>
      </c>
      <c r="Y361" s="334">
        <v>260.87</v>
      </c>
      <c r="Z361" s="58">
        <f t="shared" si="95"/>
        <v>-39.130499999999984</v>
      </c>
      <c r="AA361" s="58">
        <f t="shared" si="96"/>
        <v>2882.6135000000004</v>
      </c>
      <c r="AB361" s="58"/>
      <c r="AC361" s="58">
        <f t="shared" si="97"/>
        <v>3655.47</v>
      </c>
      <c r="AD361" s="58" t="e">
        <f>IF(B361&lt;&gt;0,VLOOKUP(B361,#REF!,2,FALSE),"")</f>
        <v>#REF!</v>
      </c>
      <c r="AF361" s="55">
        <f t="shared" si="100"/>
        <v>-13</v>
      </c>
    </row>
    <row r="362" spans="1:32">
      <c r="A362" s="69" t="s">
        <v>956</v>
      </c>
      <c r="B362" s="129"/>
      <c r="C362" s="229" t="s">
        <v>164</v>
      </c>
      <c r="D362" s="230"/>
      <c r="E362" s="230"/>
      <c r="F362" s="230"/>
      <c r="G362" s="22"/>
      <c r="H362" s="230"/>
      <c r="I362" s="445"/>
      <c r="J362" s="440"/>
      <c r="K362" s="440"/>
      <c r="L362" s="440"/>
      <c r="M362" s="440"/>
      <c r="N362" s="440"/>
      <c r="O362" s="440"/>
      <c r="P362" s="492"/>
      <c r="Q362" s="147">
        <f t="shared" si="101"/>
        <v>0</v>
      </c>
      <c r="R362" s="148"/>
      <c r="S362" s="148">
        <f t="shared" si="102"/>
        <v>0</v>
      </c>
      <c r="T362" s="148" t="str">
        <f t="shared" si="112"/>
        <v xml:space="preserve"> </v>
      </c>
      <c r="U362" s="148">
        <f t="shared" si="109"/>
        <v>0</v>
      </c>
      <c r="V362" s="330"/>
      <c r="W362" s="330"/>
      <c r="X362" s="58" t="str">
        <f>IF(B362&lt;&gt;0,VLOOKUP(B362,#REF!,4,FALSE),"")</f>
        <v/>
      </c>
      <c r="Y362" s="334" t="s">
        <v>1891</v>
      </c>
      <c r="Z362" s="58"/>
      <c r="AA362" s="58">
        <f t="shared" si="96"/>
        <v>0</v>
      </c>
      <c r="AB362" s="58"/>
      <c r="AC362" s="58">
        <f t="shared" si="97"/>
        <v>0</v>
      </c>
      <c r="AD362" s="58" t="str">
        <f>IF(B362&lt;&gt;0,VLOOKUP(B362,#REF!,2,FALSE),"")</f>
        <v/>
      </c>
      <c r="AE362" s="2">
        <v>77</v>
      </c>
      <c r="AF362" s="55">
        <f t="shared" si="100"/>
        <v>77</v>
      </c>
    </row>
    <row r="363" spans="1:32" ht="45">
      <c r="A363" s="21" t="s">
        <v>957</v>
      </c>
      <c r="B363" s="20">
        <v>89865</v>
      </c>
      <c r="C363" s="19" t="s">
        <v>1653</v>
      </c>
      <c r="D363" s="21" t="s">
        <v>12</v>
      </c>
      <c r="E363" s="21" t="s">
        <v>52</v>
      </c>
      <c r="F363" s="22">
        <v>77</v>
      </c>
      <c r="G363" s="22">
        <f t="shared" si="94"/>
        <v>8.6870000000000012</v>
      </c>
      <c r="H363" s="22">
        <f>ROUND(G363*(1+$X$13),2)</f>
        <v>11.02</v>
      </c>
      <c r="I363" s="147">
        <f>ROUND(H363*F363,2)</f>
        <v>848.54</v>
      </c>
      <c r="J363" s="148"/>
      <c r="K363" s="148"/>
      <c r="L363" s="148"/>
      <c r="M363" s="148">
        <v>9.68</v>
      </c>
      <c r="N363" s="148">
        <v>12.28</v>
      </c>
      <c r="O363" s="148">
        <v>945.56</v>
      </c>
      <c r="P363" s="494"/>
      <c r="Q363" s="147">
        <f t="shared" si="101"/>
        <v>0</v>
      </c>
      <c r="R363" s="148"/>
      <c r="S363" s="148">
        <f t="shared" si="102"/>
        <v>0</v>
      </c>
      <c r="T363" s="148">
        <f t="shared" si="112"/>
        <v>77</v>
      </c>
      <c r="U363" s="148">
        <f t="shared" si="109"/>
        <v>945.56</v>
      </c>
      <c r="V363" s="379"/>
      <c r="W363" s="379"/>
      <c r="X363" s="58" t="e">
        <f>IF(B363&lt;&gt;0,VLOOKUP(B363,#REF!,4,FALSE),"")</f>
        <v>#REF!</v>
      </c>
      <c r="Y363" s="334" t="s">
        <v>1852</v>
      </c>
      <c r="Z363" s="58">
        <f t="shared" si="95"/>
        <v>-1.5329999999999995</v>
      </c>
      <c r="AA363" s="58">
        <f t="shared" si="96"/>
        <v>668.89900000000011</v>
      </c>
      <c r="AB363" s="58"/>
      <c r="AC363" s="58">
        <f t="shared" si="97"/>
        <v>848.54</v>
      </c>
      <c r="AD363" s="58" t="e">
        <f>IF(B363&lt;&gt;0,VLOOKUP(B363,#REF!,2,FALSE),"")</f>
        <v>#REF!</v>
      </c>
      <c r="AE363" s="2">
        <v>25</v>
      </c>
      <c r="AF363" s="55">
        <f t="shared" si="100"/>
        <v>-52</v>
      </c>
    </row>
    <row r="364" spans="1:32" ht="15" customHeight="1">
      <c r="A364" s="21" t="s">
        <v>958</v>
      </c>
      <c r="B364" s="20">
        <v>89868</v>
      </c>
      <c r="C364" s="19" t="s">
        <v>1654</v>
      </c>
      <c r="D364" s="21" t="s">
        <v>12</v>
      </c>
      <c r="E364" s="21" t="s">
        <v>17</v>
      </c>
      <c r="F364" s="22">
        <v>25</v>
      </c>
      <c r="G364" s="22">
        <f t="shared" ref="G364:G427" si="113">Y364-(Y364*$Z$14)</f>
        <v>2.5840000000000001</v>
      </c>
      <c r="H364" s="22">
        <f>ROUND(G364*(1+$X$13),2)</f>
        <v>3.28</v>
      </c>
      <c r="I364" s="147">
        <f>ROUND(H364*F364,2)</f>
        <v>82</v>
      </c>
      <c r="J364" s="148"/>
      <c r="K364" s="148"/>
      <c r="L364" s="148"/>
      <c r="M364" s="148">
        <v>2.88</v>
      </c>
      <c r="N364" s="148">
        <v>3.65</v>
      </c>
      <c r="O364" s="148">
        <v>91.25</v>
      </c>
      <c r="P364" s="494"/>
      <c r="Q364" s="147">
        <f t="shared" si="101"/>
        <v>0</v>
      </c>
      <c r="R364" s="148"/>
      <c r="S364" s="148">
        <f t="shared" si="102"/>
        <v>0</v>
      </c>
      <c r="T364" s="148">
        <f t="shared" si="112"/>
        <v>25</v>
      </c>
      <c r="U364" s="148">
        <f t="shared" si="109"/>
        <v>91.25</v>
      </c>
      <c r="V364" s="379"/>
      <c r="W364" s="379"/>
      <c r="X364" s="58" t="e">
        <f>IF(B364&lt;&gt;0,VLOOKUP(B364,#REF!,4,FALSE),"")</f>
        <v>#REF!</v>
      </c>
      <c r="Y364" s="334" t="s">
        <v>1841</v>
      </c>
      <c r="Z364" s="58">
        <f t="shared" ref="Z364:Z427" si="114">G364-Y364</f>
        <v>-0.45599999999999996</v>
      </c>
      <c r="AA364" s="58">
        <f t="shared" ref="AA364:AA427" si="115">F364*G364</f>
        <v>64.600000000000009</v>
      </c>
      <c r="AB364" s="58"/>
      <c r="AC364" s="58">
        <f t="shared" ref="AC364:AC427" si="116">F364*H364</f>
        <v>82</v>
      </c>
      <c r="AD364" s="58" t="e">
        <f>IF(B364&lt;&gt;0,VLOOKUP(B364,#REF!,2,FALSE),"")</f>
        <v>#REF!</v>
      </c>
      <c r="AE364" s="2">
        <v>96</v>
      </c>
      <c r="AF364" s="55">
        <f t="shared" si="100"/>
        <v>71</v>
      </c>
    </row>
    <row r="365" spans="1:32" s="55" customFormat="1" ht="15" customHeight="1">
      <c r="A365" s="21" t="s">
        <v>959</v>
      </c>
      <c r="B365" s="20">
        <v>89866</v>
      </c>
      <c r="C365" s="19" t="s">
        <v>1655</v>
      </c>
      <c r="D365" s="21" t="s">
        <v>12</v>
      </c>
      <c r="E365" s="21" t="s">
        <v>17</v>
      </c>
      <c r="F365" s="22">
        <v>96</v>
      </c>
      <c r="G365" s="22">
        <f t="shared" si="113"/>
        <v>3.3149999999999999</v>
      </c>
      <c r="H365" s="22">
        <f>ROUND(G365*(1+$X$13),2)</f>
        <v>4.2</v>
      </c>
      <c r="I365" s="147">
        <f>ROUND(H365*F365,2)</f>
        <v>403.2</v>
      </c>
      <c r="J365" s="148"/>
      <c r="K365" s="148"/>
      <c r="L365" s="148"/>
      <c r="M365" s="148">
        <v>3.69</v>
      </c>
      <c r="N365" s="148">
        <v>4.68</v>
      </c>
      <c r="O365" s="148">
        <v>449.28</v>
      </c>
      <c r="P365" s="494"/>
      <c r="Q365" s="147">
        <f t="shared" si="101"/>
        <v>0</v>
      </c>
      <c r="R365" s="148"/>
      <c r="S365" s="148">
        <f t="shared" si="102"/>
        <v>0</v>
      </c>
      <c r="T365" s="148">
        <f t="shared" si="112"/>
        <v>96</v>
      </c>
      <c r="U365" s="148">
        <f t="shared" si="109"/>
        <v>449.28</v>
      </c>
      <c r="V365" s="379"/>
      <c r="W365" s="379"/>
      <c r="X365" s="58" t="e">
        <f>IF(B365&lt;&gt;0,VLOOKUP(B365,#REF!,4,FALSE),"")</f>
        <v>#REF!</v>
      </c>
      <c r="Y365" s="334" t="s">
        <v>3030</v>
      </c>
      <c r="Z365" s="58">
        <f t="shared" si="114"/>
        <v>-0.58499999999999996</v>
      </c>
      <c r="AA365" s="58">
        <f t="shared" si="115"/>
        <v>318.24</v>
      </c>
      <c r="AB365" s="58"/>
      <c r="AC365" s="58">
        <f t="shared" si="116"/>
        <v>403.20000000000005</v>
      </c>
      <c r="AD365" s="58" t="e">
        <f>IF(B365&lt;&gt;0,VLOOKUP(B365,#REF!,2,FALSE),"")</f>
        <v>#REF!</v>
      </c>
      <c r="AE365" s="55">
        <v>27</v>
      </c>
      <c r="AF365" s="55">
        <f t="shared" si="100"/>
        <v>-69</v>
      </c>
    </row>
    <row r="366" spans="1:32" s="38" customFormat="1" ht="45">
      <c r="A366" s="21" t="s">
        <v>960</v>
      </c>
      <c r="B366" s="20">
        <v>89869</v>
      </c>
      <c r="C366" s="19" t="s">
        <v>1656</v>
      </c>
      <c r="D366" s="21" t="s">
        <v>12</v>
      </c>
      <c r="E366" s="21" t="s">
        <v>17</v>
      </c>
      <c r="F366" s="22">
        <v>27</v>
      </c>
      <c r="G366" s="22">
        <f t="shared" si="113"/>
        <v>5.4485000000000001</v>
      </c>
      <c r="H366" s="22">
        <f>ROUND(G366*(1+$X$13),2)</f>
        <v>6.91</v>
      </c>
      <c r="I366" s="147">
        <f>ROUND(H366*F366,2)</f>
        <v>186.57</v>
      </c>
      <c r="J366" s="148"/>
      <c r="K366" s="148"/>
      <c r="L366" s="148"/>
      <c r="M366" s="148">
        <v>6.07</v>
      </c>
      <c r="N366" s="148">
        <v>7.7</v>
      </c>
      <c r="O366" s="148">
        <v>207.9</v>
      </c>
      <c r="P366" s="494"/>
      <c r="Q366" s="147">
        <f t="shared" si="101"/>
        <v>0</v>
      </c>
      <c r="R366" s="148"/>
      <c r="S366" s="148">
        <f t="shared" si="102"/>
        <v>0</v>
      </c>
      <c r="T366" s="148">
        <f t="shared" si="112"/>
        <v>27</v>
      </c>
      <c r="U366" s="148">
        <f t="shared" si="109"/>
        <v>207.9</v>
      </c>
      <c r="V366" s="379"/>
      <c r="W366" s="379"/>
      <c r="X366" s="58" t="e">
        <f>IF(B366&lt;&gt;0,VLOOKUP(B366,#REF!,4,FALSE),"")</f>
        <v>#REF!</v>
      </c>
      <c r="Y366" s="334" t="s">
        <v>1910</v>
      </c>
      <c r="Z366" s="58">
        <f t="shared" si="114"/>
        <v>-0.96150000000000002</v>
      </c>
      <c r="AA366" s="58">
        <f t="shared" si="115"/>
        <v>147.1095</v>
      </c>
      <c r="AB366" s="58"/>
      <c r="AC366" s="58">
        <f t="shared" si="116"/>
        <v>186.57</v>
      </c>
      <c r="AD366" s="58" t="e">
        <f>IF(B366&lt;&gt;0,VLOOKUP(B366,#REF!,2,FALSE),"")</f>
        <v>#REF!</v>
      </c>
      <c r="AF366" s="55">
        <f t="shared" si="100"/>
        <v>-27</v>
      </c>
    </row>
    <row r="367" spans="1:32" s="55" customFormat="1">
      <c r="A367" s="21"/>
      <c r="B367" s="20"/>
      <c r="C367" s="19"/>
      <c r="D367" s="21"/>
      <c r="E367" s="21"/>
      <c r="F367" s="22"/>
      <c r="G367" s="22"/>
      <c r="H367" s="22"/>
      <c r="I367" s="147"/>
      <c r="J367" s="148"/>
      <c r="K367" s="148"/>
      <c r="L367" s="148"/>
      <c r="M367" s="148"/>
      <c r="N367" s="148"/>
      <c r="O367" s="148"/>
      <c r="P367" s="494"/>
      <c r="Q367" s="147"/>
      <c r="R367" s="148"/>
      <c r="S367" s="148"/>
      <c r="T367" s="148" t="str">
        <f t="shared" si="112"/>
        <v xml:space="preserve"> </v>
      </c>
      <c r="U367" s="148"/>
      <c r="V367" s="379"/>
      <c r="W367" s="379"/>
      <c r="X367" s="58" t="str">
        <f>IF(B367&lt;&gt;0,VLOOKUP(B367,#REF!,4,FALSE),"")</f>
        <v/>
      </c>
      <c r="Y367" s="334" t="s">
        <v>1891</v>
      </c>
      <c r="Z367" s="58"/>
      <c r="AA367" s="58">
        <f t="shared" si="115"/>
        <v>0</v>
      </c>
      <c r="AB367" s="58"/>
      <c r="AC367" s="58">
        <f t="shared" si="116"/>
        <v>0</v>
      </c>
      <c r="AD367" s="58" t="str">
        <f>IF(B367&lt;&gt;0,VLOOKUP(B367,#REF!,2,FALSE),"")</f>
        <v/>
      </c>
      <c r="AF367" s="55">
        <f t="shared" si="100"/>
        <v>0</v>
      </c>
    </row>
    <row r="368" spans="1:32" s="55" customFormat="1" ht="28.5">
      <c r="A368" s="69" t="s">
        <v>961</v>
      </c>
      <c r="B368" s="129"/>
      <c r="C368" s="229" t="s">
        <v>165</v>
      </c>
      <c r="D368" s="230"/>
      <c r="E368" s="230"/>
      <c r="F368" s="230"/>
      <c r="G368" s="22"/>
      <c r="H368" s="230"/>
      <c r="I368" s="445">
        <f>SUM(I371:I403)</f>
        <v>118400.20999999996</v>
      </c>
      <c r="J368" s="440"/>
      <c r="K368" s="440"/>
      <c r="L368" s="440"/>
      <c r="M368" s="440"/>
      <c r="N368" s="440"/>
      <c r="O368" s="440">
        <v>104283.97000000002</v>
      </c>
      <c r="P368" s="492"/>
      <c r="Q368" s="445">
        <f>SUM(Q371:Q403)</f>
        <v>0</v>
      </c>
      <c r="R368" s="440"/>
      <c r="S368" s="440">
        <f>SUM(S371:S403)</f>
        <v>0</v>
      </c>
      <c r="T368" s="148" t="str">
        <f t="shared" si="112"/>
        <v xml:space="preserve"> </v>
      </c>
      <c r="U368" s="440">
        <f t="shared" si="109"/>
        <v>104283.97000000002</v>
      </c>
      <c r="V368" s="330"/>
      <c r="W368" s="330"/>
      <c r="X368" s="58" t="str">
        <f>IF(B368&lt;&gt;0,VLOOKUP(B368,#REF!,4,FALSE),"")</f>
        <v/>
      </c>
      <c r="Y368" s="334" t="s">
        <v>1891</v>
      </c>
      <c r="Z368" s="58"/>
      <c r="AA368" s="58">
        <f t="shared" si="115"/>
        <v>0</v>
      </c>
      <c r="AB368" s="58"/>
      <c r="AC368" s="58">
        <f t="shared" si="116"/>
        <v>0</v>
      </c>
      <c r="AD368" s="58" t="str">
        <f>IF(B368&lt;&gt;0,VLOOKUP(B368,#REF!,2,FALSE),"")</f>
        <v/>
      </c>
      <c r="AF368" s="55">
        <f t="shared" si="100"/>
        <v>0</v>
      </c>
    </row>
    <row r="369" spans="1:32" s="55" customFormat="1">
      <c r="A369" s="69" t="s">
        <v>962</v>
      </c>
      <c r="B369" s="129"/>
      <c r="C369" s="229" t="s">
        <v>166</v>
      </c>
      <c r="D369" s="230"/>
      <c r="E369" s="230"/>
      <c r="F369" s="230"/>
      <c r="G369" s="22"/>
      <c r="H369" s="230"/>
      <c r="I369" s="445"/>
      <c r="J369" s="440"/>
      <c r="K369" s="440"/>
      <c r="L369" s="440"/>
      <c r="M369" s="440"/>
      <c r="N369" s="440"/>
      <c r="O369" s="440"/>
      <c r="P369" s="492"/>
      <c r="Q369" s="445"/>
      <c r="R369" s="440"/>
      <c r="S369" s="440"/>
      <c r="T369" s="148" t="str">
        <f t="shared" si="112"/>
        <v xml:space="preserve"> </v>
      </c>
      <c r="U369" s="148"/>
      <c r="V369" s="330"/>
      <c r="W369" s="330"/>
      <c r="X369" s="58" t="str">
        <f>IF(B369&lt;&gt;0,VLOOKUP(B369,#REF!,4,FALSE),"")</f>
        <v/>
      </c>
      <c r="Y369" s="334" t="s">
        <v>1891</v>
      </c>
      <c r="Z369" s="58"/>
      <c r="AA369" s="58">
        <f t="shared" si="115"/>
        <v>0</v>
      </c>
      <c r="AB369" s="58"/>
      <c r="AC369" s="58">
        <f t="shared" si="116"/>
        <v>0</v>
      </c>
      <c r="AD369" s="58" t="str">
        <f>IF(B369&lt;&gt;0,VLOOKUP(B369,#REF!,2,FALSE),"")</f>
        <v/>
      </c>
      <c r="AF369" s="55">
        <f t="shared" si="100"/>
        <v>0</v>
      </c>
    </row>
    <row r="370" spans="1:32" s="55" customFormat="1">
      <c r="A370" s="69" t="s">
        <v>963</v>
      </c>
      <c r="B370" s="129"/>
      <c r="C370" s="229" t="s">
        <v>167</v>
      </c>
      <c r="D370" s="230"/>
      <c r="E370" s="230"/>
      <c r="F370" s="230"/>
      <c r="G370" s="22"/>
      <c r="H370" s="230"/>
      <c r="I370" s="445"/>
      <c r="J370" s="440"/>
      <c r="K370" s="440"/>
      <c r="L370" s="440"/>
      <c r="M370" s="440"/>
      <c r="N370" s="440"/>
      <c r="O370" s="440"/>
      <c r="P370" s="492"/>
      <c r="Q370" s="445"/>
      <c r="R370" s="440"/>
      <c r="S370" s="440"/>
      <c r="T370" s="148" t="str">
        <f t="shared" si="112"/>
        <v xml:space="preserve"> </v>
      </c>
      <c r="U370" s="148"/>
      <c r="V370" s="330"/>
      <c r="W370" s="330"/>
      <c r="X370" s="58" t="str">
        <f>IF(B370&lt;&gt;0,VLOOKUP(B370,#REF!,4,FALSE),"")</f>
        <v/>
      </c>
      <c r="Y370" s="334" t="s">
        <v>1891</v>
      </c>
      <c r="Z370" s="58"/>
      <c r="AA370" s="58">
        <f t="shared" si="115"/>
        <v>0</v>
      </c>
      <c r="AB370" s="58"/>
      <c r="AC370" s="58">
        <f t="shared" si="116"/>
        <v>0</v>
      </c>
      <c r="AD370" s="58" t="str">
        <f>IF(B370&lt;&gt;0,VLOOKUP(B370,#REF!,2,FALSE),"")</f>
        <v/>
      </c>
      <c r="AE370" s="55">
        <v>85</v>
      </c>
      <c r="AF370" s="55">
        <f t="shared" si="100"/>
        <v>85</v>
      </c>
    </row>
    <row r="371" spans="1:32" s="55" customFormat="1" ht="60">
      <c r="A371" s="21" t="s">
        <v>964</v>
      </c>
      <c r="B371" s="20">
        <v>92336</v>
      </c>
      <c r="C371" s="19" t="s">
        <v>1657</v>
      </c>
      <c r="D371" s="21" t="s">
        <v>12</v>
      </c>
      <c r="E371" s="21" t="s">
        <v>52</v>
      </c>
      <c r="F371" s="22">
        <v>85</v>
      </c>
      <c r="G371" s="22">
        <f t="shared" si="113"/>
        <v>105.9525</v>
      </c>
      <c r="H371" s="22">
        <f t="shared" ref="H371:H384" si="117">ROUND(G371*(1+$X$13),2)</f>
        <v>134.36000000000001</v>
      </c>
      <c r="I371" s="147">
        <f t="shared" ref="I371:I384" si="118">ROUND(H371*F371,2)</f>
        <v>11420.6</v>
      </c>
      <c r="J371" s="148"/>
      <c r="K371" s="148"/>
      <c r="L371" s="148"/>
      <c r="M371" s="148">
        <v>118.03</v>
      </c>
      <c r="N371" s="148">
        <v>149.66999999999999</v>
      </c>
      <c r="O371" s="148">
        <v>12721.95</v>
      </c>
      <c r="P371" s="494"/>
      <c r="Q371" s="147">
        <f t="shared" ref="Q371:Q434" si="119">ROUND(P371*N371,2)</f>
        <v>0</v>
      </c>
      <c r="R371" s="148"/>
      <c r="S371" s="148">
        <f>ROUND(R371*N371,2)</f>
        <v>0</v>
      </c>
      <c r="T371" s="148">
        <f t="shared" si="112"/>
        <v>85</v>
      </c>
      <c r="U371" s="148">
        <f t="shared" si="109"/>
        <v>12721.95</v>
      </c>
      <c r="V371" s="379"/>
      <c r="W371" s="379"/>
      <c r="X371" s="58" t="e">
        <f>IF(B371&lt;&gt;0,VLOOKUP(B371,#REF!,4,FALSE),"")</f>
        <v>#REF!</v>
      </c>
      <c r="Y371" s="334" t="s">
        <v>3276</v>
      </c>
      <c r="Z371" s="58">
        <f t="shared" si="114"/>
        <v>-18.697500000000005</v>
      </c>
      <c r="AA371" s="58">
        <f t="shared" si="115"/>
        <v>9005.9624999999996</v>
      </c>
      <c r="AB371" s="58"/>
      <c r="AC371" s="58">
        <f t="shared" si="116"/>
        <v>11420.6</v>
      </c>
      <c r="AD371" s="58" t="e">
        <f>IF(B371&lt;&gt;0,VLOOKUP(B371,#REF!,2,FALSE),"")</f>
        <v>#REF!</v>
      </c>
      <c r="AE371" s="55">
        <v>77</v>
      </c>
      <c r="AF371" s="55">
        <f t="shared" si="100"/>
        <v>-8</v>
      </c>
    </row>
    <row r="372" spans="1:32" s="55" customFormat="1" ht="60">
      <c r="A372" s="21" t="s">
        <v>965</v>
      </c>
      <c r="B372" s="20" t="s">
        <v>2152</v>
      </c>
      <c r="C372" s="19" t="s">
        <v>168</v>
      </c>
      <c r="D372" s="21" t="s">
        <v>1914</v>
      </c>
      <c r="E372" s="21" t="s">
        <v>52</v>
      </c>
      <c r="F372" s="22">
        <v>77</v>
      </c>
      <c r="G372" s="22">
        <f t="shared" si="113"/>
        <v>139.81650000000002</v>
      </c>
      <c r="H372" s="22">
        <f t="shared" si="117"/>
        <v>177.3</v>
      </c>
      <c r="I372" s="147">
        <f t="shared" si="118"/>
        <v>13652.1</v>
      </c>
      <c r="J372" s="148"/>
      <c r="K372" s="148"/>
      <c r="L372" s="148"/>
      <c r="M372" s="148">
        <v>155.76</v>
      </c>
      <c r="N372" s="148">
        <v>197.52</v>
      </c>
      <c r="O372" s="148">
        <v>15209.04</v>
      </c>
      <c r="P372" s="494"/>
      <c r="Q372" s="147">
        <f t="shared" si="119"/>
        <v>0</v>
      </c>
      <c r="R372" s="148"/>
      <c r="S372" s="148">
        <f t="shared" ref="S372:S403" si="120">ROUND(R372*N372,2)</f>
        <v>0</v>
      </c>
      <c r="T372" s="148">
        <f t="shared" si="112"/>
        <v>77</v>
      </c>
      <c r="U372" s="148">
        <f t="shared" si="109"/>
        <v>15209.04</v>
      </c>
      <c r="V372" s="379"/>
      <c r="W372" s="379"/>
      <c r="X372" s="57">
        <f>'COMPOSIÇÃO DE CUSTOS'!G901</f>
        <v>139.81</v>
      </c>
      <c r="Y372" s="334">
        <v>164.49</v>
      </c>
      <c r="Z372" s="58">
        <f t="shared" si="114"/>
        <v>-24.67349999999999</v>
      </c>
      <c r="AA372" s="58">
        <f t="shared" si="115"/>
        <v>10765.870500000001</v>
      </c>
      <c r="AB372" s="58"/>
      <c r="AC372" s="58">
        <f t="shared" si="116"/>
        <v>13652.1</v>
      </c>
      <c r="AD372" s="58" t="e">
        <f>IF(B372&lt;&gt;0,VLOOKUP(B372,#REF!,2,FALSE),"")</f>
        <v>#REF!</v>
      </c>
      <c r="AE372" s="55">
        <v>4</v>
      </c>
      <c r="AF372" s="55">
        <f t="shared" si="100"/>
        <v>-73</v>
      </c>
    </row>
    <row r="373" spans="1:32" ht="72.75" customHeight="1">
      <c r="A373" s="21" t="s">
        <v>966</v>
      </c>
      <c r="B373" s="20">
        <v>92335</v>
      </c>
      <c r="C373" s="19" t="s">
        <v>1658</v>
      </c>
      <c r="D373" s="21" t="s">
        <v>12</v>
      </c>
      <c r="E373" s="21" t="s">
        <v>52</v>
      </c>
      <c r="F373" s="22">
        <v>4</v>
      </c>
      <c r="G373" s="22">
        <f t="shared" si="113"/>
        <v>85.875500000000002</v>
      </c>
      <c r="H373" s="22">
        <f t="shared" si="117"/>
        <v>108.9</v>
      </c>
      <c r="I373" s="147">
        <f t="shared" si="118"/>
        <v>435.6</v>
      </c>
      <c r="J373" s="148"/>
      <c r="K373" s="148"/>
      <c r="L373" s="148"/>
      <c r="M373" s="148">
        <v>95.67</v>
      </c>
      <c r="N373" s="148">
        <v>121.32</v>
      </c>
      <c r="O373" s="148">
        <v>485.28</v>
      </c>
      <c r="P373" s="494"/>
      <c r="Q373" s="147">
        <f t="shared" si="119"/>
        <v>0</v>
      </c>
      <c r="R373" s="148"/>
      <c r="S373" s="148">
        <f t="shared" si="120"/>
        <v>0</v>
      </c>
      <c r="T373" s="148">
        <f t="shared" si="112"/>
        <v>4</v>
      </c>
      <c r="U373" s="148">
        <f t="shared" si="109"/>
        <v>485.28</v>
      </c>
      <c r="V373" s="379"/>
      <c r="W373" s="379"/>
      <c r="X373" s="57" t="e">
        <f>IF(B373&lt;&gt;0,VLOOKUP(B373,#REF!,4,FALSE),"")</f>
        <v>#REF!</v>
      </c>
      <c r="Y373" s="334" t="s">
        <v>3275</v>
      </c>
      <c r="Z373" s="58">
        <f t="shared" si="114"/>
        <v>-15.154499999999999</v>
      </c>
      <c r="AA373" s="58">
        <f t="shared" si="115"/>
        <v>343.50200000000001</v>
      </c>
      <c r="AB373" s="58"/>
      <c r="AC373" s="58">
        <f t="shared" si="116"/>
        <v>435.6</v>
      </c>
      <c r="AD373" s="58" t="e">
        <f>IF(B373&lt;&gt;0,VLOOKUP(B373,#REF!,2,FALSE),"")</f>
        <v>#REF!</v>
      </c>
      <c r="AE373" s="2">
        <v>26</v>
      </c>
      <c r="AF373" s="55">
        <f t="shared" si="100"/>
        <v>22</v>
      </c>
    </row>
    <row r="374" spans="1:32" ht="60">
      <c r="A374" s="21" t="s">
        <v>967</v>
      </c>
      <c r="B374" s="20" t="s">
        <v>2166</v>
      </c>
      <c r="C374" s="19" t="s">
        <v>169</v>
      </c>
      <c r="D374" s="21" t="s">
        <v>1914</v>
      </c>
      <c r="E374" s="21" t="s">
        <v>52</v>
      </c>
      <c r="F374" s="22">
        <v>26</v>
      </c>
      <c r="G374" s="22">
        <f t="shared" si="113"/>
        <v>61.676000000000002</v>
      </c>
      <c r="H374" s="22">
        <f t="shared" si="117"/>
        <v>78.209999999999994</v>
      </c>
      <c r="I374" s="147">
        <f t="shared" si="118"/>
        <v>2033.46</v>
      </c>
      <c r="J374" s="148"/>
      <c r="K374" s="148"/>
      <c r="L374" s="148"/>
      <c r="M374" s="148">
        <v>68.709999999999994</v>
      </c>
      <c r="N374" s="148">
        <v>87.13</v>
      </c>
      <c r="O374" s="148">
        <v>2265.38</v>
      </c>
      <c r="P374" s="494"/>
      <c r="Q374" s="147">
        <f t="shared" si="119"/>
        <v>0</v>
      </c>
      <c r="R374" s="148"/>
      <c r="S374" s="148">
        <f t="shared" si="120"/>
        <v>0</v>
      </c>
      <c r="T374" s="148">
        <f t="shared" si="112"/>
        <v>26</v>
      </c>
      <c r="U374" s="148">
        <f t="shared" si="109"/>
        <v>2265.38</v>
      </c>
      <c r="V374" s="379"/>
      <c r="W374" s="379"/>
      <c r="X374" s="57">
        <f>'COMPOSIÇÃO DE CUSTOS'!G909</f>
        <v>61.67</v>
      </c>
      <c r="Y374" s="334">
        <v>72.56</v>
      </c>
      <c r="Z374" s="58">
        <f t="shared" si="114"/>
        <v>-10.884</v>
      </c>
      <c r="AA374" s="58">
        <f t="shared" si="115"/>
        <v>1603.576</v>
      </c>
      <c r="AB374" s="58"/>
      <c r="AC374" s="58">
        <f t="shared" si="116"/>
        <v>2033.4599999999998</v>
      </c>
      <c r="AD374" s="58" t="e">
        <f>IF(B374&lt;&gt;0,VLOOKUP(B374,#REF!,2,FALSE),"")</f>
        <v>#REF!</v>
      </c>
      <c r="AE374" s="2">
        <v>13</v>
      </c>
      <c r="AF374" s="55">
        <f t="shared" si="100"/>
        <v>-13</v>
      </c>
    </row>
    <row r="375" spans="1:32" ht="60">
      <c r="A375" s="21" t="s">
        <v>968</v>
      </c>
      <c r="B375" s="20" t="s">
        <v>2167</v>
      </c>
      <c r="C375" s="19" t="s">
        <v>170</v>
      </c>
      <c r="D375" s="21" t="s">
        <v>1914</v>
      </c>
      <c r="E375" s="21" t="s">
        <v>52</v>
      </c>
      <c r="F375" s="22">
        <v>13</v>
      </c>
      <c r="G375" s="22">
        <f t="shared" si="113"/>
        <v>54.06</v>
      </c>
      <c r="H375" s="22">
        <f t="shared" si="117"/>
        <v>68.55</v>
      </c>
      <c r="I375" s="147">
        <f t="shared" si="118"/>
        <v>891.15</v>
      </c>
      <c r="J375" s="148"/>
      <c r="K375" s="148"/>
      <c r="L375" s="148"/>
      <c r="M375" s="148">
        <v>60.22</v>
      </c>
      <c r="N375" s="148">
        <v>76.36</v>
      </c>
      <c r="O375" s="148">
        <v>992.68</v>
      </c>
      <c r="P375" s="494"/>
      <c r="Q375" s="147">
        <f t="shared" si="119"/>
        <v>0</v>
      </c>
      <c r="R375" s="148"/>
      <c r="S375" s="148">
        <f t="shared" si="120"/>
        <v>0</v>
      </c>
      <c r="T375" s="148">
        <f t="shared" si="112"/>
        <v>13</v>
      </c>
      <c r="U375" s="148">
        <f t="shared" si="109"/>
        <v>992.68</v>
      </c>
      <c r="V375" s="379"/>
      <c r="W375" s="379"/>
      <c r="X375" s="57">
        <f>'COMPOSIÇÃO DE CUSTOS'!G916</f>
        <v>54.06</v>
      </c>
      <c r="Y375" s="334">
        <v>63.6</v>
      </c>
      <c r="Z375" s="58">
        <f t="shared" si="114"/>
        <v>-9.5399999999999991</v>
      </c>
      <c r="AA375" s="58">
        <f t="shared" si="115"/>
        <v>702.78</v>
      </c>
      <c r="AB375" s="58"/>
      <c r="AC375" s="58">
        <f t="shared" si="116"/>
        <v>891.15</v>
      </c>
      <c r="AD375" s="58" t="e">
        <f>IF(B375&lt;&gt;0,VLOOKUP(B375,#REF!,2,FALSE),"")</f>
        <v>#REF!</v>
      </c>
      <c r="AE375" s="2">
        <v>43</v>
      </c>
      <c r="AF375" s="55">
        <f t="shared" si="100"/>
        <v>30</v>
      </c>
    </row>
    <row r="376" spans="1:32" ht="60">
      <c r="A376" s="21" t="s">
        <v>969</v>
      </c>
      <c r="B376" s="20" t="s">
        <v>2164</v>
      </c>
      <c r="C376" s="19" t="s">
        <v>171</v>
      </c>
      <c r="D376" s="21" t="s">
        <v>1914</v>
      </c>
      <c r="E376" s="21" t="s">
        <v>52</v>
      </c>
      <c r="F376" s="22">
        <v>43</v>
      </c>
      <c r="G376" s="22">
        <f t="shared" si="113"/>
        <v>44.302</v>
      </c>
      <c r="H376" s="22">
        <f t="shared" si="117"/>
        <v>56.18</v>
      </c>
      <c r="I376" s="147">
        <f t="shared" si="118"/>
        <v>2415.7399999999998</v>
      </c>
      <c r="J376" s="148"/>
      <c r="K376" s="148"/>
      <c r="L376" s="148"/>
      <c r="M376" s="148">
        <v>49.35</v>
      </c>
      <c r="N376" s="148">
        <v>62.58</v>
      </c>
      <c r="O376" s="148">
        <v>2690.94</v>
      </c>
      <c r="P376" s="494"/>
      <c r="Q376" s="147">
        <f t="shared" si="119"/>
        <v>0</v>
      </c>
      <c r="R376" s="148"/>
      <c r="S376" s="148">
        <f t="shared" si="120"/>
        <v>0</v>
      </c>
      <c r="T376" s="148">
        <f t="shared" si="112"/>
        <v>43</v>
      </c>
      <c r="U376" s="148">
        <f t="shared" si="109"/>
        <v>2690.94</v>
      </c>
      <c r="V376" s="379"/>
      <c r="W376" s="379"/>
      <c r="X376" s="57">
        <f>'COMPOSIÇÃO DE CUSTOS'!G923</f>
        <v>44.3</v>
      </c>
      <c r="Y376" s="334">
        <v>52.12</v>
      </c>
      <c r="Z376" s="58">
        <f t="shared" si="114"/>
        <v>-7.8179999999999978</v>
      </c>
      <c r="AA376" s="58">
        <f t="shared" si="115"/>
        <v>1904.9859999999999</v>
      </c>
      <c r="AB376" s="58"/>
      <c r="AC376" s="58">
        <f t="shared" si="116"/>
        <v>2415.7399999999998</v>
      </c>
      <c r="AD376" s="58" t="e">
        <f>IF(B376&lt;&gt;0,VLOOKUP(B376,#REF!,2,FALSE),"")</f>
        <v>#REF!</v>
      </c>
      <c r="AE376" s="2">
        <v>26</v>
      </c>
      <c r="AF376" s="55">
        <f t="shared" si="100"/>
        <v>-17</v>
      </c>
    </row>
    <row r="377" spans="1:32" ht="60">
      <c r="A377" s="21" t="s">
        <v>970</v>
      </c>
      <c r="B377" s="20" t="s">
        <v>2165</v>
      </c>
      <c r="C377" s="19" t="s">
        <v>172</v>
      </c>
      <c r="D377" s="21" t="s">
        <v>1914</v>
      </c>
      <c r="E377" s="21" t="s">
        <v>52</v>
      </c>
      <c r="F377" s="22">
        <v>26</v>
      </c>
      <c r="G377" s="22">
        <f t="shared" si="113"/>
        <v>190.58699999999999</v>
      </c>
      <c r="H377" s="22">
        <f t="shared" si="117"/>
        <v>241.68</v>
      </c>
      <c r="I377" s="147">
        <f t="shared" si="118"/>
        <v>6283.68</v>
      </c>
      <c r="J377" s="148"/>
      <c r="K377" s="148"/>
      <c r="L377" s="148"/>
      <c r="M377" s="148">
        <v>212.32</v>
      </c>
      <c r="N377" s="148">
        <v>269.24</v>
      </c>
      <c r="O377" s="148">
        <v>7000.24</v>
      </c>
      <c r="P377" s="494"/>
      <c r="Q377" s="147">
        <f t="shared" si="119"/>
        <v>0</v>
      </c>
      <c r="R377" s="148"/>
      <c r="S377" s="148">
        <f t="shared" si="120"/>
        <v>0</v>
      </c>
      <c r="T377" s="148">
        <f t="shared" si="112"/>
        <v>26</v>
      </c>
      <c r="U377" s="148">
        <f t="shared" si="109"/>
        <v>7000.24</v>
      </c>
      <c r="V377" s="379"/>
      <c r="W377" s="379"/>
      <c r="X377" s="57">
        <f>'COMPOSIÇÃO DE CUSTOS'!G930</f>
        <v>190.58</v>
      </c>
      <c r="Y377" s="334">
        <v>224.22</v>
      </c>
      <c r="Z377" s="58">
        <f t="shared" si="114"/>
        <v>-33.63300000000001</v>
      </c>
      <c r="AA377" s="58">
        <f t="shared" si="115"/>
        <v>4955.2619999999997</v>
      </c>
      <c r="AB377" s="58"/>
      <c r="AC377" s="58">
        <f t="shared" si="116"/>
        <v>6283.68</v>
      </c>
      <c r="AD377" s="58" t="e">
        <f>IF(B377&lt;&gt;0,VLOOKUP(B377,#REF!,2,FALSE),"")</f>
        <v>#REF!</v>
      </c>
      <c r="AE377" s="2">
        <v>13</v>
      </c>
      <c r="AF377" s="55">
        <f t="shared" si="100"/>
        <v>-13</v>
      </c>
    </row>
    <row r="378" spans="1:32" ht="84.75" customHeight="1">
      <c r="A378" s="21" t="s">
        <v>971</v>
      </c>
      <c r="B378" s="20" t="s">
        <v>2163</v>
      </c>
      <c r="C378" s="19" t="s">
        <v>173</v>
      </c>
      <c r="D378" s="21" t="s">
        <v>1914</v>
      </c>
      <c r="E378" s="21" t="s">
        <v>17</v>
      </c>
      <c r="F378" s="22">
        <v>13</v>
      </c>
      <c r="G378" s="22">
        <f t="shared" si="113"/>
        <v>25.219500000000004</v>
      </c>
      <c r="H378" s="22">
        <f t="shared" si="117"/>
        <v>31.98</v>
      </c>
      <c r="I378" s="147">
        <f t="shared" si="118"/>
        <v>415.74</v>
      </c>
      <c r="J378" s="148"/>
      <c r="K378" s="148"/>
      <c r="L378" s="148"/>
      <c r="M378" s="148">
        <v>28.09</v>
      </c>
      <c r="N378" s="148">
        <v>35.619999999999997</v>
      </c>
      <c r="O378" s="148">
        <v>463.06</v>
      </c>
      <c r="P378" s="494"/>
      <c r="Q378" s="147">
        <f t="shared" si="119"/>
        <v>0</v>
      </c>
      <c r="R378" s="148"/>
      <c r="S378" s="148">
        <f t="shared" si="120"/>
        <v>0</v>
      </c>
      <c r="T378" s="148">
        <f t="shared" si="112"/>
        <v>13</v>
      </c>
      <c r="U378" s="148">
        <f t="shared" si="109"/>
        <v>463.06</v>
      </c>
      <c r="V378" s="379"/>
      <c r="W378" s="379"/>
      <c r="X378" s="57">
        <f>'COMPOSIÇÃO DE CUSTOS'!G939</f>
        <v>25.21</v>
      </c>
      <c r="Y378" s="334">
        <v>29.67</v>
      </c>
      <c r="Z378" s="58">
        <f t="shared" si="114"/>
        <v>-4.4504999999999981</v>
      </c>
      <c r="AA378" s="58">
        <f t="shared" si="115"/>
        <v>327.85350000000005</v>
      </c>
      <c r="AB378" s="58"/>
      <c r="AC378" s="58">
        <f t="shared" si="116"/>
        <v>415.74</v>
      </c>
      <c r="AD378" s="58" t="e">
        <f>IF(B378&lt;&gt;0,VLOOKUP(B378,#REF!,2,FALSE),"")</f>
        <v>#REF!</v>
      </c>
      <c r="AE378" s="2">
        <v>6</v>
      </c>
      <c r="AF378" s="55">
        <f t="shared" si="100"/>
        <v>-7</v>
      </c>
    </row>
    <row r="379" spans="1:32" s="38" customFormat="1" ht="26.25" customHeight="1">
      <c r="A379" s="21" t="s">
        <v>972</v>
      </c>
      <c r="B379" s="20">
        <v>672043</v>
      </c>
      <c r="C379" s="19" t="s">
        <v>174</v>
      </c>
      <c r="D379" s="21" t="s">
        <v>1914</v>
      </c>
      <c r="E379" s="21" t="s">
        <v>17</v>
      </c>
      <c r="F379" s="22">
        <v>6</v>
      </c>
      <c r="G379" s="22">
        <f t="shared" si="113"/>
        <v>198.66200000000001</v>
      </c>
      <c r="H379" s="22">
        <f t="shared" si="117"/>
        <v>251.92</v>
      </c>
      <c r="I379" s="147">
        <f t="shared" si="118"/>
        <v>1511.52</v>
      </c>
      <c r="J379" s="148"/>
      <c r="K379" s="148"/>
      <c r="L379" s="148"/>
      <c r="M379" s="148">
        <v>221.31</v>
      </c>
      <c r="N379" s="148">
        <v>280.64</v>
      </c>
      <c r="O379" s="148">
        <v>1683.84</v>
      </c>
      <c r="P379" s="494"/>
      <c r="Q379" s="147">
        <f t="shared" si="119"/>
        <v>0</v>
      </c>
      <c r="R379" s="148"/>
      <c r="S379" s="148">
        <f t="shared" si="120"/>
        <v>0</v>
      </c>
      <c r="T379" s="148">
        <f t="shared" si="112"/>
        <v>6</v>
      </c>
      <c r="U379" s="148">
        <f t="shared" si="109"/>
        <v>1683.84</v>
      </c>
      <c r="V379" s="379"/>
      <c r="W379" s="379"/>
      <c r="X379" s="57">
        <f>'COMPOSIÇÃO DE CUSTOS'!G946</f>
        <v>198.66</v>
      </c>
      <c r="Y379" s="334">
        <v>233.72</v>
      </c>
      <c r="Z379" s="58">
        <f t="shared" si="114"/>
        <v>-35.057999999999993</v>
      </c>
      <c r="AA379" s="58">
        <f t="shared" si="115"/>
        <v>1191.972</v>
      </c>
      <c r="AB379" s="58"/>
      <c r="AC379" s="58">
        <f t="shared" si="116"/>
        <v>1511.52</v>
      </c>
      <c r="AD379" s="58" t="e">
        <f>IF(B379&lt;&gt;0,VLOOKUP(B379,#REF!,2,FALSE),"")</f>
        <v>#REF!</v>
      </c>
      <c r="AE379" s="38">
        <v>2</v>
      </c>
      <c r="AF379" s="55">
        <f t="shared" si="100"/>
        <v>-4</v>
      </c>
    </row>
    <row r="380" spans="1:32" ht="15" customHeight="1">
      <c r="A380" s="21" t="s">
        <v>973</v>
      </c>
      <c r="B380" s="20">
        <v>92346</v>
      </c>
      <c r="C380" s="19" t="s">
        <v>1659</v>
      </c>
      <c r="D380" s="21" t="s">
        <v>12</v>
      </c>
      <c r="E380" s="21" t="s">
        <v>17</v>
      </c>
      <c r="F380" s="22">
        <v>2</v>
      </c>
      <c r="G380" s="22">
        <f t="shared" si="113"/>
        <v>57.451500000000003</v>
      </c>
      <c r="H380" s="22">
        <f t="shared" si="117"/>
        <v>72.849999999999994</v>
      </c>
      <c r="I380" s="147">
        <f t="shared" si="118"/>
        <v>145.69999999999999</v>
      </c>
      <c r="J380" s="148"/>
      <c r="K380" s="148"/>
      <c r="L380" s="148"/>
      <c r="M380" s="148">
        <v>64</v>
      </c>
      <c r="N380" s="148">
        <v>81.16</v>
      </c>
      <c r="O380" s="148">
        <v>162.32</v>
      </c>
      <c r="P380" s="494"/>
      <c r="Q380" s="147">
        <f t="shared" si="119"/>
        <v>0</v>
      </c>
      <c r="R380" s="148"/>
      <c r="S380" s="148">
        <f t="shared" si="120"/>
        <v>0</v>
      </c>
      <c r="T380" s="148">
        <f t="shared" si="112"/>
        <v>2</v>
      </c>
      <c r="U380" s="148">
        <f t="shared" si="109"/>
        <v>162.32</v>
      </c>
      <c r="V380" s="379"/>
      <c r="W380" s="379"/>
      <c r="X380" s="57" t="e">
        <f>IF(B380&lt;&gt;0,VLOOKUP(B380,#REF!,4,FALSE),"")</f>
        <v>#REF!</v>
      </c>
      <c r="Y380" s="334" t="s">
        <v>3287</v>
      </c>
      <c r="Z380" s="58">
        <f t="shared" si="114"/>
        <v>-10.138500000000001</v>
      </c>
      <c r="AA380" s="58">
        <f t="shared" si="115"/>
        <v>114.90300000000001</v>
      </c>
      <c r="AB380" s="58"/>
      <c r="AC380" s="58">
        <f t="shared" si="116"/>
        <v>145.69999999999999</v>
      </c>
      <c r="AD380" s="58" t="e">
        <f>IF(B380&lt;&gt;0,VLOOKUP(B380,#REF!,2,FALSE),"")</f>
        <v>#REF!</v>
      </c>
      <c r="AE380" s="2">
        <v>1</v>
      </c>
      <c r="AF380" s="55">
        <f t="shared" si="100"/>
        <v>-1</v>
      </c>
    </row>
    <row r="381" spans="1:32" ht="40.5" customHeight="1">
      <c r="A381" s="21" t="s">
        <v>974</v>
      </c>
      <c r="B381" s="20">
        <v>231112</v>
      </c>
      <c r="C381" s="19" t="s">
        <v>175</v>
      </c>
      <c r="D381" s="21" t="s">
        <v>1914</v>
      </c>
      <c r="E381" s="21" t="s">
        <v>17</v>
      </c>
      <c r="F381" s="22">
        <v>1</v>
      </c>
      <c r="G381" s="22">
        <f t="shared" si="113"/>
        <v>170.63749999999999</v>
      </c>
      <c r="H381" s="22">
        <f t="shared" si="117"/>
        <v>216.39</v>
      </c>
      <c r="I381" s="147">
        <f t="shared" si="118"/>
        <v>216.39</v>
      </c>
      <c r="J381" s="148"/>
      <c r="K381" s="148"/>
      <c r="L381" s="148"/>
      <c r="M381" s="148">
        <v>190.09</v>
      </c>
      <c r="N381" s="148">
        <v>241.05</v>
      </c>
      <c r="O381" s="148">
        <v>241.05</v>
      </c>
      <c r="P381" s="494"/>
      <c r="Q381" s="147">
        <f t="shared" si="119"/>
        <v>0</v>
      </c>
      <c r="R381" s="148"/>
      <c r="S381" s="148">
        <f t="shared" si="120"/>
        <v>0</v>
      </c>
      <c r="T381" s="148">
        <f t="shared" si="112"/>
        <v>1</v>
      </c>
      <c r="U381" s="148">
        <f t="shared" si="109"/>
        <v>241.05</v>
      </c>
      <c r="V381" s="379"/>
      <c r="W381" s="379"/>
      <c r="X381" s="57">
        <f>'COMPOSIÇÃO DE CUSTOS'!G953</f>
        <v>170.64</v>
      </c>
      <c r="Y381" s="334">
        <v>200.75</v>
      </c>
      <c r="Z381" s="58">
        <f t="shared" si="114"/>
        <v>-30.112500000000011</v>
      </c>
      <c r="AA381" s="58">
        <f t="shared" si="115"/>
        <v>170.63749999999999</v>
      </c>
      <c r="AB381" s="58"/>
      <c r="AC381" s="58">
        <f t="shared" si="116"/>
        <v>216.39</v>
      </c>
      <c r="AD381" s="58" t="e">
        <f>IF(B381&lt;&gt;0,VLOOKUP(B381,#REF!,2,FALSE),"")</f>
        <v>#REF!</v>
      </c>
      <c r="AE381" s="2">
        <v>41</v>
      </c>
      <c r="AF381" s="55">
        <f t="shared" si="100"/>
        <v>40</v>
      </c>
    </row>
    <row r="382" spans="1:32" s="23" customFormat="1" ht="30">
      <c r="A382" s="21" t="s">
        <v>975</v>
      </c>
      <c r="B382" s="20">
        <v>854519</v>
      </c>
      <c r="C382" s="19" t="s">
        <v>176</v>
      </c>
      <c r="D382" s="21" t="s">
        <v>1914</v>
      </c>
      <c r="E382" s="21" t="s">
        <v>17</v>
      </c>
      <c r="F382" s="22">
        <v>41</v>
      </c>
      <c r="G382" s="22">
        <f t="shared" si="113"/>
        <v>45.526000000000003</v>
      </c>
      <c r="H382" s="22">
        <f t="shared" si="117"/>
        <v>57.73</v>
      </c>
      <c r="I382" s="147">
        <f t="shared" si="118"/>
        <v>2366.9299999999998</v>
      </c>
      <c r="J382" s="148"/>
      <c r="K382" s="148"/>
      <c r="L382" s="148"/>
      <c r="M382" s="148">
        <v>50.72</v>
      </c>
      <c r="N382" s="148">
        <v>64.319999999999993</v>
      </c>
      <c r="O382" s="148">
        <v>2637.12</v>
      </c>
      <c r="P382" s="494"/>
      <c r="Q382" s="147">
        <f t="shared" si="119"/>
        <v>0</v>
      </c>
      <c r="R382" s="148"/>
      <c r="S382" s="148">
        <f t="shared" si="120"/>
        <v>0</v>
      </c>
      <c r="T382" s="148">
        <f t="shared" si="112"/>
        <v>41</v>
      </c>
      <c r="U382" s="148">
        <f t="shared" si="109"/>
        <v>2637.12</v>
      </c>
      <c r="V382" s="379"/>
      <c r="W382" s="379"/>
      <c r="X382" s="57">
        <f>'COMPOSIÇÃO DE CUSTOS'!G960</f>
        <v>45.52</v>
      </c>
      <c r="Y382" s="334">
        <v>53.56</v>
      </c>
      <c r="Z382" s="58">
        <f t="shared" si="114"/>
        <v>-8.0339999999999989</v>
      </c>
      <c r="AA382" s="58">
        <f t="shared" si="115"/>
        <v>1866.566</v>
      </c>
      <c r="AB382" s="58"/>
      <c r="AC382" s="58">
        <f t="shared" si="116"/>
        <v>2366.9299999999998</v>
      </c>
      <c r="AD382" s="58" t="e">
        <f>IF(B382&lt;&gt;0,VLOOKUP(B382,#REF!,2,FALSE),"")</f>
        <v>#REF!</v>
      </c>
      <c r="AE382" s="23">
        <v>25</v>
      </c>
      <c r="AF382" s="55">
        <f t="shared" si="100"/>
        <v>-16</v>
      </c>
    </row>
    <row r="383" spans="1:32" s="55" customFormat="1" ht="45">
      <c r="A383" s="21" t="s">
        <v>976</v>
      </c>
      <c r="B383" s="20">
        <v>95811</v>
      </c>
      <c r="C383" s="19" t="s">
        <v>1660</v>
      </c>
      <c r="D383" s="21" t="s">
        <v>12</v>
      </c>
      <c r="E383" s="21" t="s">
        <v>17</v>
      </c>
      <c r="F383" s="22">
        <v>25</v>
      </c>
      <c r="G383" s="22">
        <f t="shared" si="113"/>
        <v>10.693</v>
      </c>
      <c r="H383" s="22">
        <f t="shared" si="117"/>
        <v>13.56</v>
      </c>
      <c r="I383" s="147">
        <f t="shared" si="118"/>
        <v>339</v>
      </c>
      <c r="J383" s="148"/>
      <c r="K383" s="148"/>
      <c r="L383" s="148"/>
      <c r="M383" s="148">
        <v>11.91</v>
      </c>
      <c r="N383" s="148">
        <v>15.1</v>
      </c>
      <c r="O383" s="148">
        <v>377.5</v>
      </c>
      <c r="P383" s="494"/>
      <c r="Q383" s="147">
        <f t="shared" si="119"/>
        <v>0</v>
      </c>
      <c r="R383" s="148"/>
      <c r="S383" s="148">
        <f t="shared" si="120"/>
        <v>0</v>
      </c>
      <c r="T383" s="148">
        <f t="shared" si="112"/>
        <v>25</v>
      </c>
      <c r="U383" s="148">
        <f t="shared" si="109"/>
        <v>377.5</v>
      </c>
      <c r="V383" s="379"/>
      <c r="W383" s="379"/>
      <c r="X383" s="57" t="e">
        <f>IF(B383&lt;&gt;0,VLOOKUP(B383,#REF!,4,FALSE),"")</f>
        <v>#REF!</v>
      </c>
      <c r="Y383" s="334" t="s">
        <v>3150</v>
      </c>
      <c r="Z383" s="58">
        <f t="shared" si="114"/>
        <v>-1.8870000000000005</v>
      </c>
      <c r="AA383" s="58">
        <f t="shared" si="115"/>
        <v>267.32499999999999</v>
      </c>
      <c r="AB383" s="58"/>
      <c r="AC383" s="58">
        <f t="shared" si="116"/>
        <v>339</v>
      </c>
      <c r="AD383" s="58" t="e">
        <f>IF(B383&lt;&gt;0,VLOOKUP(B383,#REF!,2,FALSE),"")</f>
        <v>#REF!</v>
      </c>
      <c r="AE383" s="55">
        <v>7</v>
      </c>
      <c r="AF383" s="55">
        <f t="shared" si="100"/>
        <v>-18</v>
      </c>
    </row>
    <row r="384" spans="1:32" s="55" customFormat="1" ht="30">
      <c r="A384" s="21" t="s">
        <v>977</v>
      </c>
      <c r="B384" s="20" t="s">
        <v>2151</v>
      </c>
      <c r="C384" s="19" t="s">
        <v>177</v>
      </c>
      <c r="D384" s="21" t="s">
        <v>1914</v>
      </c>
      <c r="E384" s="21" t="s">
        <v>26</v>
      </c>
      <c r="F384" s="22">
        <v>7</v>
      </c>
      <c r="G384" s="22">
        <f t="shared" si="113"/>
        <v>19.9495</v>
      </c>
      <c r="H384" s="22">
        <f t="shared" si="117"/>
        <v>25.3</v>
      </c>
      <c r="I384" s="147">
        <f t="shared" si="118"/>
        <v>177.1</v>
      </c>
      <c r="J384" s="148"/>
      <c r="K384" s="148"/>
      <c r="L384" s="148"/>
      <c r="M384" s="148">
        <v>22.22</v>
      </c>
      <c r="N384" s="148">
        <v>28.18</v>
      </c>
      <c r="O384" s="148">
        <v>197.26</v>
      </c>
      <c r="P384" s="494"/>
      <c r="Q384" s="147">
        <f t="shared" si="119"/>
        <v>0</v>
      </c>
      <c r="R384" s="148"/>
      <c r="S384" s="148">
        <f t="shared" si="120"/>
        <v>0</v>
      </c>
      <c r="T384" s="148">
        <f t="shared" si="112"/>
        <v>7</v>
      </c>
      <c r="U384" s="148">
        <f t="shared" si="109"/>
        <v>197.26</v>
      </c>
      <c r="V384" s="379"/>
      <c r="W384" s="379"/>
      <c r="X384" s="57">
        <f>'COMPOSIÇÃO DE CUSTOS'!G970</f>
        <v>19.95</v>
      </c>
      <c r="Y384" s="334">
        <v>23.47</v>
      </c>
      <c r="Z384" s="58">
        <f t="shared" si="114"/>
        <v>-3.5204999999999984</v>
      </c>
      <c r="AA384" s="58">
        <f t="shared" si="115"/>
        <v>139.6465</v>
      </c>
      <c r="AB384" s="58"/>
      <c r="AC384" s="58">
        <f t="shared" si="116"/>
        <v>177.1</v>
      </c>
      <c r="AD384" s="58" t="e">
        <f>IF(B384&lt;&gt;0,VLOOKUP(B384,#REF!,2,FALSE),"")</f>
        <v>#REF!</v>
      </c>
      <c r="AF384" s="55">
        <f t="shared" si="100"/>
        <v>-7</v>
      </c>
    </row>
    <row r="385" spans="1:32">
      <c r="A385" s="69" t="s">
        <v>978</v>
      </c>
      <c r="B385" s="129"/>
      <c r="C385" s="229" t="s">
        <v>178</v>
      </c>
      <c r="D385" s="230"/>
      <c r="E385" s="230"/>
      <c r="F385" s="230"/>
      <c r="G385" s="22"/>
      <c r="H385" s="230"/>
      <c r="I385" s="445"/>
      <c r="J385" s="440"/>
      <c r="K385" s="440"/>
      <c r="L385" s="440"/>
      <c r="M385" s="440"/>
      <c r="N385" s="440"/>
      <c r="O385" s="440"/>
      <c r="P385" s="492"/>
      <c r="Q385" s="147">
        <f t="shared" si="119"/>
        <v>0</v>
      </c>
      <c r="R385" s="148"/>
      <c r="S385" s="148">
        <f t="shared" si="120"/>
        <v>0</v>
      </c>
      <c r="T385" s="148" t="str">
        <f t="shared" si="112"/>
        <v xml:space="preserve"> </v>
      </c>
      <c r="U385" s="148"/>
      <c r="V385" s="330"/>
      <c r="W385" s="330"/>
      <c r="X385" s="58" t="str">
        <f>IF(B385&lt;&gt;0,VLOOKUP(B385,#REF!,4,FALSE),"")</f>
        <v/>
      </c>
      <c r="Y385" s="334" t="s">
        <v>1891</v>
      </c>
      <c r="Z385" s="58"/>
      <c r="AA385" s="58">
        <f t="shared" si="115"/>
        <v>0</v>
      </c>
      <c r="AB385" s="58"/>
      <c r="AC385" s="58">
        <f t="shared" si="116"/>
        <v>0</v>
      </c>
      <c r="AD385" s="58" t="str">
        <f>IF(B385&lt;&gt;0,VLOOKUP(B385,#REF!,2,FALSE),"")</f>
        <v/>
      </c>
      <c r="AE385" s="2">
        <v>9</v>
      </c>
      <c r="AF385" s="55">
        <f t="shared" si="100"/>
        <v>9</v>
      </c>
    </row>
    <row r="386" spans="1:32" ht="90">
      <c r="A386" s="235" t="s">
        <v>3551</v>
      </c>
      <c r="B386" s="20">
        <v>96765</v>
      </c>
      <c r="C386" s="439" t="s">
        <v>3738</v>
      </c>
      <c r="D386" s="21" t="s">
        <v>12</v>
      </c>
      <c r="E386" s="21" t="s">
        <v>17</v>
      </c>
      <c r="F386" s="22">
        <v>9</v>
      </c>
      <c r="G386" s="22">
        <f t="shared" si="113"/>
        <v>1107.992</v>
      </c>
      <c r="H386" s="22">
        <f t="shared" ref="H386:H403" si="121">ROUND(G386*(1+$X$13),2)</f>
        <v>1405.04</v>
      </c>
      <c r="I386" s="147">
        <f t="shared" ref="I386:I403" si="122">ROUND(H386*F386,2)</f>
        <v>12645.36</v>
      </c>
      <c r="J386" s="148"/>
      <c r="K386" s="148"/>
      <c r="L386" s="148"/>
      <c r="M386" s="148">
        <v>1234.31</v>
      </c>
      <c r="N386" s="148">
        <v>1565.23</v>
      </c>
      <c r="O386" s="148">
        <v>14087.07</v>
      </c>
      <c r="P386" s="494"/>
      <c r="Q386" s="147">
        <f t="shared" si="119"/>
        <v>0</v>
      </c>
      <c r="R386" s="148"/>
      <c r="S386" s="148">
        <f t="shared" si="120"/>
        <v>0</v>
      </c>
      <c r="T386" s="148">
        <f t="shared" si="112"/>
        <v>9</v>
      </c>
      <c r="U386" s="148">
        <f t="shared" si="109"/>
        <v>14087.07</v>
      </c>
      <c r="V386" s="379"/>
      <c r="W386" s="379"/>
      <c r="X386" s="57" t="e">
        <f>IF(B386&lt;&gt;0,VLOOKUP(B386,#REF!,4,FALSE),"")</f>
        <v>#REF!</v>
      </c>
      <c r="Y386" s="334" t="s">
        <v>3262</v>
      </c>
      <c r="Z386" s="58">
        <f t="shared" si="114"/>
        <v>-195.52800000000002</v>
      </c>
      <c r="AA386" s="58">
        <f t="shared" si="115"/>
        <v>9971.9279999999999</v>
      </c>
      <c r="AB386" s="58"/>
      <c r="AC386" s="58">
        <f t="shared" si="116"/>
        <v>12645.36</v>
      </c>
      <c r="AD386" s="58" t="e">
        <f>IF(B386&lt;&gt;0,VLOOKUP(B386,#REF!,2,FALSE),"")</f>
        <v>#REF!</v>
      </c>
      <c r="AE386" s="2">
        <v>23</v>
      </c>
      <c r="AF386" s="55">
        <f t="shared" si="100"/>
        <v>14</v>
      </c>
    </row>
    <row r="387" spans="1:32" ht="30">
      <c r="A387" s="21" t="s">
        <v>979</v>
      </c>
      <c r="B387" s="20">
        <v>102493</v>
      </c>
      <c r="C387" s="19" t="s">
        <v>179</v>
      </c>
      <c r="D387" s="21" t="s">
        <v>12</v>
      </c>
      <c r="E387" s="21" t="s">
        <v>26</v>
      </c>
      <c r="F387" s="22">
        <v>23</v>
      </c>
      <c r="G387" s="22">
        <f t="shared" si="113"/>
        <v>8.7464999999999993</v>
      </c>
      <c r="H387" s="22">
        <f t="shared" si="121"/>
        <v>11.09</v>
      </c>
      <c r="I387" s="147">
        <f t="shared" si="122"/>
        <v>255.07</v>
      </c>
      <c r="J387" s="148"/>
      <c r="K387" s="148"/>
      <c r="L387" s="148"/>
      <c r="M387" s="148">
        <v>9.74</v>
      </c>
      <c r="N387" s="148">
        <v>12.35</v>
      </c>
      <c r="O387" s="148">
        <v>284.05</v>
      </c>
      <c r="P387" s="494"/>
      <c r="Q387" s="147">
        <f t="shared" si="119"/>
        <v>0</v>
      </c>
      <c r="R387" s="148"/>
      <c r="S387" s="148">
        <f t="shared" si="120"/>
        <v>0</v>
      </c>
      <c r="T387" s="148">
        <f t="shared" si="112"/>
        <v>23</v>
      </c>
      <c r="U387" s="148">
        <f t="shared" si="109"/>
        <v>284.05</v>
      </c>
      <c r="V387" s="379"/>
      <c r="W387" s="379"/>
      <c r="X387" s="57" t="e">
        <f>IF(B387&lt;&gt;0,VLOOKUP(B387,#REF!,4,FALSE),"")</f>
        <v>#REF!</v>
      </c>
      <c r="Y387" s="334" t="s">
        <v>1857</v>
      </c>
      <c r="Z387" s="58">
        <f t="shared" si="114"/>
        <v>-1.5434999999999999</v>
      </c>
      <c r="AA387" s="58">
        <f t="shared" si="115"/>
        <v>201.16949999999997</v>
      </c>
      <c r="AB387" s="58"/>
      <c r="AC387" s="58">
        <f t="shared" si="116"/>
        <v>255.07</v>
      </c>
      <c r="AD387" s="58" t="e">
        <f>IF(B387&lt;&gt;0,VLOOKUP(B387,#REF!,2,FALSE),"")</f>
        <v>#REF!</v>
      </c>
      <c r="AE387" s="2">
        <v>2</v>
      </c>
      <c r="AF387" s="55">
        <f t="shared" si="100"/>
        <v>-21</v>
      </c>
    </row>
    <row r="388" spans="1:32" ht="30">
      <c r="A388" s="21" t="s">
        <v>980</v>
      </c>
      <c r="B388" s="20">
        <v>11173</v>
      </c>
      <c r="C388" s="19" t="s">
        <v>2021</v>
      </c>
      <c r="D388" s="21" t="s">
        <v>44</v>
      </c>
      <c r="E388" s="21" t="s">
        <v>17</v>
      </c>
      <c r="F388" s="22">
        <v>2</v>
      </c>
      <c r="G388" s="22">
        <f t="shared" si="113"/>
        <v>2172.4810000000002</v>
      </c>
      <c r="H388" s="22">
        <f t="shared" si="121"/>
        <v>2754.92</v>
      </c>
      <c r="I388" s="147">
        <f t="shared" si="122"/>
        <v>5509.84</v>
      </c>
      <c r="J388" s="148"/>
      <c r="K388" s="148"/>
      <c r="L388" s="148"/>
      <c r="M388" s="148">
        <v>2420.16</v>
      </c>
      <c r="N388" s="148">
        <v>3069</v>
      </c>
      <c r="O388" s="148">
        <v>6138</v>
      </c>
      <c r="P388" s="494"/>
      <c r="Q388" s="147">
        <f t="shared" si="119"/>
        <v>0</v>
      </c>
      <c r="R388" s="148"/>
      <c r="S388" s="148">
        <f t="shared" si="120"/>
        <v>0</v>
      </c>
      <c r="T388" s="148">
        <f t="shared" si="112"/>
        <v>2</v>
      </c>
      <c r="U388" s="148">
        <f t="shared" si="109"/>
        <v>6138</v>
      </c>
      <c r="V388" s="379"/>
      <c r="W388" s="379"/>
      <c r="X388" s="57">
        <f>'COMPOSIÇÃO DE CUSTOS'!G2246</f>
        <v>2172.48</v>
      </c>
      <c r="Y388" s="334">
        <v>2555.86</v>
      </c>
      <c r="Z388" s="58">
        <f t="shared" si="114"/>
        <v>-383.37899999999991</v>
      </c>
      <c r="AA388" s="58">
        <f t="shared" si="115"/>
        <v>4344.9620000000004</v>
      </c>
      <c r="AB388" s="58"/>
      <c r="AC388" s="58">
        <f t="shared" si="116"/>
        <v>5509.84</v>
      </c>
      <c r="AD388" s="58" t="e">
        <f>IF(B388&lt;&gt;0,VLOOKUP(B388,#REF!,2,FALSE),"")</f>
        <v>#REF!</v>
      </c>
      <c r="AE388" s="2">
        <v>12</v>
      </c>
      <c r="AF388" s="55">
        <f t="shared" si="100"/>
        <v>10</v>
      </c>
    </row>
    <row r="389" spans="1:32" s="55" customFormat="1" ht="30">
      <c r="A389" s="21" t="s">
        <v>2724</v>
      </c>
      <c r="B389" s="20">
        <v>101908</v>
      </c>
      <c r="C389" s="19" t="s">
        <v>180</v>
      </c>
      <c r="D389" s="21" t="s">
        <v>12</v>
      </c>
      <c r="E389" s="21" t="s">
        <v>17</v>
      </c>
      <c r="F389" s="22">
        <v>12</v>
      </c>
      <c r="G389" s="22">
        <f t="shared" si="113"/>
        <v>154.55550000000002</v>
      </c>
      <c r="H389" s="22">
        <f t="shared" si="121"/>
        <v>195.99</v>
      </c>
      <c r="I389" s="147">
        <f t="shared" si="122"/>
        <v>2351.88</v>
      </c>
      <c r="J389" s="148"/>
      <c r="K389" s="148"/>
      <c r="L389" s="148"/>
      <c r="M389" s="148">
        <v>172.18</v>
      </c>
      <c r="N389" s="148">
        <v>218.34</v>
      </c>
      <c r="O389" s="148">
        <v>2620.08</v>
      </c>
      <c r="P389" s="494"/>
      <c r="Q389" s="147">
        <f t="shared" si="119"/>
        <v>0</v>
      </c>
      <c r="R389" s="148"/>
      <c r="S389" s="148">
        <f t="shared" si="120"/>
        <v>0</v>
      </c>
      <c r="T389" s="148">
        <f t="shared" si="112"/>
        <v>12</v>
      </c>
      <c r="U389" s="148">
        <f t="shared" si="109"/>
        <v>2620.08</v>
      </c>
      <c r="V389" s="379"/>
      <c r="W389" s="379"/>
      <c r="X389" s="57" t="e">
        <f>IF(B389&lt;&gt;0,VLOOKUP(B389,#REF!,4,FALSE),"")</f>
        <v>#REF!</v>
      </c>
      <c r="Y389" s="334" t="s">
        <v>3264</v>
      </c>
      <c r="Z389" s="58">
        <f t="shared" si="114"/>
        <v>-27.274499999999989</v>
      </c>
      <c r="AA389" s="58">
        <f t="shared" si="115"/>
        <v>1854.6660000000002</v>
      </c>
      <c r="AB389" s="58"/>
      <c r="AC389" s="58">
        <f t="shared" si="116"/>
        <v>2351.88</v>
      </c>
      <c r="AD389" s="58" t="e">
        <f>IF(B389&lt;&gt;0,VLOOKUP(B389,#REF!,2,FALSE),"")</f>
        <v>#REF!</v>
      </c>
      <c r="AE389" s="55">
        <v>2</v>
      </c>
      <c r="AF389" s="55">
        <f t="shared" si="100"/>
        <v>-10</v>
      </c>
    </row>
    <row r="390" spans="1:32" s="55" customFormat="1" ht="30">
      <c r="A390" s="21" t="s">
        <v>2725</v>
      </c>
      <c r="B390" s="20">
        <v>101907</v>
      </c>
      <c r="C390" s="19" t="s">
        <v>181</v>
      </c>
      <c r="D390" s="21" t="s">
        <v>12</v>
      </c>
      <c r="E390" s="21" t="s">
        <v>17</v>
      </c>
      <c r="F390" s="22">
        <v>2</v>
      </c>
      <c r="G390" s="22">
        <f t="shared" si="113"/>
        <v>516.0095</v>
      </c>
      <c r="H390" s="22">
        <f t="shared" si="121"/>
        <v>654.35</v>
      </c>
      <c r="I390" s="147">
        <f t="shared" si="122"/>
        <v>1308.7</v>
      </c>
      <c r="J390" s="148"/>
      <c r="K390" s="148"/>
      <c r="L390" s="148"/>
      <c r="M390" s="148">
        <v>574.84</v>
      </c>
      <c r="N390" s="148">
        <v>728.95</v>
      </c>
      <c r="O390" s="148">
        <v>1457.9</v>
      </c>
      <c r="P390" s="494"/>
      <c r="Q390" s="147">
        <f t="shared" si="119"/>
        <v>0</v>
      </c>
      <c r="R390" s="148"/>
      <c r="S390" s="148">
        <f t="shared" si="120"/>
        <v>0</v>
      </c>
      <c r="T390" s="148">
        <f t="shared" si="112"/>
        <v>2</v>
      </c>
      <c r="U390" s="148">
        <f t="shared" si="109"/>
        <v>1457.9</v>
      </c>
      <c r="V390" s="379"/>
      <c r="W390" s="379"/>
      <c r="X390" s="57" t="e">
        <f>IF(B390&lt;&gt;0,VLOOKUP(B390,#REF!,4,FALSE),"")</f>
        <v>#REF!</v>
      </c>
      <c r="Y390" s="334" t="s">
        <v>3263</v>
      </c>
      <c r="Z390" s="58">
        <f t="shared" si="114"/>
        <v>-91.060500000000047</v>
      </c>
      <c r="AA390" s="58">
        <f t="shared" si="115"/>
        <v>1032.019</v>
      </c>
      <c r="AB390" s="58"/>
      <c r="AC390" s="58">
        <f t="shared" si="116"/>
        <v>1308.7</v>
      </c>
      <c r="AD390" s="58" t="e">
        <f>IF(B390&lt;&gt;0,VLOOKUP(B390,#REF!,2,FALSE),"")</f>
        <v>#REF!</v>
      </c>
      <c r="AE390" s="55">
        <v>1</v>
      </c>
      <c r="AF390" s="55">
        <f t="shared" si="100"/>
        <v>-1</v>
      </c>
    </row>
    <row r="391" spans="1:32" s="55" customFormat="1" ht="30">
      <c r="A391" s="21" t="s">
        <v>2726</v>
      </c>
      <c r="B391" s="20" t="s">
        <v>2215</v>
      </c>
      <c r="C391" s="19" t="s">
        <v>182</v>
      </c>
      <c r="D391" s="21" t="s">
        <v>70</v>
      </c>
      <c r="E391" s="21" t="s">
        <v>17</v>
      </c>
      <c r="F391" s="22">
        <v>1</v>
      </c>
      <c r="G391" s="22">
        <f t="shared" si="113"/>
        <v>600.79700000000003</v>
      </c>
      <c r="H391" s="22">
        <f t="shared" si="121"/>
        <v>761.87</v>
      </c>
      <c r="I391" s="147">
        <f t="shared" si="122"/>
        <v>761.87</v>
      </c>
      <c r="J391" s="148"/>
      <c r="K391" s="148"/>
      <c r="L391" s="148"/>
      <c r="M391" s="148">
        <v>669.29</v>
      </c>
      <c r="N391" s="148">
        <v>848.73</v>
      </c>
      <c r="O391" s="148">
        <v>848.73</v>
      </c>
      <c r="P391" s="494"/>
      <c r="Q391" s="147">
        <f t="shared" si="119"/>
        <v>0</v>
      </c>
      <c r="R391" s="148"/>
      <c r="S391" s="148">
        <f t="shared" si="120"/>
        <v>0</v>
      </c>
      <c r="T391" s="148">
        <f t="shared" si="112"/>
        <v>1</v>
      </c>
      <c r="U391" s="148">
        <f t="shared" si="109"/>
        <v>848.73</v>
      </c>
      <c r="V391" s="379"/>
      <c r="W391" s="379"/>
      <c r="X391" s="57">
        <f>'COMPOSIÇÃO DE CUSTOS'!G978</f>
        <v>600.79</v>
      </c>
      <c r="Y391" s="334">
        <v>706.82</v>
      </c>
      <c r="Z391" s="58">
        <f t="shared" si="114"/>
        <v>-106.02300000000002</v>
      </c>
      <c r="AA391" s="58">
        <f t="shared" si="115"/>
        <v>600.79700000000003</v>
      </c>
      <c r="AB391" s="58"/>
      <c r="AC391" s="58">
        <f t="shared" si="116"/>
        <v>761.87</v>
      </c>
      <c r="AD391" s="58" t="e">
        <f>IF(B391&lt;&gt;0,VLOOKUP(B391,#REF!,2,FALSE),"")</f>
        <v>#REF!</v>
      </c>
      <c r="AE391" s="55">
        <v>1</v>
      </c>
      <c r="AF391" s="55">
        <f t="shared" si="100"/>
        <v>0</v>
      </c>
    </row>
    <row r="392" spans="1:32">
      <c r="A392" s="21" t="s">
        <v>2727</v>
      </c>
      <c r="B392" s="20" t="s">
        <v>2214</v>
      </c>
      <c r="C392" s="19" t="s">
        <v>183</v>
      </c>
      <c r="D392" s="21" t="s">
        <v>70</v>
      </c>
      <c r="E392" s="21" t="s">
        <v>17</v>
      </c>
      <c r="F392" s="22">
        <v>1</v>
      </c>
      <c r="G392" s="22">
        <f t="shared" si="113"/>
        <v>692.94550000000004</v>
      </c>
      <c r="H392" s="22">
        <f t="shared" si="121"/>
        <v>878.72</v>
      </c>
      <c r="I392" s="147">
        <f t="shared" si="122"/>
        <v>878.72</v>
      </c>
      <c r="J392" s="148"/>
      <c r="K392" s="148"/>
      <c r="L392" s="148"/>
      <c r="M392" s="148">
        <v>771.95</v>
      </c>
      <c r="N392" s="148">
        <v>978.91</v>
      </c>
      <c r="O392" s="148">
        <v>978.91</v>
      </c>
      <c r="P392" s="494"/>
      <c r="Q392" s="147">
        <f t="shared" si="119"/>
        <v>0</v>
      </c>
      <c r="R392" s="148"/>
      <c r="S392" s="148">
        <f t="shared" si="120"/>
        <v>0</v>
      </c>
      <c r="T392" s="148">
        <f t="shared" si="112"/>
        <v>1</v>
      </c>
      <c r="U392" s="148">
        <f t="shared" si="109"/>
        <v>978.91</v>
      </c>
      <c r="V392" s="379"/>
      <c r="W392" s="379"/>
      <c r="X392" s="57">
        <f>'COMPOSIÇÃO DE CUSTOS'!G984</f>
        <v>692.95</v>
      </c>
      <c r="Y392" s="334">
        <v>815.23</v>
      </c>
      <c r="Z392" s="58">
        <f t="shared" si="114"/>
        <v>-122.28449999999998</v>
      </c>
      <c r="AA392" s="58">
        <f t="shared" si="115"/>
        <v>692.94550000000004</v>
      </c>
      <c r="AB392" s="58"/>
      <c r="AC392" s="58">
        <f t="shared" si="116"/>
        <v>878.72</v>
      </c>
      <c r="AD392" s="58" t="e">
        <f>IF(B392&lt;&gt;0,VLOOKUP(B392,#REF!,2,FALSE),"")</f>
        <v>#REF!</v>
      </c>
      <c r="AE392" s="2">
        <v>1</v>
      </c>
      <c r="AF392" s="55">
        <f t="shared" si="100"/>
        <v>0</v>
      </c>
    </row>
    <row r="393" spans="1:32" ht="45">
      <c r="A393" s="21" t="s">
        <v>2728</v>
      </c>
      <c r="B393" s="20">
        <v>427003</v>
      </c>
      <c r="C393" s="19" t="s">
        <v>184</v>
      </c>
      <c r="D393" s="21" t="s">
        <v>1914</v>
      </c>
      <c r="E393" s="21" t="s">
        <v>17</v>
      </c>
      <c r="F393" s="22">
        <v>1</v>
      </c>
      <c r="G393" s="22">
        <f t="shared" si="113"/>
        <v>76.491500000000002</v>
      </c>
      <c r="H393" s="22">
        <f t="shared" si="121"/>
        <v>97</v>
      </c>
      <c r="I393" s="147">
        <f t="shared" si="122"/>
        <v>97</v>
      </c>
      <c r="J393" s="148"/>
      <c r="K393" s="148"/>
      <c r="L393" s="148"/>
      <c r="M393" s="148">
        <v>85.21</v>
      </c>
      <c r="N393" s="148">
        <v>108.05</v>
      </c>
      <c r="O393" s="148">
        <v>108.05</v>
      </c>
      <c r="P393" s="494"/>
      <c r="Q393" s="147">
        <f t="shared" si="119"/>
        <v>0</v>
      </c>
      <c r="R393" s="148"/>
      <c r="S393" s="148">
        <f t="shared" si="120"/>
        <v>0</v>
      </c>
      <c r="T393" s="148">
        <f t="shared" si="112"/>
        <v>1</v>
      </c>
      <c r="U393" s="148">
        <f t="shared" si="109"/>
        <v>108.05</v>
      </c>
      <c r="V393" s="379"/>
      <c r="W393" s="379"/>
      <c r="X393" s="57">
        <f>'COMPOSIÇÃO DE CUSTOS'!G991</f>
        <v>76.48</v>
      </c>
      <c r="Y393" s="334">
        <v>89.99</v>
      </c>
      <c r="Z393" s="58">
        <f t="shared" si="114"/>
        <v>-13.498499999999993</v>
      </c>
      <c r="AA393" s="58">
        <f t="shared" si="115"/>
        <v>76.491500000000002</v>
      </c>
      <c r="AB393" s="58"/>
      <c r="AC393" s="58">
        <f t="shared" si="116"/>
        <v>97</v>
      </c>
      <c r="AD393" s="58" t="e">
        <f>IF(B393&lt;&gt;0,VLOOKUP(B393,#REF!,2,FALSE),"")</f>
        <v>#REF!</v>
      </c>
      <c r="AE393" s="2">
        <v>9</v>
      </c>
      <c r="AF393" s="55">
        <f t="shared" si="100"/>
        <v>8</v>
      </c>
    </row>
    <row r="394" spans="1:32" s="55" customFormat="1" ht="75">
      <c r="A394" s="21" t="s">
        <v>2729</v>
      </c>
      <c r="B394" s="20">
        <v>94499</v>
      </c>
      <c r="C394" s="19" t="s">
        <v>1661</v>
      </c>
      <c r="D394" s="21" t="s">
        <v>12</v>
      </c>
      <c r="E394" s="21" t="s">
        <v>17</v>
      </c>
      <c r="F394" s="22">
        <v>9</v>
      </c>
      <c r="G394" s="22">
        <f t="shared" si="113"/>
        <v>207.03449999999998</v>
      </c>
      <c r="H394" s="22">
        <f t="shared" si="121"/>
        <v>262.54000000000002</v>
      </c>
      <c r="I394" s="147">
        <f t="shared" si="122"/>
        <v>2362.86</v>
      </c>
      <c r="J394" s="148"/>
      <c r="K394" s="148"/>
      <c r="L394" s="148"/>
      <c r="M394" s="148">
        <v>230.64</v>
      </c>
      <c r="N394" s="148">
        <v>292.47000000000003</v>
      </c>
      <c r="O394" s="148">
        <v>2632.23</v>
      </c>
      <c r="P394" s="494"/>
      <c r="Q394" s="147">
        <f t="shared" si="119"/>
        <v>0</v>
      </c>
      <c r="R394" s="148"/>
      <c r="S394" s="148">
        <f t="shared" si="120"/>
        <v>0</v>
      </c>
      <c r="T394" s="148">
        <f t="shared" si="112"/>
        <v>9</v>
      </c>
      <c r="U394" s="148">
        <f t="shared" si="109"/>
        <v>2632.23</v>
      </c>
      <c r="V394" s="379"/>
      <c r="W394" s="379"/>
      <c r="X394" s="58" t="e">
        <f>IF(B394&lt;&gt;0,VLOOKUP(B394,#REF!,4,FALSE),"")</f>
        <v>#REF!</v>
      </c>
      <c r="Y394" s="334" t="s">
        <v>3299</v>
      </c>
      <c r="Z394" s="58">
        <f t="shared" si="114"/>
        <v>-36.535500000000013</v>
      </c>
      <c r="AA394" s="58">
        <f t="shared" si="115"/>
        <v>1863.3104999999998</v>
      </c>
      <c r="AB394" s="58"/>
      <c r="AC394" s="58">
        <f t="shared" si="116"/>
        <v>2362.86</v>
      </c>
      <c r="AD394" s="58" t="e">
        <f>IF(B394&lt;&gt;0,VLOOKUP(B394,#REF!,2,FALSE),"")</f>
        <v>#REF!</v>
      </c>
      <c r="AE394" s="55">
        <v>1</v>
      </c>
      <c r="AF394" s="55">
        <f t="shared" si="100"/>
        <v>-8</v>
      </c>
    </row>
    <row r="395" spans="1:32" s="55" customFormat="1" ht="30">
      <c r="A395" s="21" t="s">
        <v>2730</v>
      </c>
      <c r="B395" s="20">
        <v>99624</v>
      </c>
      <c r="C395" s="19" t="s">
        <v>185</v>
      </c>
      <c r="D395" s="21" t="s">
        <v>12</v>
      </c>
      <c r="E395" s="21" t="s">
        <v>17</v>
      </c>
      <c r="F395" s="22">
        <v>1</v>
      </c>
      <c r="G395" s="22">
        <f t="shared" si="113"/>
        <v>337.80700000000002</v>
      </c>
      <c r="H395" s="22">
        <f t="shared" si="121"/>
        <v>428.37</v>
      </c>
      <c r="I395" s="147">
        <f t="shared" si="122"/>
        <v>428.37</v>
      </c>
      <c r="J395" s="148"/>
      <c r="K395" s="148"/>
      <c r="L395" s="148"/>
      <c r="M395" s="148">
        <v>376.32</v>
      </c>
      <c r="N395" s="148">
        <v>477.21</v>
      </c>
      <c r="O395" s="148">
        <v>477.21</v>
      </c>
      <c r="P395" s="494"/>
      <c r="Q395" s="147">
        <f t="shared" si="119"/>
        <v>0</v>
      </c>
      <c r="R395" s="148"/>
      <c r="S395" s="148">
        <f t="shared" si="120"/>
        <v>0</v>
      </c>
      <c r="T395" s="148">
        <f t="shared" si="112"/>
        <v>1</v>
      </c>
      <c r="U395" s="148">
        <f t="shared" si="109"/>
        <v>477.21</v>
      </c>
      <c r="V395" s="379"/>
      <c r="W395" s="379"/>
      <c r="X395" s="57" t="e">
        <f>IF(B395&lt;&gt;0,VLOOKUP(B395,#REF!,4,FALSE),"")</f>
        <v>#REF!</v>
      </c>
      <c r="Y395" s="334" t="s">
        <v>3302</v>
      </c>
      <c r="Z395" s="58">
        <f t="shared" si="114"/>
        <v>-59.613</v>
      </c>
      <c r="AA395" s="58">
        <f t="shared" si="115"/>
        <v>337.80700000000002</v>
      </c>
      <c r="AB395" s="58"/>
      <c r="AC395" s="58">
        <f t="shared" si="116"/>
        <v>428.37</v>
      </c>
      <c r="AD395" s="58" t="e">
        <f>IF(B395&lt;&gt;0,VLOOKUP(B395,#REF!,2,FALSE),"")</f>
        <v>#REF!</v>
      </c>
      <c r="AE395" s="55">
        <v>1</v>
      </c>
      <c r="AF395" s="55">
        <f t="shared" si="100"/>
        <v>0</v>
      </c>
    </row>
    <row r="396" spans="1:32" s="23" customFormat="1" ht="38.25" customHeight="1">
      <c r="A396" s="21" t="s">
        <v>2731</v>
      </c>
      <c r="B396" s="20">
        <v>12899</v>
      </c>
      <c r="C396" s="19" t="s">
        <v>186</v>
      </c>
      <c r="D396" s="21" t="s">
        <v>12</v>
      </c>
      <c r="E396" s="21" t="s">
        <v>17</v>
      </c>
      <c r="F396" s="22">
        <v>1</v>
      </c>
      <c r="G396" s="22">
        <f t="shared" si="113"/>
        <v>75.845500000000001</v>
      </c>
      <c r="H396" s="22">
        <f t="shared" si="121"/>
        <v>96.18</v>
      </c>
      <c r="I396" s="147">
        <f t="shared" si="122"/>
        <v>96.18</v>
      </c>
      <c r="J396" s="148"/>
      <c r="K396" s="148"/>
      <c r="L396" s="148"/>
      <c r="M396" s="148">
        <v>84.49</v>
      </c>
      <c r="N396" s="148">
        <v>107.14</v>
      </c>
      <c r="O396" s="148">
        <v>107.14</v>
      </c>
      <c r="P396" s="494"/>
      <c r="Q396" s="147">
        <f t="shared" si="119"/>
        <v>0</v>
      </c>
      <c r="R396" s="148"/>
      <c r="S396" s="148">
        <f t="shared" si="120"/>
        <v>0</v>
      </c>
      <c r="T396" s="148">
        <f t="shared" si="112"/>
        <v>1</v>
      </c>
      <c r="U396" s="148">
        <f t="shared" si="109"/>
        <v>107.14</v>
      </c>
      <c r="V396" s="379"/>
      <c r="W396" s="379"/>
      <c r="X396" s="57" t="e">
        <f>IF(B396&lt;&gt;0,VLOOKUP(B396,#REF!,4,FALSE),"")</f>
        <v>#REF!</v>
      </c>
      <c r="Y396" s="334" t="s">
        <v>3118</v>
      </c>
      <c r="Z396" s="58">
        <f t="shared" si="114"/>
        <v>-13.384500000000003</v>
      </c>
      <c r="AA396" s="58">
        <f t="shared" si="115"/>
        <v>75.845500000000001</v>
      </c>
      <c r="AB396" s="58"/>
      <c r="AC396" s="58">
        <f t="shared" si="116"/>
        <v>96.18</v>
      </c>
      <c r="AD396" s="58" t="e">
        <f>IF(B396&lt;&gt;0,VLOOKUP(B396,#REF!,2,FALSE),"")</f>
        <v>#REF!</v>
      </c>
      <c r="AE396" s="23">
        <v>12</v>
      </c>
      <c r="AF396" s="55">
        <f t="shared" si="100"/>
        <v>11</v>
      </c>
    </row>
    <row r="397" spans="1:32" s="23" customFormat="1" ht="30">
      <c r="A397" s="21" t="s">
        <v>2732</v>
      </c>
      <c r="B397" s="20">
        <v>11824</v>
      </c>
      <c r="C397" s="19" t="s">
        <v>1979</v>
      </c>
      <c r="D397" s="21" t="s">
        <v>44</v>
      </c>
      <c r="E397" s="21" t="s">
        <v>17</v>
      </c>
      <c r="F397" s="22">
        <v>12</v>
      </c>
      <c r="G397" s="22">
        <f t="shared" si="113"/>
        <v>142.3835</v>
      </c>
      <c r="H397" s="22">
        <f t="shared" si="121"/>
        <v>180.56</v>
      </c>
      <c r="I397" s="147">
        <f t="shared" si="122"/>
        <v>2166.7199999999998</v>
      </c>
      <c r="J397" s="148"/>
      <c r="K397" s="148"/>
      <c r="L397" s="148"/>
      <c r="M397" s="148">
        <v>158.62</v>
      </c>
      <c r="N397" s="148">
        <v>201.15</v>
      </c>
      <c r="O397" s="148">
        <v>2413.8000000000002</v>
      </c>
      <c r="P397" s="494"/>
      <c r="Q397" s="147">
        <f t="shared" si="119"/>
        <v>0</v>
      </c>
      <c r="R397" s="148"/>
      <c r="S397" s="148">
        <f t="shared" si="120"/>
        <v>0</v>
      </c>
      <c r="T397" s="148">
        <f t="shared" si="112"/>
        <v>12</v>
      </c>
      <c r="U397" s="148">
        <f t="shared" si="109"/>
        <v>2413.8000000000002</v>
      </c>
      <c r="V397" s="379"/>
      <c r="W397" s="379"/>
      <c r="X397" s="57">
        <f>'COMPOSIÇÃO DE CUSTOS'!G2045</f>
        <v>142.38</v>
      </c>
      <c r="Y397" s="334">
        <v>167.51</v>
      </c>
      <c r="Z397" s="58">
        <f t="shared" si="114"/>
        <v>-25.126499999999993</v>
      </c>
      <c r="AA397" s="58">
        <f t="shared" si="115"/>
        <v>1708.6019999999999</v>
      </c>
      <c r="AB397" s="58"/>
      <c r="AC397" s="58">
        <f t="shared" si="116"/>
        <v>2166.7200000000003</v>
      </c>
      <c r="AD397" s="58" t="e">
        <f>IF(B397&lt;&gt;0,VLOOKUP(B397,#REF!,2,FALSE),"")</f>
        <v>#REF!</v>
      </c>
      <c r="AE397" s="23">
        <v>285</v>
      </c>
      <c r="AF397" s="55">
        <f t="shared" si="100"/>
        <v>273</v>
      </c>
    </row>
    <row r="398" spans="1:32" s="23" customFormat="1" ht="30">
      <c r="A398" s="21" t="s">
        <v>2733</v>
      </c>
      <c r="B398" s="20">
        <v>9973</v>
      </c>
      <c r="C398" s="19" t="s">
        <v>187</v>
      </c>
      <c r="D398" s="21" t="s">
        <v>44</v>
      </c>
      <c r="E398" s="21" t="s">
        <v>17</v>
      </c>
      <c r="F398" s="22">
        <v>285</v>
      </c>
      <c r="G398" s="22">
        <f t="shared" si="113"/>
        <v>118.02249999999999</v>
      </c>
      <c r="H398" s="22">
        <f t="shared" si="121"/>
        <v>149.66</v>
      </c>
      <c r="I398" s="147">
        <f t="shared" si="122"/>
        <v>42653.1</v>
      </c>
      <c r="J398" s="148"/>
      <c r="K398" s="148"/>
      <c r="L398" s="148"/>
      <c r="M398" s="148">
        <v>55.07</v>
      </c>
      <c r="N398" s="148">
        <v>69.83</v>
      </c>
      <c r="O398" s="148">
        <v>19901.55</v>
      </c>
      <c r="P398" s="494"/>
      <c r="Q398" s="147">
        <f t="shared" si="119"/>
        <v>0</v>
      </c>
      <c r="R398" s="148"/>
      <c r="S398" s="148">
        <f t="shared" si="120"/>
        <v>0</v>
      </c>
      <c r="T398" s="148">
        <f t="shared" si="112"/>
        <v>285</v>
      </c>
      <c r="U398" s="148">
        <f t="shared" si="109"/>
        <v>19901.55</v>
      </c>
      <c r="V398" s="379"/>
      <c r="W398" s="379"/>
      <c r="X398" s="57">
        <f>'COMPOSIÇÃO DE CUSTOS'!G998</f>
        <v>118.02</v>
      </c>
      <c r="Y398" s="334">
        <v>138.85</v>
      </c>
      <c r="Z398" s="58">
        <f t="shared" si="114"/>
        <v>-20.827500000000001</v>
      </c>
      <c r="AA398" s="58">
        <f t="shared" si="115"/>
        <v>33636.412499999999</v>
      </c>
      <c r="AB398" s="58"/>
      <c r="AC398" s="58">
        <f t="shared" si="116"/>
        <v>42653.1</v>
      </c>
      <c r="AD398" s="58" t="e">
        <f>IF(B398&lt;&gt;0,VLOOKUP(B398,#REF!,2,FALSE),"")</f>
        <v>#REF!</v>
      </c>
      <c r="AE398" s="23">
        <v>28</v>
      </c>
      <c r="AF398" s="55">
        <f t="shared" si="100"/>
        <v>-257</v>
      </c>
    </row>
    <row r="399" spans="1:32" s="38" customFormat="1" ht="30">
      <c r="A399" s="21" t="s">
        <v>2734</v>
      </c>
      <c r="B399" s="20">
        <v>12895</v>
      </c>
      <c r="C399" s="19" t="s">
        <v>1977</v>
      </c>
      <c r="D399" s="21" t="s">
        <v>44</v>
      </c>
      <c r="E399" s="21" t="s">
        <v>17</v>
      </c>
      <c r="F399" s="22">
        <v>28</v>
      </c>
      <c r="G399" s="22">
        <f t="shared" si="113"/>
        <v>10.863</v>
      </c>
      <c r="H399" s="22">
        <f t="shared" si="121"/>
        <v>13.78</v>
      </c>
      <c r="I399" s="147">
        <f t="shared" si="122"/>
        <v>385.84</v>
      </c>
      <c r="J399" s="148"/>
      <c r="K399" s="148"/>
      <c r="L399" s="148"/>
      <c r="M399" s="148">
        <v>12.1</v>
      </c>
      <c r="N399" s="148">
        <v>15.34</v>
      </c>
      <c r="O399" s="148">
        <v>429.52</v>
      </c>
      <c r="P399" s="494"/>
      <c r="Q399" s="147">
        <f t="shared" si="119"/>
        <v>0</v>
      </c>
      <c r="R399" s="148"/>
      <c r="S399" s="148">
        <f t="shared" si="120"/>
        <v>0</v>
      </c>
      <c r="T399" s="148">
        <f t="shared" si="112"/>
        <v>28</v>
      </c>
      <c r="U399" s="148">
        <f t="shared" si="109"/>
        <v>429.52</v>
      </c>
      <c r="V399" s="379"/>
      <c r="W399" s="379"/>
      <c r="X399" s="57">
        <f>'COMPOSIÇÃO DE CUSTOS'!G2038</f>
        <v>10.86</v>
      </c>
      <c r="Y399" s="334">
        <v>12.78</v>
      </c>
      <c r="Z399" s="58">
        <f t="shared" si="114"/>
        <v>-1.9169999999999998</v>
      </c>
      <c r="AA399" s="58">
        <f t="shared" si="115"/>
        <v>304.16399999999999</v>
      </c>
      <c r="AB399" s="58"/>
      <c r="AC399" s="58">
        <f t="shared" si="116"/>
        <v>385.84</v>
      </c>
      <c r="AD399" s="58" t="e">
        <f>IF(B399&lt;&gt;0,VLOOKUP(B399,#REF!,2,FALSE),"")</f>
        <v>#REF!</v>
      </c>
      <c r="AE399" s="38">
        <v>17</v>
      </c>
      <c r="AF399" s="55">
        <f t="shared" ref="AF399:AF455" si="123">AE399-F399</f>
        <v>-11</v>
      </c>
    </row>
    <row r="400" spans="1:32">
      <c r="A400" s="21" t="s">
        <v>2735</v>
      </c>
      <c r="B400" s="20">
        <v>115031</v>
      </c>
      <c r="C400" s="19" t="s">
        <v>188</v>
      </c>
      <c r="D400" s="21" t="s">
        <v>1914</v>
      </c>
      <c r="E400" s="21" t="s">
        <v>17</v>
      </c>
      <c r="F400" s="22">
        <v>17</v>
      </c>
      <c r="G400" s="22">
        <f t="shared" si="113"/>
        <v>11.849</v>
      </c>
      <c r="H400" s="22">
        <f t="shared" si="121"/>
        <v>15.03</v>
      </c>
      <c r="I400" s="147">
        <f t="shared" si="122"/>
        <v>255.51</v>
      </c>
      <c r="J400" s="148"/>
      <c r="K400" s="148"/>
      <c r="L400" s="148"/>
      <c r="M400" s="148">
        <v>13.2</v>
      </c>
      <c r="N400" s="148">
        <v>16.739999999999998</v>
      </c>
      <c r="O400" s="148">
        <v>284.58</v>
      </c>
      <c r="P400" s="494"/>
      <c r="Q400" s="147">
        <f t="shared" si="119"/>
        <v>0</v>
      </c>
      <c r="R400" s="148"/>
      <c r="S400" s="148">
        <f t="shared" si="120"/>
        <v>0</v>
      </c>
      <c r="T400" s="148">
        <f t="shared" si="112"/>
        <v>17</v>
      </c>
      <c r="U400" s="148">
        <f t="shared" si="109"/>
        <v>284.58</v>
      </c>
      <c r="V400" s="379"/>
      <c r="W400" s="379"/>
      <c r="X400" s="57">
        <f>'COMPOSIÇÃO DE CUSTOS'!G1005</f>
        <v>11.85</v>
      </c>
      <c r="Y400" s="334">
        <v>13.94</v>
      </c>
      <c r="Z400" s="58">
        <f t="shared" si="114"/>
        <v>-2.0909999999999993</v>
      </c>
      <c r="AA400" s="58">
        <f t="shared" si="115"/>
        <v>201.43299999999999</v>
      </c>
      <c r="AB400" s="58"/>
      <c r="AC400" s="58">
        <f t="shared" si="116"/>
        <v>255.51</v>
      </c>
      <c r="AD400" s="58" t="e">
        <f>IF(B400&lt;&gt;0,VLOOKUP(B400,#REF!,2,FALSE),"")</f>
        <v>#REF!</v>
      </c>
      <c r="AE400" s="2">
        <v>1</v>
      </c>
      <c r="AF400" s="55">
        <f t="shared" si="123"/>
        <v>-16</v>
      </c>
    </row>
    <row r="401" spans="1:32">
      <c r="A401" s="21" t="s">
        <v>2736</v>
      </c>
      <c r="B401" s="20">
        <v>388251</v>
      </c>
      <c r="C401" s="19" t="s">
        <v>189</v>
      </c>
      <c r="D401" s="21" t="s">
        <v>1914</v>
      </c>
      <c r="E401" s="21" t="s">
        <v>17</v>
      </c>
      <c r="F401" s="22">
        <v>1</v>
      </c>
      <c r="G401" s="22">
        <f t="shared" si="113"/>
        <v>2444.8634999999999</v>
      </c>
      <c r="H401" s="22">
        <f t="shared" si="121"/>
        <v>3100.33</v>
      </c>
      <c r="I401" s="147">
        <f t="shared" si="122"/>
        <v>3100.33</v>
      </c>
      <c r="J401" s="148"/>
      <c r="K401" s="148"/>
      <c r="L401" s="148"/>
      <c r="M401" s="148">
        <v>2723.6</v>
      </c>
      <c r="N401" s="148">
        <v>3453.8</v>
      </c>
      <c r="O401" s="148">
        <v>3453.8</v>
      </c>
      <c r="P401" s="494"/>
      <c r="Q401" s="147">
        <f t="shared" si="119"/>
        <v>0</v>
      </c>
      <c r="R401" s="148"/>
      <c r="S401" s="148">
        <f t="shared" si="120"/>
        <v>0</v>
      </c>
      <c r="T401" s="148">
        <f t="shared" si="112"/>
        <v>1</v>
      </c>
      <c r="U401" s="148">
        <f t="shared" si="109"/>
        <v>3453.8</v>
      </c>
      <c r="V401" s="379"/>
      <c r="W401" s="379"/>
      <c r="X401" s="57">
        <f>'COMPOSIÇÃO DE CUSTOS'!G1012</f>
        <v>2444.87</v>
      </c>
      <c r="Y401" s="334">
        <v>2876.31</v>
      </c>
      <c r="Z401" s="58">
        <f t="shared" si="114"/>
        <v>-431.44650000000001</v>
      </c>
      <c r="AA401" s="58">
        <f t="shared" si="115"/>
        <v>2444.8634999999999</v>
      </c>
      <c r="AB401" s="58"/>
      <c r="AC401" s="58">
        <f t="shared" si="116"/>
        <v>3100.33</v>
      </c>
      <c r="AD401" s="58" t="e">
        <f>IF(B401&lt;&gt;0,VLOOKUP(B401,#REF!,2,FALSE),"")</f>
        <v>#REF!</v>
      </c>
      <c r="AE401" s="2">
        <v>17</v>
      </c>
      <c r="AF401" s="55">
        <f t="shared" si="123"/>
        <v>16</v>
      </c>
    </row>
    <row r="402" spans="1:32" s="23" customFormat="1" ht="45">
      <c r="A402" s="21" t="s">
        <v>2737</v>
      </c>
      <c r="B402" s="20">
        <v>95777</v>
      </c>
      <c r="C402" s="19" t="s">
        <v>1662</v>
      </c>
      <c r="D402" s="21" t="s">
        <v>12</v>
      </c>
      <c r="E402" s="21" t="s">
        <v>17</v>
      </c>
      <c r="F402" s="22">
        <v>17</v>
      </c>
      <c r="G402" s="22">
        <f t="shared" si="113"/>
        <v>18.750999999999998</v>
      </c>
      <c r="H402" s="22">
        <f t="shared" si="121"/>
        <v>23.78</v>
      </c>
      <c r="I402" s="147">
        <f t="shared" si="122"/>
        <v>404.26</v>
      </c>
      <c r="J402" s="148"/>
      <c r="K402" s="148"/>
      <c r="L402" s="148"/>
      <c r="M402" s="148">
        <v>20.89</v>
      </c>
      <c r="N402" s="148">
        <v>26.49</v>
      </c>
      <c r="O402" s="148">
        <v>450.33</v>
      </c>
      <c r="P402" s="494"/>
      <c r="Q402" s="147">
        <f t="shared" si="119"/>
        <v>0</v>
      </c>
      <c r="R402" s="148"/>
      <c r="S402" s="148">
        <f t="shared" si="120"/>
        <v>0</v>
      </c>
      <c r="T402" s="148">
        <f t="shared" si="112"/>
        <v>17</v>
      </c>
      <c r="U402" s="148">
        <f t="shared" si="109"/>
        <v>450.33</v>
      </c>
      <c r="V402" s="379"/>
      <c r="W402" s="379"/>
      <c r="X402" s="57" t="e">
        <f>IF(B402&lt;&gt;0,VLOOKUP(B402,#REF!,4,FALSE),"")</f>
        <v>#REF!</v>
      </c>
      <c r="Y402" s="334" t="s">
        <v>3234</v>
      </c>
      <c r="Z402" s="58">
        <f t="shared" si="114"/>
        <v>-3.3090000000000011</v>
      </c>
      <c r="AA402" s="58">
        <f t="shared" si="115"/>
        <v>318.76699999999994</v>
      </c>
      <c r="AB402" s="58"/>
      <c r="AC402" s="58">
        <f t="shared" si="116"/>
        <v>404.26</v>
      </c>
      <c r="AD402" s="58" t="e">
        <f>IF(B402&lt;&gt;0,VLOOKUP(B402,#REF!,2,FALSE),"")</f>
        <v>#REF!</v>
      </c>
      <c r="AE402" s="23">
        <v>1</v>
      </c>
      <c r="AF402" s="55">
        <f t="shared" si="123"/>
        <v>-16</v>
      </c>
    </row>
    <row r="403" spans="1:32" s="23" customFormat="1" ht="30">
      <c r="A403" s="21" t="s">
        <v>2738</v>
      </c>
      <c r="B403" s="20" t="s">
        <v>2173</v>
      </c>
      <c r="C403" s="19" t="s">
        <v>190</v>
      </c>
      <c r="D403" s="21" t="s">
        <v>70</v>
      </c>
      <c r="E403" s="21" t="s">
        <v>17</v>
      </c>
      <c r="F403" s="22">
        <v>1</v>
      </c>
      <c r="G403" s="22">
        <f t="shared" si="113"/>
        <v>342.15899999999999</v>
      </c>
      <c r="H403" s="22">
        <f t="shared" si="121"/>
        <v>433.89</v>
      </c>
      <c r="I403" s="147">
        <f t="shared" si="122"/>
        <v>433.89</v>
      </c>
      <c r="J403" s="148"/>
      <c r="K403" s="148"/>
      <c r="L403" s="148"/>
      <c r="M403" s="148">
        <v>381.17</v>
      </c>
      <c r="N403" s="148">
        <v>483.36</v>
      </c>
      <c r="O403" s="148">
        <v>483.36</v>
      </c>
      <c r="P403" s="494"/>
      <c r="Q403" s="147">
        <f t="shared" si="119"/>
        <v>0</v>
      </c>
      <c r="R403" s="148"/>
      <c r="S403" s="148">
        <f t="shared" si="120"/>
        <v>0</v>
      </c>
      <c r="T403" s="148">
        <f t="shared" si="112"/>
        <v>1</v>
      </c>
      <c r="U403" s="148">
        <f t="shared" si="109"/>
        <v>483.36</v>
      </c>
      <c r="V403" s="379"/>
      <c r="W403" s="379"/>
      <c r="X403" s="57">
        <f>'COMPOSIÇÃO DE CUSTOS'!G1019</f>
        <v>342.15</v>
      </c>
      <c r="Y403" s="334">
        <v>402.54</v>
      </c>
      <c r="Z403" s="58">
        <f t="shared" si="114"/>
        <v>-60.381000000000029</v>
      </c>
      <c r="AA403" s="58">
        <f t="shared" si="115"/>
        <v>342.15899999999999</v>
      </c>
      <c r="AB403" s="58"/>
      <c r="AC403" s="58">
        <f t="shared" si="116"/>
        <v>433.89</v>
      </c>
      <c r="AD403" s="58" t="e">
        <f>IF(B403&lt;&gt;0,VLOOKUP(B403,#REF!,2,FALSE),"")</f>
        <v>#REF!</v>
      </c>
      <c r="AF403" s="55">
        <f t="shared" si="123"/>
        <v>-1</v>
      </c>
    </row>
    <row r="404" spans="1:32" s="23" customFormat="1">
      <c r="A404" s="21"/>
      <c r="B404" s="20"/>
      <c r="C404" s="19"/>
      <c r="D404" s="21"/>
      <c r="E404" s="21"/>
      <c r="F404" s="22"/>
      <c r="G404" s="22"/>
      <c r="H404" s="22"/>
      <c r="I404" s="147"/>
      <c r="J404" s="148"/>
      <c r="K404" s="148"/>
      <c r="L404" s="148"/>
      <c r="M404" s="148"/>
      <c r="N404" s="148"/>
      <c r="O404" s="148"/>
      <c r="P404" s="494"/>
      <c r="Q404" s="147"/>
      <c r="R404" s="148"/>
      <c r="S404" s="148"/>
      <c r="T404" s="148" t="str">
        <f t="shared" si="112"/>
        <v xml:space="preserve"> </v>
      </c>
      <c r="U404" s="148"/>
      <c r="V404" s="379"/>
      <c r="W404" s="379"/>
      <c r="X404" s="58" t="str">
        <f>IF(B404&lt;&gt;0,VLOOKUP(B404,#REF!,4,FALSE),"")</f>
        <v/>
      </c>
      <c r="Y404" s="334" t="s">
        <v>1891</v>
      </c>
      <c r="Z404" s="58"/>
      <c r="AA404" s="58">
        <f t="shared" si="115"/>
        <v>0</v>
      </c>
      <c r="AB404" s="58"/>
      <c r="AC404" s="58">
        <f t="shared" si="116"/>
        <v>0</v>
      </c>
      <c r="AD404" s="58" t="str">
        <f>IF(B404&lt;&gt;0,VLOOKUP(B404,#REF!,2,FALSE),"")</f>
        <v/>
      </c>
      <c r="AF404" s="55">
        <f t="shared" si="123"/>
        <v>0</v>
      </c>
    </row>
    <row r="405" spans="1:32" s="23" customFormat="1">
      <c r="A405" s="69" t="s">
        <v>981</v>
      </c>
      <c r="B405" s="129"/>
      <c r="C405" s="229" t="s">
        <v>191</v>
      </c>
      <c r="D405" s="230"/>
      <c r="E405" s="230"/>
      <c r="F405" s="230"/>
      <c r="G405" s="22"/>
      <c r="H405" s="230"/>
      <c r="I405" s="445">
        <f>ROUND(I406+I447+I514+I533+I568+I572+I614+I627+I682+I839+I868,2)</f>
        <v>1232200.57</v>
      </c>
      <c r="J405" s="440"/>
      <c r="K405" s="440"/>
      <c r="L405" s="440"/>
      <c r="M405" s="440"/>
      <c r="N405" s="440"/>
      <c r="O405" s="440">
        <v>1407200.5</v>
      </c>
      <c r="P405" s="492"/>
      <c r="Q405" s="440">
        <f>ROUND(Q406+Q447+Q514+Q533+Q568+Q572+Q614+Q627+Q682+Q839+Q868,2)</f>
        <v>2772.8</v>
      </c>
      <c r="R405" s="440"/>
      <c r="S405" s="440">
        <f>ROUND(S406+S447+S514+S533+S568+S572+S614+S627+S682+S839+S868,2)</f>
        <v>5003.7299999999996</v>
      </c>
      <c r="T405" s="148" t="str">
        <f t="shared" si="112"/>
        <v xml:space="preserve"> </v>
      </c>
      <c r="U405" s="440">
        <f t="shared" si="109"/>
        <v>1404969.57</v>
      </c>
      <c r="V405" s="330"/>
      <c r="W405" s="330"/>
      <c r="X405" s="58" t="str">
        <f>IF(B405&lt;&gt;0,VLOOKUP(B405,#REF!,4,FALSE),"")</f>
        <v/>
      </c>
      <c r="Y405" s="334" t="s">
        <v>1891</v>
      </c>
      <c r="Z405" s="58"/>
      <c r="AA405" s="58">
        <f t="shared" si="115"/>
        <v>0</v>
      </c>
      <c r="AB405" s="58"/>
      <c r="AC405" s="58">
        <f t="shared" si="116"/>
        <v>0</v>
      </c>
      <c r="AD405" s="58" t="str">
        <f>IF(B405&lt;&gt;0,VLOOKUP(B405,#REF!,2,FALSE),"")</f>
        <v/>
      </c>
      <c r="AF405" s="55">
        <f t="shared" si="123"/>
        <v>0</v>
      </c>
    </row>
    <row r="406" spans="1:32" s="23" customFormat="1">
      <c r="A406" s="69" t="s">
        <v>982</v>
      </c>
      <c r="B406" s="129"/>
      <c r="C406" s="229" t="s">
        <v>192</v>
      </c>
      <c r="D406" s="230"/>
      <c r="E406" s="230"/>
      <c r="F406" s="230"/>
      <c r="G406" s="22"/>
      <c r="H406" s="230"/>
      <c r="I406" s="445">
        <f>SUM(I408:I445)</f>
        <v>84046.17</v>
      </c>
      <c r="J406" s="440"/>
      <c r="K406" s="440"/>
      <c r="L406" s="440"/>
      <c r="M406" s="440"/>
      <c r="N406" s="440"/>
      <c r="O406" s="440">
        <v>128518.53</v>
      </c>
      <c r="P406" s="492"/>
      <c r="Q406" s="440">
        <f>SUM(Q408:Q445)</f>
        <v>0</v>
      </c>
      <c r="R406" s="440"/>
      <c r="S406" s="440">
        <f>SUM(S408:S445)</f>
        <v>0</v>
      </c>
      <c r="T406" s="148" t="str">
        <f t="shared" si="112"/>
        <v xml:space="preserve"> </v>
      </c>
      <c r="U406" s="440">
        <f t="shared" si="109"/>
        <v>128518.53</v>
      </c>
      <c r="V406" s="330"/>
      <c r="W406" s="330"/>
      <c r="X406" s="58" t="str">
        <f>IF(B406&lt;&gt;0,VLOOKUP(B406,#REF!,4,FALSE),"")</f>
        <v/>
      </c>
      <c r="Y406" s="334" t="s">
        <v>1891</v>
      </c>
      <c r="Z406" s="58"/>
      <c r="AA406" s="58">
        <f t="shared" si="115"/>
        <v>0</v>
      </c>
      <c r="AB406" s="58"/>
      <c r="AC406" s="58">
        <f t="shared" si="116"/>
        <v>0</v>
      </c>
      <c r="AD406" s="58" t="str">
        <f>IF(B406&lt;&gt;0,VLOOKUP(B406,#REF!,2,FALSE),"")</f>
        <v/>
      </c>
      <c r="AF406" s="55">
        <f t="shared" si="123"/>
        <v>0</v>
      </c>
    </row>
    <row r="407" spans="1:32" s="23" customFormat="1">
      <c r="A407" s="69" t="s">
        <v>983</v>
      </c>
      <c r="B407" s="129"/>
      <c r="C407" s="229" t="s">
        <v>193</v>
      </c>
      <c r="D407" s="230"/>
      <c r="E407" s="230"/>
      <c r="F407" s="230"/>
      <c r="G407" s="22"/>
      <c r="H407" s="230"/>
      <c r="I407" s="445"/>
      <c r="J407" s="440"/>
      <c r="K407" s="440"/>
      <c r="L407" s="440"/>
      <c r="M407" s="440"/>
      <c r="N407" s="440"/>
      <c r="O407" s="440"/>
      <c r="P407" s="492"/>
      <c r="Q407" s="147"/>
      <c r="R407" s="440"/>
      <c r="S407" s="440"/>
      <c r="T407" s="148" t="str">
        <f t="shared" si="112"/>
        <v xml:space="preserve"> </v>
      </c>
      <c r="U407" s="148"/>
      <c r="V407" s="330"/>
      <c r="W407" s="330"/>
      <c r="X407" s="58" t="str">
        <f>IF(B407&lt;&gt;0,VLOOKUP(B407,#REF!,4,FALSE),"")</f>
        <v/>
      </c>
      <c r="Y407" s="334" t="s">
        <v>1891</v>
      </c>
      <c r="Z407" s="58"/>
      <c r="AA407" s="58">
        <f t="shared" si="115"/>
        <v>0</v>
      </c>
      <c r="AB407" s="58"/>
      <c r="AC407" s="58">
        <f t="shared" si="116"/>
        <v>0</v>
      </c>
      <c r="AD407" s="58" t="str">
        <f>IF(B407&lt;&gt;0,VLOOKUP(B407,#REF!,2,FALSE),"")</f>
        <v/>
      </c>
      <c r="AE407" s="23">
        <v>10</v>
      </c>
      <c r="AF407" s="55">
        <f t="shared" si="123"/>
        <v>10</v>
      </c>
    </row>
    <row r="408" spans="1:32" s="55" customFormat="1" ht="30">
      <c r="A408" s="21" t="s">
        <v>984</v>
      </c>
      <c r="B408" s="20" t="s">
        <v>2311</v>
      </c>
      <c r="C408" s="19" t="s">
        <v>245</v>
      </c>
      <c r="D408" s="21" t="s">
        <v>70</v>
      </c>
      <c r="E408" s="21" t="s">
        <v>52</v>
      </c>
      <c r="F408" s="22">
        <v>10</v>
      </c>
      <c r="G408" s="22">
        <f t="shared" si="113"/>
        <v>21.5305</v>
      </c>
      <c r="H408" s="22">
        <f t="shared" ref="H408:H429" si="124">ROUND(G408*(1+$X$13),2)</f>
        <v>27.3</v>
      </c>
      <c r="I408" s="147">
        <f t="shared" ref="I408:I429" si="125">ROUND(H408*F408,2)</f>
        <v>273</v>
      </c>
      <c r="J408" s="148"/>
      <c r="K408" s="148"/>
      <c r="L408" s="148"/>
      <c r="M408" s="148">
        <v>23.99</v>
      </c>
      <c r="N408" s="148">
        <v>30.42</v>
      </c>
      <c r="O408" s="148">
        <v>304.2</v>
      </c>
      <c r="P408" s="494"/>
      <c r="Q408" s="147">
        <f t="shared" si="119"/>
        <v>0</v>
      </c>
      <c r="R408" s="148"/>
      <c r="S408" s="148">
        <f t="shared" ref="S408:S445" si="126">ROUND(R408*N408,2)</f>
        <v>0</v>
      </c>
      <c r="T408" s="148">
        <f t="shared" si="112"/>
        <v>10</v>
      </c>
      <c r="U408" s="148">
        <f t="shared" si="109"/>
        <v>304.2</v>
      </c>
      <c r="V408" s="379"/>
      <c r="W408" s="379"/>
      <c r="X408" s="57">
        <f>'COMPOSIÇÃO DE CUSTOS'!G1364</f>
        <v>23.41</v>
      </c>
      <c r="Y408" s="334">
        <v>25.33</v>
      </c>
      <c r="Z408" s="58">
        <f t="shared" si="114"/>
        <v>-3.7994999999999983</v>
      </c>
      <c r="AA408" s="58">
        <f t="shared" si="115"/>
        <v>215.30500000000001</v>
      </c>
      <c r="AB408" s="58"/>
      <c r="AC408" s="58">
        <f t="shared" si="116"/>
        <v>273</v>
      </c>
      <c r="AD408" s="58" t="e">
        <f>IF(B408&lt;&gt;0,VLOOKUP(B408,#REF!,2,FALSE),"")</f>
        <v>#REF!</v>
      </c>
      <c r="AE408" s="55">
        <v>16</v>
      </c>
      <c r="AF408" s="55">
        <f t="shared" si="123"/>
        <v>6</v>
      </c>
    </row>
    <row r="409" spans="1:32" s="55" customFormat="1" ht="45">
      <c r="A409" s="21" t="s">
        <v>985</v>
      </c>
      <c r="B409" s="20">
        <v>91865</v>
      </c>
      <c r="C409" s="19" t="s">
        <v>1702</v>
      </c>
      <c r="D409" s="21" t="s">
        <v>12</v>
      </c>
      <c r="E409" s="21" t="s">
        <v>52</v>
      </c>
      <c r="F409" s="22">
        <v>16</v>
      </c>
      <c r="G409" s="22">
        <f t="shared" si="113"/>
        <v>11.322000000000001</v>
      </c>
      <c r="H409" s="22">
        <f t="shared" si="124"/>
        <v>14.36</v>
      </c>
      <c r="I409" s="147">
        <f t="shared" si="125"/>
        <v>229.76</v>
      </c>
      <c r="J409" s="148"/>
      <c r="K409" s="148"/>
      <c r="L409" s="148"/>
      <c r="M409" s="148">
        <v>12.61</v>
      </c>
      <c r="N409" s="148">
        <v>15.99</v>
      </c>
      <c r="O409" s="148">
        <v>255.84</v>
      </c>
      <c r="P409" s="494"/>
      <c r="Q409" s="147">
        <f t="shared" si="119"/>
        <v>0</v>
      </c>
      <c r="R409" s="148"/>
      <c r="S409" s="148">
        <f t="shared" si="126"/>
        <v>0</v>
      </c>
      <c r="T409" s="148">
        <f t="shared" si="112"/>
        <v>16</v>
      </c>
      <c r="U409" s="148">
        <f t="shared" si="109"/>
        <v>255.84</v>
      </c>
      <c r="V409" s="379"/>
      <c r="W409" s="379"/>
      <c r="X409" s="58" t="e">
        <f>IF(B409&lt;&gt;0,VLOOKUP(B409,#REF!,4,FALSE),"")</f>
        <v>#REF!</v>
      </c>
      <c r="Y409" s="334" t="s">
        <v>3102</v>
      </c>
      <c r="Z409" s="58">
        <f t="shared" si="114"/>
        <v>-1.9979999999999993</v>
      </c>
      <c r="AA409" s="58">
        <f t="shared" si="115"/>
        <v>181.15200000000002</v>
      </c>
      <c r="AB409" s="58"/>
      <c r="AC409" s="58">
        <f t="shared" si="116"/>
        <v>229.76</v>
      </c>
      <c r="AD409" s="58" t="e">
        <f>IF(B409&lt;&gt;0,VLOOKUP(B409,#REF!,2,FALSE),"")</f>
        <v>#REF!</v>
      </c>
      <c r="AE409" s="55">
        <v>6</v>
      </c>
      <c r="AF409" s="55">
        <f t="shared" si="123"/>
        <v>-10</v>
      </c>
    </row>
    <row r="410" spans="1:32" s="55" customFormat="1" ht="60">
      <c r="A410" s="21" t="s">
        <v>986</v>
      </c>
      <c r="B410" s="20">
        <v>91877</v>
      </c>
      <c r="C410" s="19" t="s">
        <v>1704</v>
      </c>
      <c r="D410" s="21" t="s">
        <v>12</v>
      </c>
      <c r="E410" s="21" t="s">
        <v>17</v>
      </c>
      <c r="F410" s="22">
        <v>6</v>
      </c>
      <c r="G410" s="22">
        <f t="shared" si="113"/>
        <v>6.681</v>
      </c>
      <c r="H410" s="22">
        <f t="shared" si="124"/>
        <v>8.4700000000000006</v>
      </c>
      <c r="I410" s="147">
        <f t="shared" si="125"/>
        <v>50.82</v>
      </c>
      <c r="J410" s="148"/>
      <c r="K410" s="148"/>
      <c r="L410" s="148"/>
      <c r="M410" s="148">
        <v>7.44</v>
      </c>
      <c r="N410" s="148">
        <v>9.43</v>
      </c>
      <c r="O410" s="148">
        <v>56.58</v>
      </c>
      <c r="P410" s="494"/>
      <c r="Q410" s="147">
        <f t="shared" si="119"/>
        <v>0</v>
      </c>
      <c r="R410" s="148"/>
      <c r="S410" s="148">
        <f t="shared" si="126"/>
        <v>0</v>
      </c>
      <c r="T410" s="148">
        <f t="shared" si="112"/>
        <v>6</v>
      </c>
      <c r="U410" s="148">
        <f t="shared" si="109"/>
        <v>56.58</v>
      </c>
      <c r="V410" s="379"/>
      <c r="W410" s="379"/>
      <c r="X410" s="58" t="e">
        <f>IF(B410&lt;&gt;0,VLOOKUP(B410,#REF!,4,FALSE),"")</f>
        <v>#REF!</v>
      </c>
      <c r="Y410" s="334" t="s">
        <v>3034</v>
      </c>
      <c r="Z410" s="58">
        <f t="shared" si="114"/>
        <v>-1.1790000000000003</v>
      </c>
      <c r="AA410" s="58">
        <f t="shared" si="115"/>
        <v>40.085999999999999</v>
      </c>
      <c r="AB410" s="58"/>
      <c r="AC410" s="58">
        <f t="shared" si="116"/>
        <v>50.820000000000007</v>
      </c>
      <c r="AD410" s="58" t="e">
        <f>IF(B410&lt;&gt;0,VLOOKUP(B410,#REF!,2,FALSE),"")</f>
        <v>#REF!</v>
      </c>
      <c r="AE410" s="55">
        <v>80</v>
      </c>
      <c r="AF410" s="55">
        <f t="shared" si="123"/>
        <v>74</v>
      </c>
    </row>
    <row r="411" spans="1:32" s="55" customFormat="1" ht="45">
      <c r="A411" s="21" t="s">
        <v>987</v>
      </c>
      <c r="B411" s="20">
        <v>91873</v>
      </c>
      <c r="C411" s="19" t="s">
        <v>1665</v>
      </c>
      <c r="D411" s="21" t="s">
        <v>12</v>
      </c>
      <c r="E411" s="21" t="s">
        <v>52</v>
      </c>
      <c r="F411" s="22">
        <v>80</v>
      </c>
      <c r="G411" s="22">
        <f t="shared" si="113"/>
        <v>11.8065</v>
      </c>
      <c r="H411" s="22">
        <f t="shared" si="124"/>
        <v>14.97</v>
      </c>
      <c r="I411" s="147">
        <f t="shared" si="125"/>
        <v>1197.5999999999999</v>
      </c>
      <c r="J411" s="148"/>
      <c r="K411" s="148"/>
      <c r="L411" s="148"/>
      <c r="M411" s="148">
        <v>13.15</v>
      </c>
      <c r="N411" s="148">
        <v>16.68</v>
      </c>
      <c r="O411" s="148">
        <v>1334.4</v>
      </c>
      <c r="P411" s="494"/>
      <c r="Q411" s="147">
        <f t="shared" si="119"/>
        <v>0</v>
      </c>
      <c r="R411" s="148"/>
      <c r="S411" s="148">
        <f t="shared" si="126"/>
        <v>0</v>
      </c>
      <c r="T411" s="148">
        <f t="shared" si="112"/>
        <v>80</v>
      </c>
      <c r="U411" s="148">
        <f t="shared" si="109"/>
        <v>1334.4</v>
      </c>
      <c r="V411" s="379"/>
      <c r="W411" s="379"/>
      <c r="X411" s="58" t="e">
        <f>IF(B411&lt;&gt;0,VLOOKUP(B411,#REF!,4,FALSE),"")</f>
        <v>#REF!</v>
      </c>
      <c r="Y411" s="334" t="s">
        <v>3154</v>
      </c>
      <c r="Z411" s="58">
        <f t="shared" si="114"/>
        <v>-2.0835000000000008</v>
      </c>
      <c r="AA411" s="58">
        <f t="shared" si="115"/>
        <v>944.52</v>
      </c>
      <c r="AB411" s="58"/>
      <c r="AC411" s="58">
        <f t="shared" si="116"/>
        <v>1197.6000000000001</v>
      </c>
      <c r="AD411" s="58" t="e">
        <f>IF(B411&lt;&gt;0,VLOOKUP(B411,#REF!,2,FALSE),"")</f>
        <v>#REF!</v>
      </c>
      <c r="AE411" s="55">
        <v>21</v>
      </c>
      <c r="AF411" s="55">
        <f t="shared" si="123"/>
        <v>-59</v>
      </c>
    </row>
    <row r="412" spans="1:32" s="55" customFormat="1" ht="60">
      <c r="A412" s="21" t="s">
        <v>988</v>
      </c>
      <c r="B412" s="20">
        <v>91920</v>
      </c>
      <c r="C412" s="19" t="s">
        <v>1666</v>
      </c>
      <c r="D412" s="21" t="s">
        <v>12</v>
      </c>
      <c r="E412" s="21" t="s">
        <v>17</v>
      </c>
      <c r="F412" s="22">
        <v>21</v>
      </c>
      <c r="G412" s="22">
        <f t="shared" si="113"/>
        <v>11.942500000000001</v>
      </c>
      <c r="H412" s="22">
        <f t="shared" si="124"/>
        <v>15.14</v>
      </c>
      <c r="I412" s="147">
        <f t="shared" si="125"/>
        <v>317.94</v>
      </c>
      <c r="J412" s="148"/>
      <c r="K412" s="148"/>
      <c r="L412" s="148"/>
      <c r="M412" s="148">
        <v>13.3</v>
      </c>
      <c r="N412" s="148">
        <v>16.87</v>
      </c>
      <c r="O412" s="148">
        <v>354.27</v>
      </c>
      <c r="P412" s="494"/>
      <c r="Q412" s="147">
        <f t="shared" si="119"/>
        <v>0</v>
      </c>
      <c r="R412" s="148"/>
      <c r="S412" s="148">
        <f t="shared" si="126"/>
        <v>0</v>
      </c>
      <c r="T412" s="148">
        <f t="shared" si="112"/>
        <v>21</v>
      </c>
      <c r="U412" s="148">
        <f t="shared" si="109"/>
        <v>354.27</v>
      </c>
      <c r="V412" s="379"/>
      <c r="W412" s="379"/>
      <c r="X412" s="58" t="e">
        <f>IF(B412&lt;&gt;0,VLOOKUP(B412,#REF!,4,FALSE),"")</f>
        <v>#REF!</v>
      </c>
      <c r="Y412" s="334" t="s">
        <v>3207</v>
      </c>
      <c r="Z412" s="58">
        <f t="shared" si="114"/>
        <v>-2.1074999999999999</v>
      </c>
      <c r="AA412" s="58">
        <f t="shared" si="115"/>
        <v>250.79250000000002</v>
      </c>
      <c r="AB412" s="58"/>
      <c r="AC412" s="58">
        <f t="shared" si="116"/>
        <v>317.94</v>
      </c>
      <c r="AD412" s="58" t="e">
        <f>IF(B412&lt;&gt;0,VLOOKUP(B412,#REF!,2,FALSE),"")</f>
        <v>#REF!</v>
      </c>
      <c r="AE412" s="55">
        <v>67</v>
      </c>
      <c r="AF412" s="55">
        <f t="shared" si="123"/>
        <v>46</v>
      </c>
    </row>
    <row r="413" spans="1:32" s="55" customFormat="1" ht="60">
      <c r="A413" s="21" t="s">
        <v>989</v>
      </c>
      <c r="B413" s="20">
        <v>91886</v>
      </c>
      <c r="C413" s="19" t="s">
        <v>1667</v>
      </c>
      <c r="D413" s="21" t="s">
        <v>12</v>
      </c>
      <c r="E413" s="21" t="s">
        <v>17</v>
      </c>
      <c r="F413" s="22">
        <v>67</v>
      </c>
      <c r="G413" s="22">
        <f t="shared" si="113"/>
        <v>7.5565000000000007</v>
      </c>
      <c r="H413" s="22">
        <f t="shared" si="124"/>
        <v>9.58</v>
      </c>
      <c r="I413" s="147">
        <f t="shared" si="125"/>
        <v>641.86</v>
      </c>
      <c r="J413" s="148"/>
      <c r="K413" s="148"/>
      <c r="L413" s="148"/>
      <c r="M413" s="148">
        <v>8.42</v>
      </c>
      <c r="N413" s="148">
        <v>10.68</v>
      </c>
      <c r="O413" s="148">
        <v>715.56</v>
      </c>
      <c r="P413" s="494"/>
      <c r="Q413" s="147">
        <f t="shared" si="119"/>
        <v>0</v>
      </c>
      <c r="R413" s="148"/>
      <c r="S413" s="148">
        <f t="shared" si="126"/>
        <v>0</v>
      </c>
      <c r="T413" s="148">
        <f t="shared" si="112"/>
        <v>67</v>
      </c>
      <c r="U413" s="148">
        <f t="shared" si="109"/>
        <v>715.56</v>
      </c>
      <c r="V413" s="379"/>
      <c r="W413" s="379"/>
      <c r="X413" s="58" t="e">
        <f>IF(B413&lt;&gt;0,VLOOKUP(B413,#REF!,4,FALSE),"")</f>
        <v>#REF!</v>
      </c>
      <c r="Y413" s="334" t="s">
        <v>1906</v>
      </c>
      <c r="Z413" s="58">
        <f t="shared" si="114"/>
        <v>-1.3334999999999999</v>
      </c>
      <c r="AA413" s="58">
        <f t="shared" si="115"/>
        <v>506.28550000000007</v>
      </c>
      <c r="AB413" s="58"/>
      <c r="AC413" s="58">
        <f t="shared" si="116"/>
        <v>641.86</v>
      </c>
      <c r="AD413" s="58" t="e">
        <f>IF(B413&lt;&gt;0,VLOOKUP(B413,#REF!,2,FALSE),"")</f>
        <v>#REF!</v>
      </c>
      <c r="AE413" s="55">
        <v>16</v>
      </c>
      <c r="AF413" s="55">
        <f t="shared" si="123"/>
        <v>-51</v>
      </c>
    </row>
    <row r="414" spans="1:32" s="55" customFormat="1" ht="30">
      <c r="A414" s="21" t="s">
        <v>990</v>
      </c>
      <c r="B414" s="20">
        <v>93009</v>
      </c>
      <c r="C414" s="19" t="s">
        <v>1669</v>
      </c>
      <c r="D414" s="21" t="s">
        <v>12</v>
      </c>
      <c r="E414" s="21" t="s">
        <v>52</v>
      </c>
      <c r="F414" s="22">
        <v>16</v>
      </c>
      <c r="G414" s="22">
        <f t="shared" si="113"/>
        <v>14.807000000000002</v>
      </c>
      <c r="H414" s="22">
        <f t="shared" si="124"/>
        <v>18.78</v>
      </c>
      <c r="I414" s="147">
        <f t="shared" si="125"/>
        <v>300.48</v>
      </c>
      <c r="J414" s="148"/>
      <c r="K414" s="148"/>
      <c r="L414" s="148"/>
      <c r="M414" s="148">
        <v>16.5</v>
      </c>
      <c r="N414" s="148">
        <v>20.92</v>
      </c>
      <c r="O414" s="148">
        <v>334.72</v>
      </c>
      <c r="P414" s="494"/>
      <c r="Q414" s="147">
        <f t="shared" si="119"/>
        <v>0</v>
      </c>
      <c r="R414" s="148"/>
      <c r="S414" s="148">
        <f t="shared" si="126"/>
        <v>0</v>
      </c>
      <c r="T414" s="148">
        <f t="shared" si="112"/>
        <v>16</v>
      </c>
      <c r="U414" s="148">
        <f t="shared" si="109"/>
        <v>334.72</v>
      </c>
      <c r="V414" s="379"/>
      <c r="W414" s="379"/>
      <c r="X414" s="58" t="e">
        <f>IF(B414&lt;&gt;0,VLOOKUP(B414,#REF!,4,FALSE),"")</f>
        <v>#REF!</v>
      </c>
      <c r="Y414" s="334" t="s">
        <v>3221</v>
      </c>
      <c r="Z414" s="58">
        <f t="shared" si="114"/>
        <v>-2.6129999999999995</v>
      </c>
      <c r="AA414" s="58">
        <f t="shared" si="115"/>
        <v>236.91200000000003</v>
      </c>
      <c r="AB414" s="58"/>
      <c r="AC414" s="58">
        <f t="shared" si="116"/>
        <v>300.48</v>
      </c>
      <c r="AD414" s="58" t="e">
        <f>IF(B414&lt;&gt;0,VLOOKUP(B414,#REF!,2,FALSE),"")</f>
        <v>#REF!</v>
      </c>
      <c r="AE414" s="55">
        <v>6</v>
      </c>
      <c r="AF414" s="55">
        <f t="shared" si="123"/>
        <v>-10</v>
      </c>
    </row>
    <row r="415" spans="1:32" ht="52.5" customHeight="1">
      <c r="A415" s="21" t="s">
        <v>991</v>
      </c>
      <c r="B415" s="20">
        <v>93014</v>
      </c>
      <c r="C415" s="19" t="s">
        <v>1671</v>
      </c>
      <c r="D415" s="21" t="s">
        <v>12</v>
      </c>
      <c r="E415" s="21" t="s">
        <v>17</v>
      </c>
      <c r="F415" s="22">
        <v>6</v>
      </c>
      <c r="G415" s="22">
        <f t="shared" si="113"/>
        <v>10.795</v>
      </c>
      <c r="H415" s="22">
        <f t="shared" si="124"/>
        <v>13.69</v>
      </c>
      <c r="I415" s="147">
        <f t="shared" si="125"/>
        <v>82.14</v>
      </c>
      <c r="J415" s="148"/>
      <c r="K415" s="148"/>
      <c r="L415" s="148"/>
      <c r="M415" s="148">
        <v>12.03</v>
      </c>
      <c r="N415" s="148">
        <v>15.26</v>
      </c>
      <c r="O415" s="148">
        <v>91.56</v>
      </c>
      <c r="P415" s="494"/>
      <c r="Q415" s="147">
        <f t="shared" si="119"/>
        <v>0</v>
      </c>
      <c r="R415" s="148"/>
      <c r="S415" s="148">
        <f t="shared" si="126"/>
        <v>0</v>
      </c>
      <c r="T415" s="148">
        <f t="shared" si="112"/>
        <v>6</v>
      </c>
      <c r="U415" s="148">
        <f t="shared" si="109"/>
        <v>91.56</v>
      </c>
      <c r="V415" s="379"/>
      <c r="W415" s="379"/>
      <c r="X415" s="58" t="e">
        <f>IF(B415&lt;&gt;0,VLOOKUP(B415,#REF!,4,FALSE),"")</f>
        <v>#REF!</v>
      </c>
      <c r="Y415" s="334" t="s">
        <v>3215</v>
      </c>
      <c r="Z415" s="58">
        <f t="shared" si="114"/>
        <v>-1.9049999999999994</v>
      </c>
      <c r="AA415" s="58">
        <f t="shared" si="115"/>
        <v>64.77</v>
      </c>
      <c r="AB415" s="58"/>
      <c r="AC415" s="58">
        <f t="shared" si="116"/>
        <v>82.14</v>
      </c>
      <c r="AD415" s="58" t="e">
        <f>IF(B415&lt;&gt;0,VLOOKUP(B415,#REF!,2,FALSE),"")</f>
        <v>#REF!</v>
      </c>
      <c r="AE415" s="2">
        <v>20</v>
      </c>
      <c r="AF415" s="55">
        <f t="shared" si="123"/>
        <v>14</v>
      </c>
    </row>
    <row r="416" spans="1:32" s="23" customFormat="1" ht="30">
      <c r="A416" s="21" t="s">
        <v>992</v>
      </c>
      <c r="B416" s="20">
        <v>93010</v>
      </c>
      <c r="C416" s="19" t="s">
        <v>1672</v>
      </c>
      <c r="D416" s="21" t="s">
        <v>12</v>
      </c>
      <c r="E416" s="21" t="s">
        <v>52</v>
      </c>
      <c r="F416" s="22">
        <v>20</v>
      </c>
      <c r="G416" s="22">
        <f t="shared" si="113"/>
        <v>20.672000000000001</v>
      </c>
      <c r="H416" s="22">
        <f t="shared" si="124"/>
        <v>26.21</v>
      </c>
      <c r="I416" s="147">
        <f t="shared" si="125"/>
        <v>524.20000000000005</v>
      </c>
      <c r="J416" s="148"/>
      <c r="K416" s="148"/>
      <c r="L416" s="148"/>
      <c r="M416" s="148">
        <v>23.03</v>
      </c>
      <c r="N416" s="148">
        <v>29.2</v>
      </c>
      <c r="O416" s="148">
        <v>584</v>
      </c>
      <c r="P416" s="494"/>
      <c r="Q416" s="147">
        <f t="shared" si="119"/>
        <v>0</v>
      </c>
      <c r="R416" s="148"/>
      <c r="S416" s="148">
        <f t="shared" si="126"/>
        <v>0</v>
      </c>
      <c r="T416" s="148">
        <f t="shared" si="112"/>
        <v>20</v>
      </c>
      <c r="U416" s="148">
        <f t="shared" si="109"/>
        <v>584</v>
      </c>
      <c r="V416" s="379"/>
      <c r="W416" s="379"/>
      <c r="X416" s="58" t="e">
        <f>IF(B416&lt;&gt;0,VLOOKUP(B416,#REF!,4,FALSE),"")</f>
        <v>#REF!</v>
      </c>
      <c r="Y416" s="334" t="s">
        <v>3205</v>
      </c>
      <c r="Z416" s="58">
        <f t="shared" si="114"/>
        <v>-3.6479999999999997</v>
      </c>
      <c r="AA416" s="58">
        <f t="shared" si="115"/>
        <v>413.44</v>
      </c>
      <c r="AB416" s="58"/>
      <c r="AC416" s="58">
        <f t="shared" si="116"/>
        <v>524.20000000000005</v>
      </c>
      <c r="AD416" s="58" t="e">
        <f>IF(B416&lt;&gt;0,VLOOKUP(B416,#REF!,2,FALSE),"")</f>
        <v>#REF!</v>
      </c>
      <c r="AE416" s="23">
        <v>3</v>
      </c>
      <c r="AF416" s="55">
        <f t="shared" si="123"/>
        <v>-17</v>
      </c>
    </row>
    <row r="417" spans="1:32" s="38" customFormat="1" ht="30">
      <c r="A417" s="21" t="s">
        <v>2739</v>
      </c>
      <c r="B417" s="20">
        <v>93015</v>
      </c>
      <c r="C417" s="19" t="s">
        <v>1673</v>
      </c>
      <c r="D417" s="21" t="s">
        <v>12</v>
      </c>
      <c r="E417" s="21" t="s">
        <v>17</v>
      </c>
      <c r="F417" s="22">
        <v>3</v>
      </c>
      <c r="G417" s="22">
        <f t="shared" si="113"/>
        <v>16.804500000000001</v>
      </c>
      <c r="H417" s="22">
        <f t="shared" si="124"/>
        <v>21.31</v>
      </c>
      <c r="I417" s="147">
        <f t="shared" si="125"/>
        <v>63.93</v>
      </c>
      <c r="J417" s="148"/>
      <c r="K417" s="148"/>
      <c r="L417" s="148"/>
      <c r="M417" s="148">
        <v>18.72</v>
      </c>
      <c r="N417" s="148">
        <v>23.74</v>
      </c>
      <c r="O417" s="148">
        <v>71.22</v>
      </c>
      <c r="P417" s="494"/>
      <c r="Q417" s="147">
        <f t="shared" si="119"/>
        <v>0</v>
      </c>
      <c r="R417" s="148"/>
      <c r="S417" s="148">
        <f t="shared" si="126"/>
        <v>0</v>
      </c>
      <c r="T417" s="148">
        <f t="shared" si="112"/>
        <v>3</v>
      </c>
      <c r="U417" s="148">
        <f t="shared" ref="U417:U480" si="127">L417+Q417-S417+O417</f>
        <v>71.22</v>
      </c>
      <c r="V417" s="379"/>
      <c r="W417" s="379"/>
      <c r="X417" s="58" t="e">
        <f>IF(B417&lt;&gt;0,VLOOKUP(B417,#REF!,4,FALSE),"")</f>
        <v>#REF!</v>
      </c>
      <c r="Y417" s="334" t="s">
        <v>3182</v>
      </c>
      <c r="Z417" s="58">
        <f t="shared" si="114"/>
        <v>-2.9654999999999987</v>
      </c>
      <c r="AA417" s="58">
        <f t="shared" si="115"/>
        <v>50.413499999999999</v>
      </c>
      <c r="AB417" s="58"/>
      <c r="AC417" s="58">
        <f t="shared" si="116"/>
        <v>63.929999999999993</v>
      </c>
      <c r="AD417" s="58" t="e">
        <f>IF(B417&lt;&gt;0,VLOOKUP(B417,#REF!,2,FALSE),"")</f>
        <v>#REF!</v>
      </c>
      <c r="AE417" s="38">
        <v>4</v>
      </c>
      <c r="AF417" s="55">
        <f t="shared" si="123"/>
        <v>1</v>
      </c>
    </row>
    <row r="418" spans="1:32" s="55" customFormat="1" ht="60">
      <c r="A418" s="21" t="s">
        <v>2740</v>
      </c>
      <c r="B418" s="20">
        <v>93022</v>
      </c>
      <c r="C418" s="19" t="s">
        <v>2741</v>
      </c>
      <c r="D418" s="21" t="s">
        <v>12</v>
      </c>
      <c r="E418" s="21" t="s">
        <v>17</v>
      </c>
      <c r="F418" s="22">
        <v>4</v>
      </c>
      <c r="G418" s="22">
        <f t="shared" si="113"/>
        <v>30.004999999999999</v>
      </c>
      <c r="H418" s="22">
        <f t="shared" si="124"/>
        <v>38.049999999999997</v>
      </c>
      <c r="I418" s="147">
        <f t="shared" si="125"/>
        <v>152.19999999999999</v>
      </c>
      <c r="J418" s="148"/>
      <c r="K418" s="148"/>
      <c r="L418" s="148"/>
      <c r="M418" s="148">
        <v>33.43</v>
      </c>
      <c r="N418" s="148">
        <v>42.39</v>
      </c>
      <c r="O418" s="148">
        <v>169.56</v>
      </c>
      <c r="P418" s="494"/>
      <c r="Q418" s="147">
        <f t="shared" si="119"/>
        <v>0</v>
      </c>
      <c r="R418" s="148"/>
      <c r="S418" s="148">
        <f t="shared" si="126"/>
        <v>0</v>
      </c>
      <c r="T418" s="148">
        <f t="shared" si="112"/>
        <v>4</v>
      </c>
      <c r="U418" s="148">
        <f t="shared" si="127"/>
        <v>169.56</v>
      </c>
      <c r="V418" s="379"/>
      <c r="W418" s="379"/>
      <c r="X418" s="58" t="e">
        <f>IF(B418&lt;&gt;0,VLOOKUP(B418,#REF!,4,FALSE),"")</f>
        <v>#REF!</v>
      </c>
      <c r="Y418" s="334" t="s">
        <v>3208</v>
      </c>
      <c r="Z418" s="58">
        <f t="shared" si="114"/>
        <v>-5.2949999999999982</v>
      </c>
      <c r="AA418" s="58">
        <f t="shared" si="115"/>
        <v>120.02</v>
      </c>
      <c r="AB418" s="58"/>
      <c r="AC418" s="58">
        <f t="shared" si="116"/>
        <v>152.19999999999999</v>
      </c>
      <c r="AD418" s="58" t="e">
        <f>IF(B418&lt;&gt;0,VLOOKUP(B418,#REF!,2,FALSE),"")</f>
        <v>#REF!</v>
      </c>
      <c r="AE418" s="55">
        <v>16</v>
      </c>
      <c r="AF418" s="55">
        <f t="shared" si="123"/>
        <v>12</v>
      </c>
    </row>
    <row r="419" spans="1:32" s="55" customFormat="1" ht="45">
      <c r="A419" s="21" t="s">
        <v>2742</v>
      </c>
      <c r="B419" s="20">
        <v>93011</v>
      </c>
      <c r="C419" s="19" t="s">
        <v>1674</v>
      </c>
      <c r="D419" s="21" t="s">
        <v>12</v>
      </c>
      <c r="E419" s="21" t="s">
        <v>52</v>
      </c>
      <c r="F419" s="22">
        <v>16</v>
      </c>
      <c r="G419" s="22">
        <f t="shared" si="113"/>
        <v>25.3215</v>
      </c>
      <c r="H419" s="22">
        <f t="shared" si="124"/>
        <v>32.11</v>
      </c>
      <c r="I419" s="147">
        <f t="shared" si="125"/>
        <v>513.76</v>
      </c>
      <c r="J419" s="148"/>
      <c r="K419" s="148"/>
      <c r="L419" s="148"/>
      <c r="M419" s="148">
        <v>28.21</v>
      </c>
      <c r="N419" s="148">
        <v>35.770000000000003</v>
      </c>
      <c r="O419" s="148">
        <v>572.32000000000005</v>
      </c>
      <c r="P419" s="494"/>
      <c r="Q419" s="147">
        <f t="shared" si="119"/>
        <v>0</v>
      </c>
      <c r="R419" s="148"/>
      <c r="S419" s="148">
        <f t="shared" si="126"/>
        <v>0</v>
      </c>
      <c r="T419" s="148">
        <f t="shared" ref="T419:T482" si="128">IF(F419&gt;0,F419+P419-R419," ")</f>
        <v>16</v>
      </c>
      <c r="U419" s="148">
        <f t="shared" si="127"/>
        <v>572.32000000000005</v>
      </c>
      <c r="V419" s="379"/>
      <c r="W419" s="379"/>
      <c r="X419" s="58" t="e">
        <f>IF(B419&lt;&gt;0,VLOOKUP(B419,#REF!,4,FALSE),"")</f>
        <v>#REF!</v>
      </c>
      <c r="Y419" s="334" t="s">
        <v>3172</v>
      </c>
      <c r="Z419" s="58">
        <f t="shared" si="114"/>
        <v>-4.4684999999999988</v>
      </c>
      <c r="AA419" s="58">
        <f t="shared" si="115"/>
        <v>405.14400000000001</v>
      </c>
      <c r="AB419" s="58"/>
      <c r="AC419" s="58">
        <f t="shared" si="116"/>
        <v>513.76</v>
      </c>
      <c r="AD419" s="58" t="e">
        <f>IF(B419&lt;&gt;0,VLOOKUP(B419,#REF!,2,FALSE),"")</f>
        <v>#REF!</v>
      </c>
      <c r="AE419" s="55">
        <v>6</v>
      </c>
      <c r="AF419" s="55">
        <f t="shared" si="123"/>
        <v>-10</v>
      </c>
    </row>
    <row r="420" spans="1:32" s="55" customFormat="1" ht="45">
      <c r="A420" s="21" t="s">
        <v>2743</v>
      </c>
      <c r="B420" s="20">
        <v>93016</v>
      </c>
      <c r="C420" s="19" t="s">
        <v>1676</v>
      </c>
      <c r="D420" s="21" t="s">
        <v>12</v>
      </c>
      <c r="E420" s="21" t="s">
        <v>17</v>
      </c>
      <c r="F420" s="22">
        <v>6</v>
      </c>
      <c r="G420" s="22">
        <f t="shared" si="113"/>
        <v>20.6295</v>
      </c>
      <c r="H420" s="22">
        <f t="shared" si="124"/>
        <v>26.16</v>
      </c>
      <c r="I420" s="147">
        <f t="shared" si="125"/>
        <v>156.96</v>
      </c>
      <c r="J420" s="148"/>
      <c r="K420" s="148"/>
      <c r="L420" s="148"/>
      <c r="M420" s="148">
        <v>22.98</v>
      </c>
      <c r="N420" s="148">
        <v>29.14</v>
      </c>
      <c r="O420" s="148">
        <v>174.84</v>
      </c>
      <c r="P420" s="494"/>
      <c r="Q420" s="147">
        <f t="shared" si="119"/>
        <v>0</v>
      </c>
      <c r="R420" s="148"/>
      <c r="S420" s="148">
        <f t="shared" si="126"/>
        <v>0</v>
      </c>
      <c r="T420" s="148">
        <f t="shared" si="128"/>
        <v>6</v>
      </c>
      <c r="U420" s="148">
        <f t="shared" si="127"/>
        <v>174.84</v>
      </c>
      <c r="V420" s="379"/>
      <c r="W420" s="379"/>
      <c r="X420" s="58" t="e">
        <f>IF(B420&lt;&gt;0,VLOOKUP(B420,#REF!,4,FALSE),"")</f>
        <v>#REF!</v>
      </c>
      <c r="Y420" s="334" t="s">
        <v>2645</v>
      </c>
      <c r="Z420" s="58">
        <f t="shared" si="114"/>
        <v>-3.6404999999999994</v>
      </c>
      <c r="AA420" s="58">
        <f t="shared" si="115"/>
        <v>123.777</v>
      </c>
      <c r="AB420" s="58"/>
      <c r="AC420" s="58">
        <f t="shared" si="116"/>
        <v>156.96</v>
      </c>
      <c r="AD420" s="58" t="e">
        <f>IF(B420&lt;&gt;0,VLOOKUP(B420,#REF!,2,FALSE),"")</f>
        <v>#REF!</v>
      </c>
      <c r="AE420" s="55">
        <v>10</v>
      </c>
      <c r="AF420" s="55">
        <f t="shared" si="123"/>
        <v>4</v>
      </c>
    </row>
    <row r="421" spans="1:32" s="55" customFormat="1" ht="30">
      <c r="A421" s="21" t="s">
        <v>2744</v>
      </c>
      <c r="B421" s="20">
        <v>762</v>
      </c>
      <c r="C421" s="19" t="s">
        <v>1749</v>
      </c>
      <c r="D421" s="21" t="s">
        <v>44</v>
      </c>
      <c r="E421" s="21" t="s">
        <v>17</v>
      </c>
      <c r="F421" s="22">
        <v>10</v>
      </c>
      <c r="G421" s="22">
        <f t="shared" si="113"/>
        <v>57.230499999999999</v>
      </c>
      <c r="H421" s="22">
        <f t="shared" si="124"/>
        <v>72.569999999999993</v>
      </c>
      <c r="I421" s="147">
        <f t="shared" si="125"/>
        <v>725.7</v>
      </c>
      <c r="J421" s="148"/>
      <c r="K421" s="148"/>
      <c r="L421" s="148"/>
      <c r="M421" s="148">
        <v>63.76</v>
      </c>
      <c r="N421" s="148">
        <v>80.849999999999994</v>
      </c>
      <c r="O421" s="148">
        <v>808.5</v>
      </c>
      <c r="P421" s="494"/>
      <c r="Q421" s="147">
        <f t="shared" si="119"/>
        <v>0</v>
      </c>
      <c r="R421" s="148"/>
      <c r="S421" s="148">
        <f t="shared" si="126"/>
        <v>0</v>
      </c>
      <c r="T421" s="148">
        <f t="shared" si="128"/>
        <v>10</v>
      </c>
      <c r="U421" s="148">
        <f t="shared" si="127"/>
        <v>808.5</v>
      </c>
      <c r="V421" s="379"/>
      <c r="W421" s="379"/>
      <c r="X421" s="57">
        <f>'COMPOSIÇÃO DE CUSTOS'!G1265</f>
        <v>57.23</v>
      </c>
      <c r="Y421" s="334">
        <v>67.33</v>
      </c>
      <c r="Z421" s="58">
        <f t="shared" si="114"/>
        <v>-10.099499999999999</v>
      </c>
      <c r="AA421" s="58">
        <f t="shared" si="115"/>
        <v>572.30499999999995</v>
      </c>
      <c r="AB421" s="58"/>
      <c r="AC421" s="58">
        <f t="shared" si="116"/>
        <v>725.69999999999993</v>
      </c>
      <c r="AD421" s="58" t="e">
        <f>IF(B421&lt;&gt;0,VLOOKUP(B421,#REF!,2,FALSE),"")</f>
        <v>#REF!</v>
      </c>
      <c r="AE421" s="55">
        <v>1</v>
      </c>
      <c r="AF421" s="55">
        <f t="shared" si="123"/>
        <v>-9</v>
      </c>
    </row>
    <row r="422" spans="1:32" s="55" customFormat="1" ht="30">
      <c r="A422" s="21" t="s">
        <v>2745</v>
      </c>
      <c r="B422" s="20">
        <v>8443</v>
      </c>
      <c r="C422" s="19" t="s">
        <v>1759</v>
      </c>
      <c r="D422" s="21" t="s">
        <v>44</v>
      </c>
      <c r="E422" s="21" t="s">
        <v>17</v>
      </c>
      <c r="F422" s="22">
        <v>1</v>
      </c>
      <c r="G422" s="22">
        <f t="shared" si="113"/>
        <v>57.179499999999997</v>
      </c>
      <c r="H422" s="22">
        <f t="shared" si="124"/>
        <v>72.510000000000005</v>
      </c>
      <c r="I422" s="147">
        <f t="shared" si="125"/>
        <v>72.510000000000005</v>
      </c>
      <c r="J422" s="148"/>
      <c r="K422" s="148"/>
      <c r="L422" s="148"/>
      <c r="M422" s="148">
        <v>63.7</v>
      </c>
      <c r="N422" s="148">
        <v>80.78</v>
      </c>
      <c r="O422" s="148">
        <v>80.78</v>
      </c>
      <c r="P422" s="494"/>
      <c r="Q422" s="147">
        <f t="shared" si="119"/>
        <v>0</v>
      </c>
      <c r="R422" s="148"/>
      <c r="S422" s="148">
        <f t="shared" si="126"/>
        <v>0</v>
      </c>
      <c r="T422" s="148">
        <f t="shared" si="128"/>
        <v>1</v>
      </c>
      <c r="U422" s="148">
        <f t="shared" si="127"/>
        <v>80.78</v>
      </c>
      <c r="V422" s="379"/>
      <c r="W422" s="379"/>
      <c r="X422" s="57">
        <f>'COMPOSIÇÃO DE CUSTOS'!G1272</f>
        <v>57.18</v>
      </c>
      <c r="Y422" s="334">
        <v>67.27</v>
      </c>
      <c r="Z422" s="58">
        <f t="shared" si="114"/>
        <v>-10.090499999999999</v>
      </c>
      <c r="AA422" s="58">
        <f t="shared" si="115"/>
        <v>57.179499999999997</v>
      </c>
      <c r="AB422" s="58"/>
      <c r="AC422" s="58">
        <f t="shared" si="116"/>
        <v>72.510000000000005</v>
      </c>
      <c r="AD422" s="58" t="e">
        <f>IF(B422&lt;&gt;0,VLOOKUP(B422,#REF!,2,FALSE),"")</f>
        <v>#REF!</v>
      </c>
      <c r="AE422" s="55">
        <v>2</v>
      </c>
      <c r="AF422" s="55">
        <f t="shared" si="123"/>
        <v>1</v>
      </c>
    </row>
    <row r="423" spans="1:32" s="55" customFormat="1" ht="30">
      <c r="A423" s="21" t="s">
        <v>2746</v>
      </c>
      <c r="B423" s="20">
        <v>8113</v>
      </c>
      <c r="C423" s="19" t="s">
        <v>1750</v>
      </c>
      <c r="D423" s="21" t="s">
        <v>44</v>
      </c>
      <c r="E423" s="21" t="s">
        <v>17</v>
      </c>
      <c r="F423" s="22">
        <v>2</v>
      </c>
      <c r="G423" s="22">
        <f t="shared" si="113"/>
        <v>35.929500000000004</v>
      </c>
      <c r="H423" s="22">
        <f t="shared" si="124"/>
        <v>45.56</v>
      </c>
      <c r="I423" s="147">
        <f t="shared" si="125"/>
        <v>91.12</v>
      </c>
      <c r="J423" s="148"/>
      <c r="K423" s="148"/>
      <c r="L423" s="148"/>
      <c r="M423" s="148">
        <v>40.03</v>
      </c>
      <c r="N423" s="148">
        <v>50.76</v>
      </c>
      <c r="O423" s="148">
        <v>101.52</v>
      </c>
      <c r="P423" s="494"/>
      <c r="Q423" s="147">
        <f t="shared" si="119"/>
        <v>0</v>
      </c>
      <c r="R423" s="148"/>
      <c r="S423" s="148">
        <f t="shared" si="126"/>
        <v>0</v>
      </c>
      <c r="T423" s="148">
        <f t="shared" si="128"/>
        <v>2</v>
      </c>
      <c r="U423" s="148">
        <f t="shared" si="127"/>
        <v>101.52</v>
      </c>
      <c r="V423" s="379"/>
      <c r="W423" s="379"/>
      <c r="X423" s="57">
        <f>'COMPOSIÇÃO DE CUSTOS'!G1300</f>
        <v>35.93</v>
      </c>
      <c r="Y423" s="334">
        <v>42.27</v>
      </c>
      <c r="Z423" s="58">
        <f t="shared" si="114"/>
        <v>-6.3404999999999987</v>
      </c>
      <c r="AA423" s="58">
        <f t="shared" si="115"/>
        <v>71.859000000000009</v>
      </c>
      <c r="AB423" s="58"/>
      <c r="AC423" s="58">
        <f t="shared" si="116"/>
        <v>91.12</v>
      </c>
      <c r="AD423" s="58" t="e">
        <f>IF(B423&lt;&gt;0,VLOOKUP(B423,#REF!,2,FALSE),"")</f>
        <v>#REF!</v>
      </c>
      <c r="AE423" s="55">
        <v>2</v>
      </c>
      <c r="AF423" s="55">
        <f t="shared" si="123"/>
        <v>0</v>
      </c>
    </row>
    <row r="424" spans="1:32" s="55" customFormat="1" ht="30">
      <c r="A424" s="21" t="s">
        <v>2747</v>
      </c>
      <c r="B424" s="20">
        <v>9533</v>
      </c>
      <c r="C424" s="19" t="s">
        <v>1751</v>
      </c>
      <c r="D424" s="21" t="s">
        <v>44</v>
      </c>
      <c r="E424" s="21" t="s">
        <v>17</v>
      </c>
      <c r="F424" s="22">
        <v>2</v>
      </c>
      <c r="G424" s="22">
        <f t="shared" si="113"/>
        <v>12.1295</v>
      </c>
      <c r="H424" s="22">
        <f t="shared" si="124"/>
        <v>15.38</v>
      </c>
      <c r="I424" s="147">
        <f t="shared" si="125"/>
        <v>30.76</v>
      </c>
      <c r="J424" s="148"/>
      <c r="K424" s="148"/>
      <c r="L424" s="148"/>
      <c r="M424" s="148">
        <v>13.51</v>
      </c>
      <c r="N424" s="148">
        <v>17.13</v>
      </c>
      <c r="O424" s="148">
        <v>34.26</v>
      </c>
      <c r="P424" s="494"/>
      <c r="Q424" s="147">
        <f t="shared" si="119"/>
        <v>0</v>
      </c>
      <c r="R424" s="148"/>
      <c r="S424" s="148">
        <f t="shared" si="126"/>
        <v>0</v>
      </c>
      <c r="T424" s="148">
        <f t="shared" si="128"/>
        <v>2</v>
      </c>
      <c r="U424" s="148">
        <f t="shared" si="127"/>
        <v>34.26</v>
      </c>
      <c r="V424" s="379"/>
      <c r="W424" s="379"/>
      <c r="X424" s="57">
        <f>'COMPOSIÇÃO DE CUSTOS'!G1279</f>
        <v>12.13</v>
      </c>
      <c r="Y424" s="334">
        <v>14.27</v>
      </c>
      <c r="Z424" s="58">
        <f t="shared" si="114"/>
        <v>-2.1404999999999994</v>
      </c>
      <c r="AA424" s="58">
        <f t="shared" si="115"/>
        <v>24.259</v>
      </c>
      <c r="AB424" s="58"/>
      <c r="AC424" s="58">
        <f t="shared" si="116"/>
        <v>30.76</v>
      </c>
      <c r="AD424" s="58" t="e">
        <f>IF(B424&lt;&gt;0,VLOOKUP(B424,#REF!,2,FALSE),"")</f>
        <v>#REF!</v>
      </c>
      <c r="AE424" s="55">
        <v>3</v>
      </c>
      <c r="AF424" s="55">
        <f t="shared" si="123"/>
        <v>1</v>
      </c>
    </row>
    <row r="425" spans="1:32" s="55" customFormat="1" ht="30">
      <c r="A425" s="21" t="s">
        <v>2748</v>
      </c>
      <c r="B425" s="20">
        <v>63988</v>
      </c>
      <c r="C425" s="19" t="s">
        <v>2749</v>
      </c>
      <c r="D425" s="21" t="s">
        <v>1914</v>
      </c>
      <c r="E425" s="21" t="s">
        <v>17</v>
      </c>
      <c r="F425" s="22">
        <v>3</v>
      </c>
      <c r="G425" s="22">
        <f t="shared" si="113"/>
        <v>82.212000000000003</v>
      </c>
      <c r="H425" s="22">
        <f t="shared" si="124"/>
        <v>104.25</v>
      </c>
      <c r="I425" s="147">
        <f t="shared" si="125"/>
        <v>312.75</v>
      </c>
      <c r="J425" s="148"/>
      <c r="K425" s="148"/>
      <c r="L425" s="148"/>
      <c r="M425" s="148">
        <v>91.58</v>
      </c>
      <c r="N425" s="148">
        <v>116.13</v>
      </c>
      <c r="O425" s="148">
        <v>348.39</v>
      </c>
      <c r="P425" s="494"/>
      <c r="Q425" s="147">
        <f t="shared" si="119"/>
        <v>0</v>
      </c>
      <c r="R425" s="148"/>
      <c r="S425" s="148">
        <f t="shared" si="126"/>
        <v>0</v>
      </c>
      <c r="T425" s="148">
        <f t="shared" si="128"/>
        <v>3</v>
      </c>
      <c r="U425" s="148">
        <f t="shared" si="127"/>
        <v>348.39</v>
      </c>
      <c r="V425" s="379"/>
      <c r="W425" s="379"/>
      <c r="X425" s="57">
        <f>'COMPOSIÇÃO DE CUSTOS'!G1123</f>
        <v>82.21</v>
      </c>
      <c r="Y425" s="334">
        <v>96.72</v>
      </c>
      <c r="Z425" s="58">
        <f t="shared" si="114"/>
        <v>-14.507999999999996</v>
      </c>
      <c r="AA425" s="58">
        <f t="shared" si="115"/>
        <v>246.63600000000002</v>
      </c>
      <c r="AB425" s="58"/>
      <c r="AC425" s="58">
        <f t="shared" si="116"/>
        <v>312.75</v>
      </c>
      <c r="AD425" s="58" t="e">
        <f>IF(B425&lt;&gt;0,VLOOKUP(B425,#REF!,2,FALSE),"")</f>
        <v>#REF!</v>
      </c>
      <c r="AE425" s="55">
        <v>1</v>
      </c>
      <c r="AF425" s="55">
        <f t="shared" si="123"/>
        <v>-2</v>
      </c>
    </row>
    <row r="426" spans="1:32" s="55" customFormat="1" ht="30">
      <c r="A426" s="21" t="s">
        <v>2750</v>
      </c>
      <c r="B426" s="20">
        <v>8112</v>
      </c>
      <c r="C426" s="19" t="s">
        <v>225</v>
      </c>
      <c r="D426" s="21" t="s">
        <v>44</v>
      </c>
      <c r="E426" s="21" t="s">
        <v>17</v>
      </c>
      <c r="F426" s="22">
        <v>1</v>
      </c>
      <c r="G426" s="22">
        <f t="shared" si="113"/>
        <v>141.4145</v>
      </c>
      <c r="H426" s="22">
        <f t="shared" si="124"/>
        <v>179.33</v>
      </c>
      <c r="I426" s="147">
        <f t="shared" si="125"/>
        <v>179.33</v>
      </c>
      <c r="J426" s="148"/>
      <c r="K426" s="148"/>
      <c r="L426" s="148"/>
      <c r="M426" s="148">
        <v>157.54</v>
      </c>
      <c r="N426" s="148">
        <v>199.78</v>
      </c>
      <c r="O426" s="148">
        <v>199.78</v>
      </c>
      <c r="P426" s="494"/>
      <c r="Q426" s="147">
        <f t="shared" si="119"/>
        <v>0</v>
      </c>
      <c r="R426" s="148"/>
      <c r="S426" s="148">
        <f t="shared" si="126"/>
        <v>0</v>
      </c>
      <c r="T426" s="148">
        <f t="shared" si="128"/>
        <v>1</v>
      </c>
      <c r="U426" s="148">
        <f t="shared" si="127"/>
        <v>199.78</v>
      </c>
      <c r="V426" s="379"/>
      <c r="W426" s="379"/>
      <c r="X426" s="57">
        <f>'COMPOSIÇÃO DE CUSTOS'!G1293</f>
        <v>141.41</v>
      </c>
      <c r="Y426" s="334">
        <v>166.37</v>
      </c>
      <c r="Z426" s="58">
        <f t="shared" si="114"/>
        <v>-24.955500000000001</v>
      </c>
      <c r="AA426" s="58">
        <f t="shared" si="115"/>
        <v>141.4145</v>
      </c>
      <c r="AB426" s="58"/>
      <c r="AC426" s="58">
        <f t="shared" si="116"/>
        <v>179.33</v>
      </c>
      <c r="AD426" s="58" t="e">
        <f>IF(B426&lt;&gt;0,VLOOKUP(B426,#REF!,2,FALSE),"")</f>
        <v>#REF!</v>
      </c>
      <c r="AE426" s="55">
        <v>1</v>
      </c>
      <c r="AF426" s="55">
        <f t="shared" si="123"/>
        <v>0</v>
      </c>
    </row>
    <row r="427" spans="1:32" s="55" customFormat="1" ht="30">
      <c r="A427" s="21" t="s">
        <v>2751</v>
      </c>
      <c r="B427" s="20" t="s">
        <v>2239</v>
      </c>
      <c r="C427" s="19" t="s">
        <v>204</v>
      </c>
      <c r="D427" s="21" t="s">
        <v>1914</v>
      </c>
      <c r="E427" s="21" t="s">
        <v>17</v>
      </c>
      <c r="F427" s="22">
        <v>1</v>
      </c>
      <c r="G427" s="22">
        <f t="shared" si="113"/>
        <v>73.5505</v>
      </c>
      <c r="H427" s="22">
        <f t="shared" si="124"/>
        <v>93.27</v>
      </c>
      <c r="I427" s="147">
        <f t="shared" si="125"/>
        <v>93.27</v>
      </c>
      <c r="J427" s="148"/>
      <c r="K427" s="148"/>
      <c r="L427" s="148"/>
      <c r="M427" s="148">
        <v>81.94</v>
      </c>
      <c r="N427" s="148">
        <v>103.91</v>
      </c>
      <c r="O427" s="148">
        <v>103.91</v>
      </c>
      <c r="P427" s="494"/>
      <c r="Q427" s="147">
        <f t="shared" si="119"/>
        <v>0</v>
      </c>
      <c r="R427" s="148"/>
      <c r="S427" s="148">
        <f t="shared" si="126"/>
        <v>0</v>
      </c>
      <c r="T427" s="148">
        <f t="shared" si="128"/>
        <v>1</v>
      </c>
      <c r="U427" s="148">
        <f t="shared" si="127"/>
        <v>103.91</v>
      </c>
      <c r="V427" s="379"/>
      <c r="W427" s="379"/>
      <c r="X427" s="57">
        <f>'COMPOSIÇÃO DE CUSTOS'!G1130</f>
        <v>73.55</v>
      </c>
      <c r="Y427" s="334">
        <v>86.53</v>
      </c>
      <c r="Z427" s="58">
        <f t="shared" si="114"/>
        <v>-12.979500000000002</v>
      </c>
      <c r="AA427" s="58">
        <f t="shared" si="115"/>
        <v>73.5505</v>
      </c>
      <c r="AB427" s="58"/>
      <c r="AC427" s="58">
        <f t="shared" si="116"/>
        <v>93.27</v>
      </c>
      <c r="AD427" s="58" t="e">
        <f>IF(B427&lt;&gt;0,VLOOKUP(B427,#REF!,2,FALSE),"")</f>
        <v>#REF!</v>
      </c>
      <c r="AE427" s="55">
        <v>1</v>
      </c>
      <c r="AF427" s="55">
        <f t="shared" si="123"/>
        <v>0</v>
      </c>
    </row>
    <row r="428" spans="1:32" s="55" customFormat="1" ht="30">
      <c r="A428" s="21" t="s">
        <v>2752</v>
      </c>
      <c r="B428" s="20">
        <v>4109</v>
      </c>
      <c r="C428" s="19" t="s">
        <v>1752</v>
      </c>
      <c r="D428" s="21" t="s">
        <v>44</v>
      </c>
      <c r="E428" s="21" t="s">
        <v>17</v>
      </c>
      <c r="F428" s="22">
        <v>1</v>
      </c>
      <c r="G428" s="22">
        <f t="shared" ref="G428:G491" si="129">Y428-(Y428*$Z$14)</f>
        <v>26.749499999999998</v>
      </c>
      <c r="H428" s="22">
        <f t="shared" si="124"/>
        <v>33.92</v>
      </c>
      <c r="I428" s="147">
        <f t="shared" si="125"/>
        <v>33.92</v>
      </c>
      <c r="J428" s="148"/>
      <c r="K428" s="148"/>
      <c r="L428" s="148"/>
      <c r="M428" s="148">
        <v>29.8</v>
      </c>
      <c r="N428" s="148">
        <v>37.79</v>
      </c>
      <c r="O428" s="148">
        <v>37.79</v>
      </c>
      <c r="P428" s="494"/>
      <c r="Q428" s="147">
        <f t="shared" si="119"/>
        <v>0</v>
      </c>
      <c r="R428" s="148"/>
      <c r="S428" s="148">
        <f t="shared" si="126"/>
        <v>0</v>
      </c>
      <c r="T428" s="148">
        <f t="shared" si="128"/>
        <v>1</v>
      </c>
      <c r="U428" s="148">
        <f t="shared" si="127"/>
        <v>37.79</v>
      </c>
      <c r="V428" s="379"/>
      <c r="W428" s="379"/>
      <c r="X428" s="57">
        <f>'COMPOSIÇÃO DE CUSTOS'!G1286</f>
        <v>26.75</v>
      </c>
      <c r="Y428" s="334">
        <v>31.47</v>
      </c>
      <c r="Z428" s="58">
        <f t="shared" ref="Z428:Z491" si="130">G428-Y428</f>
        <v>-4.7205000000000013</v>
      </c>
      <c r="AA428" s="58">
        <f t="shared" ref="AA428:AA491" si="131">F428*G428</f>
        <v>26.749499999999998</v>
      </c>
      <c r="AB428" s="58"/>
      <c r="AC428" s="58">
        <f t="shared" ref="AC428:AC491" si="132">F428*H428</f>
        <v>33.92</v>
      </c>
      <c r="AD428" s="58" t="e">
        <f>IF(B428&lt;&gt;0,VLOOKUP(B428,#REF!,2,FALSE),"")</f>
        <v>#REF!</v>
      </c>
      <c r="AE428" s="55">
        <v>13</v>
      </c>
      <c r="AF428" s="55">
        <f t="shared" si="123"/>
        <v>12</v>
      </c>
    </row>
    <row r="429" spans="1:32" s="55" customFormat="1" ht="30">
      <c r="A429" s="21" t="s">
        <v>2753</v>
      </c>
      <c r="B429" s="20">
        <v>725</v>
      </c>
      <c r="C429" s="19" t="s">
        <v>2270</v>
      </c>
      <c r="D429" s="21" t="s">
        <v>44</v>
      </c>
      <c r="E429" s="21" t="s">
        <v>17</v>
      </c>
      <c r="F429" s="22">
        <v>13</v>
      </c>
      <c r="G429" s="22">
        <f t="shared" si="129"/>
        <v>5.5419999999999998</v>
      </c>
      <c r="H429" s="22">
        <f t="shared" si="124"/>
        <v>7.03</v>
      </c>
      <c r="I429" s="147">
        <f t="shared" si="125"/>
        <v>91.39</v>
      </c>
      <c r="J429" s="148"/>
      <c r="K429" s="148"/>
      <c r="L429" s="148"/>
      <c r="M429" s="148">
        <v>6.17</v>
      </c>
      <c r="N429" s="148">
        <v>7.82</v>
      </c>
      <c r="O429" s="148">
        <v>101.66</v>
      </c>
      <c r="P429" s="494"/>
      <c r="Q429" s="147">
        <f t="shared" si="119"/>
        <v>0</v>
      </c>
      <c r="R429" s="148"/>
      <c r="S429" s="148">
        <f t="shared" si="126"/>
        <v>0</v>
      </c>
      <c r="T429" s="148">
        <f t="shared" si="128"/>
        <v>13</v>
      </c>
      <c r="U429" s="148">
        <f t="shared" si="127"/>
        <v>101.66</v>
      </c>
      <c r="V429" s="379"/>
      <c r="W429" s="379"/>
      <c r="X429" s="57">
        <f>'COMPOSIÇÃO DE CUSTOS'!G1172</f>
        <v>5.55</v>
      </c>
      <c r="Y429" s="334">
        <v>6.52</v>
      </c>
      <c r="Z429" s="58">
        <f t="shared" si="130"/>
        <v>-0.97799999999999976</v>
      </c>
      <c r="AA429" s="58">
        <f t="shared" si="131"/>
        <v>72.045999999999992</v>
      </c>
      <c r="AB429" s="58"/>
      <c r="AC429" s="58">
        <f t="shared" si="132"/>
        <v>91.39</v>
      </c>
      <c r="AD429" s="58" t="e">
        <f>IF(B429&lt;&gt;0,VLOOKUP(B429,#REF!,2,FALSE),"")</f>
        <v>#REF!</v>
      </c>
      <c r="AF429" s="55">
        <f t="shared" si="123"/>
        <v>-13</v>
      </c>
    </row>
    <row r="430" spans="1:32" s="55" customFormat="1">
      <c r="A430" s="69" t="s">
        <v>993</v>
      </c>
      <c r="B430" s="129"/>
      <c r="C430" s="229" t="s">
        <v>209</v>
      </c>
      <c r="D430" s="230"/>
      <c r="E430" s="230"/>
      <c r="F430" s="230"/>
      <c r="G430" s="22"/>
      <c r="H430" s="230"/>
      <c r="I430" s="445"/>
      <c r="J430" s="440"/>
      <c r="K430" s="440"/>
      <c r="L430" s="440"/>
      <c r="M430" s="440"/>
      <c r="N430" s="440"/>
      <c r="O430" s="440"/>
      <c r="P430" s="492"/>
      <c r="Q430" s="147">
        <f t="shared" si="119"/>
        <v>0</v>
      </c>
      <c r="R430" s="440"/>
      <c r="S430" s="148">
        <f t="shared" si="126"/>
        <v>0</v>
      </c>
      <c r="T430" s="148" t="str">
        <f t="shared" si="128"/>
        <v xml:space="preserve"> </v>
      </c>
      <c r="U430" s="148">
        <f t="shared" si="127"/>
        <v>0</v>
      </c>
      <c r="V430" s="330"/>
      <c r="W430" s="330"/>
      <c r="X430" s="58" t="str">
        <f>IF(B430&lt;&gt;0,VLOOKUP(B430,#REF!,4,FALSE),"")</f>
        <v/>
      </c>
      <c r="Y430" s="334" t="s">
        <v>1891</v>
      </c>
      <c r="Z430" s="58"/>
      <c r="AA430" s="58">
        <f t="shared" si="131"/>
        <v>0</v>
      </c>
      <c r="AB430" s="58"/>
      <c r="AC430" s="58">
        <f t="shared" si="132"/>
        <v>0</v>
      </c>
      <c r="AD430" s="58" t="str">
        <f>IF(B430&lt;&gt;0,VLOOKUP(B430,#REF!,2,FALSE),"")</f>
        <v/>
      </c>
      <c r="AE430" s="55">
        <v>4</v>
      </c>
      <c r="AF430" s="55">
        <f t="shared" si="123"/>
        <v>4</v>
      </c>
    </row>
    <row r="431" spans="1:32" s="55" customFormat="1" ht="30">
      <c r="A431" s="21" t="s">
        <v>994</v>
      </c>
      <c r="B431" s="20">
        <v>7384</v>
      </c>
      <c r="C431" s="19" t="s">
        <v>229</v>
      </c>
      <c r="D431" s="21" t="s">
        <v>44</v>
      </c>
      <c r="E431" s="21" t="s">
        <v>52</v>
      </c>
      <c r="F431" s="22">
        <v>4</v>
      </c>
      <c r="G431" s="22">
        <f t="shared" si="129"/>
        <v>19.244</v>
      </c>
      <c r="H431" s="22">
        <f>ROUND(G431*(1+$X$13),2)</f>
        <v>24.4</v>
      </c>
      <c r="I431" s="147">
        <f>ROUND(H431*F431,2)</f>
        <v>97.6</v>
      </c>
      <c r="J431" s="148"/>
      <c r="K431" s="148"/>
      <c r="L431" s="148"/>
      <c r="M431" s="148">
        <v>21.44</v>
      </c>
      <c r="N431" s="148">
        <v>27.19</v>
      </c>
      <c r="O431" s="148">
        <v>108.76</v>
      </c>
      <c r="P431" s="494"/>
      <c r="Q431" s="147">
        <f t="shared" si="119"/>
        <v>0</v>
      </c>
      <c r="R431" s="148"/>
      <c r="S431" s="148">
        <f t="shared" si="126"/>
        <v>0</v>
      </c>
      <c r="T431" s="148">
        <f t="shared" si="128"/>
        <v>4</v>
      </c>
      <c r="U431" s="148">
        <f t="shared" si="127"/>
        <v>108.76</v>
      </c>
      <c r="V431" s="379"/>
      <c r="W431" s="379"/>
      <c r="X431" s="57">
        <f>'COMPOSIÇÃO DE CUSTOS'!G1195</f>
        <v>19.25</v>
      </c>
      <c r="Y431" s="334">
        <v>22.64</v>
      </c>
      <c r="Z431" s="58">
        <f t="shared" si="130"/>
        <v>-3.3960000000000008</v>
      </c>
      <c r="AA431" s="58">
        <f t="shared" si="131"/>
        <v>76.975999999999999</v>
      </c>
      <c r="AB431" s="58"/>
      <c r="AC431" s="58">
        <f t="shared" si="132"/>
        <v>97.6</v>
      </c>
      <c r="AD431" s="58" t="e">
        <f>IF(B431&lt;&gt;0,VLOOKUP(B431,#REF!,2,FALSE),"")</f>
        <v>#REF!</v>
      </c>
      <c r="AE431" s="55">
        <v>7</v>
      </c>
      <c r="AF431" s="55">
        <f t="shared" si="123"/>
        <v>3</v>
      </c>
    </row>
    <row r="432" spans="1:32" s="55" customFormat="1" ht="30">
      <c r="A432" s="21" t="s">
        <v>995</v>
      </c>
      <c r="B432" s="20">
        <v>7879</v>
      </c>
      <c r="C432" s="19" t="s">
        <v>1764</v>
      </c>
      <c r="D432" s="21" t="s">
        <v>44</v>
      </c>
      <c r="E432" s="21" t="s">
        <v>17</v>
      </c>
      <c r="F432" s="22">
        <v>7</v>
      </c>
      <c r="G432" s="22">
        <f t="shared" si="129"/>
        <v>9.4945000000000004</v>
      </c>
      <c r="H432" s="22">
        <f>ROUND(G432*(1+$X$13),2)</f>
        <v>12.04</v>
      </c>
      <c r="I432" s="147">
        <f>ROUND(H432*F432,2)</f>
        <v>84.28</v>
      </c>
      <c r="J432" s="148"/>
      <c r="K432" s="148"/>
      <c r="L432" s="148"/>
      <c r="M432" s="148">
        <v>10.58</v>
      </c>
      <c r="N432" s="148">
        <v>13.42</v>
      </c>
      <c r="O432" s="148">
        <v>93.94</v>
      </c>
      <c r="P432" s="494"/>
      <c r="Q432" s="147">
        <f t="shared" si="119"/>
        <v>0</v>
      </c>
      <c r="R432" s="148"/>
      <c r="S432" s="148">
        <f t="shared" si="126"/>
        <v>0</v>
      </c>
      <c r="T432" s="148">
        <f t="shared" si="128"/>
        <v>7</v>
      </c>
      <c r="U432" s="148">
        <f t="shared" si="127"/>
        <v>93.94</v>
      </c>
      <c r="V432" s="379"/>
      <c r="W432" s="379"/>
      <c r="X432" s="57">
        <f>'COMPOSIÇÃO DE CUSTOS'!G1258</f>
        <v>9.49</v>
      </c>
      <c r="Y432" s="334">
        <v>11.17</v>
      </c>
      <c r="Z432" s="58">
        <f t="shared" si="130"/>
        <v>-1.6754999999999995</v>
      </c>
      <c r="AA432" s="58">
        <f t="shared" si="131"/>
        <v>66.461500000000001</v>
      </c>
      <c r="AB432" s="58"/>
      <c r="AC432" s="58">
        <f t="shared" si="132"/>
        <v>84.28</v>
      </c>
      <c r="AD432" s="58" t="e">
        <f>IF(B432&lt;&gt;0,VLOOKUP(B432,#REF!,2,FALSE),"")</f>
        <v>#REF!</v>
      </c>
      <c r="AE432" s="55">
        <v>5</v>
      </c>
      <c r="AF432" s="55">
        <f t="shared" si="123"/>
        <v>-2</v>
      </c>
    </row>
    <row r="433" spans="1:32" s="55" customFormat="1" ht="30">
      <c r="A433" s="21" t="s">
        <v>996</v>
      </c>
      <c r="B433" s="20">
        <v>12977</v>
      </c>
      <c r="C433" s="19" t="s">
        <v>212</v>
      </c>
      <c r="D433" s="21" t="s">
        <v>44</v>
      </c>
      <c r="E433" s="21" t="s">
        <v>17</v>
      </c>
      <c r="F433" s="22">
        <v>5</v>
      </c>
      <c r="G433" s="22">
        <f t="shared" si="129"/>
        <v>13.5745</v>
      </c>
      <c r="H433" s="22">
        <f>ROUND(G433*(1+$X$13),2)</f>
        <v>17.21</v>
      </c>
      <c r="I433" s="147">
        <f>ROUND(H433*F433,2)</f>
        <v>86.05</v>
      </c>
      <c r="J433" s="148"/>
      <c r="K433" s="148"/>
      <c r="L433" s="148"/>
      <c r="M433" s="148">
        <v>15.12</v>
      </c>
      <c r="N433" s="148">
        <v>19.170000000000002</v>
      </c>
      <c r="O433" s="148">
        <v>95.85</v>
      </c>
      <c r="P433" s="494"/>
      <c r="Q433" s="147">
        <f t="shared" si="119"/>
        <v>0</v>
      </c>
      <c r="R433" s="148"/>
      <c r="S433" s="148">
        <f t="shared" si="126"/>
        <v>0</v>
      </c>
      <c r="T433" s="148">
        <f t="shared" si="128"/>
        <v>5</v>
      </c>
      <c r="U433" s="148">
        <f t="shared" si="127"/>
        <v>95.85</v>
      </c>
      <c r="V433" s="379"/>
      <c r="W433" s="379"/>
      <c r="X433" s="57">
        <f>'COMPOSIÇÃO DE CUSTOS'!G1223</f>
        <v>13.57</v>
      </c>
      <c r="Y433" s="334">
        <v>15.97</v>
      </c>
      <c r="Z433" s="58">
        <f t="shared" si="130"/>
        <v>-2.3955000000000002</v>
      </c>
      <c r="AA433" s="58">
        <f t="shared" si="131"/>
        <v>67.872500000000002</v>
      </c>
      <c r="AB433" s="58"/>
      <c r="AC433" s="58">
        <f t="shared" si="132"/>
        <v>86.050000000000011</v>
      </c>
      <c r="AD433" s="58" t="e">
        <f>IF(B433&lt;&gt;0,VLOOKUP(B433,#REF!,2,FALSE),"")</f>
        <v>#REF!</v>
      </c>
      <c r="AF433" s="55">
        <f t="shared" si="123"/>
        <v>-5</v>
      </c>
    </row>
    <row r="434" spans="1:32" s="55" customFormat="1">
      <c r="A434" s="69" t="s">
        <v>1000</v>
      </c>
      <c r="B434" s="129"/>
      <c r="C434" s="229" t="s">
        <v>214</v>
      </c>
      <c r="D434" s="230"/>
      <c r="E434" s="230"/>
      <c r="F434" s="230"/>
      <c r="G434" s="22"/>
      <c r="H434" s="230"/>
      <c r="I434" s="445"/>
      <c r="J434" s="440"/>
      <c r="K434" s="440"/>
      <c r="L434" s="440"/>
      <c r="M434" s="440"/>
      <c r="N434" s="440"/>
      <c r="O434" s="440"/>
      <c r="P434" s="492"/>
      <c r="Q434" s="147">
        <f t="shared" si="119"/>
        <v>0</v>
      </c>
      <c r="R434" s="440"/>
      <c r="S434" s="148">
        <f t="shared" si="126"/>
        <v>0</v>
      </c>
      <c r="T434" s="148" t="str">
        <f t="shared" si="128"/>
        <v xml:space="preserve"> </v>
      </c>
      <c r="U434" s="148">
        <f t="shared" si="127"/>
        <v>0</v>
      </c>
      <c r="V434" s="330"/>
      <c r="W434" s="330"/>
      <c r="X434" s="58" t="str">
        <f>IF(B434&lt;&gt;0,VLOOKUP(B434,#REF!,4,FALSE),"")</f>
        <v/>
      </c>
      <c r="Y434" s="334" t="s">
        <v>1891</v>
      </c>
      <c r="Z434" s="58"/>
      <c r="AA434" s="58">
        <f t="shared" si="131"/>
        <v>0</v>
      </c>
      <c r="AB434" s="58"/>
      <c r="AC434" s="58">
        <f t="shared" si="132"/>
        <v>0</v>
      </c>
      <c r="AD434" s="58" t="str">
        <f>IF(B434&lt;&gt;0,VLOOKUP(B434,#REF!,2,FALSE),"")</f>
        <v/>
      </c>
      <c r="AE434" s="55">
        <v>104</v>
      </c>
      <c r="AF434" s="55">
        <f t="shared" si="123"/>
        <v>104</v>
      </c>
    </row>
    <row r="435" spans="1:32" s="55" customFormat="1" ht="45">
      <c r="A435" s="21" t="s">
        <v>1001</v>
      </c>
      <c r="B435" s="20">
        <v>91929</v>
      </c>
      <c r="C435" s="19" t="s">
        <v>1681</v>
      </c>
      <c r="D435" s="21" t="s">
        <v>12</v>
      </c>
      <c r="E435" s="21" t="s">
        <v>52</v>
      </c>
      <c r="F435" s="22">
        <v>104</v>
      </c>
      <c r="G435" s="22">
        <f t="shared" si="129"/>
        <v>5.8819999999999997</v>
      </c>
      <c r="H435" s="22">
        <f t="shared" ref="H435:H441" si="133">ROUND(G435*(1+$X$13),2)</f>
        <v>7.46</v>
      </c>
      <c r="I435" s="147">
        <f t="shared" ref="I435:I441" si="134">ROUND(H435*F435,2)</f>
        <v>775.84</v>
      </c>
      <c r="J435" s="148"/>
      <c r="K435" s="148"/>
      <c r="L435" s="148"/>
      <c r="M435" s="148">
        <v>6.55</v>
      </c>
      <c r="N435" s="148">
        <v>8.31</v>
      </c>
      <c r="O435" s="148">
        <v>864.24</v>
      </c>
      <c r="P435" s="494"/>
      <c r="Q435" s="147">
        <f t="shared" ref="Q435:Q444" si="135">ROUND(P435*N435,2)</f>
        <v>0</v>
      </c>
      <c r="R435" s="148"/>
      <c r="S435" s="148">
        <f t="shared" si="126"/>
        <v>0</v>
      </c>
      <c r="T435" s="148">
        <f t="shared" si="128"/>
        <v>104</v>
      </c>
      <c r="U435" s="148">
        <f t="shared" si="127"/>
        <v>864.24</v>
      </c>
      <c r="V435" s="379"/>
      <c r="W435" s="379"/>
      <c r="X435" s="58" t="e">
        <f>IF(B435&lt;&gt;0,VLOOKUP(B435,#REF!,4,FALSE),"")</f>
        <v>#REF!</v>
      </c>
      <c r="Y435" s="334" t="s">
        <v>1859</v>
      </c>
      <c r="Z435" s="58">
        <f t="shared" si="130"/>
        <v>-1.0380000000000003</v>
      </c>
      <c r="AA435" s="58">
        <f t="shared" si="131"/>
        <v>611.72799999999995</v>
      </c>
      <c r="AB435" s="58"/>
      <c r="AC435" s="58">
        <f t="shared" si="132"/>
        <v>775.84</v>
      </c>
      <c r="AD435" s="58" t="e">
        <f>IF(B435&lt;&gt;0,VLOOKUP(B435,#REF!,2,FALSE),"")</f>
        <v>#REF!</v>
      </c>
      <c r="AE435" s="55">
        <v>1879</v>
      </c>
      <c r="AF435" s="55">
        <f t="shared" si="123"/>
        <v>1775</v>
      </c>
    </row>
    <row r="436" spans="1:32" s="55" customFormat="1" ht="45">
      <c r="A436" s="21" t="s">
        <v>1002</v>
      </c>
      <c r="B436" s="20">
        <v>92982</v>
      </c>
      <c r="C436" s="19" t="s">
        <v>1683</v>
      </c>
      <c r="D436" s="21" t="s">
        <v>12</v>
      </c>
      <c r="E436" s="21" t="s">
        <v>52</v>
      </c>
      <c r="F436" s="22">
        <v>1879</v>
      </c>
      <c r="G436" s="22">
        <f t="shared" si="129"/>
        <v>14.195</v>
      </c>
      <c r="H436" s="22">
        <f t="shared" si="133"/>
        <v>18</v>
      </c>
      <c r="I436" s="147">
        <f t="shared" si="134"/>
        <v>33822</v>
      </c>
      <c r="J436" s="148"/>
      <c r="K436" s="148"/>
      <c r="L436" s="148"/>
      <c r="M436" s="148">
        <v>26.01</v>
      </c>
      <c r="N436" s="148">
        <v>32.979999999999997</v>
      </c>
      <c r="O436" s="148">
        <v>61969.42</v>
      </c>
      <c r="P436" s="494"/>
      <c r="Q436" s="147">
        <f t="shared" si="135"/>
        <v>0</v>
      </c>
      <c r="R436" s="148"/>
      <c r="S436" s="148">
        <f t="shared" si="126"/>
        <v>0</v>
      </c>
      <c r="T436" s="148">
        <f t="shared" si="128"/>
        <v>1879</v>
      </c>
      <c r="U436" s="148">
        <f t="shared" si="127"/>
        <v>61969.42</v>
      </c>
      <c r="V436" s="379"/>
      <c r="W436" s="379"/>
      <c r="X436" s="58" t="e">
        <f>IF(B436&lt;&gt;0,VLOOKUP(B436,#REF!,4,FALSE),"")</f>
        <v>#REF!</v>
      </c>
      <c r="Y436" s="334" t="s">
        <v>1847</v>
      </c>
      <c r="Z436" s="58">
        <f t="shared" si="130"/>
        <v>-2.504999999999999</v>
      </c>
      <c r="AA436" s="58">
        <f t="shared" si="131"/>
        <v>26672.404999999999</v>
      </c>
      <c r="AB436" s="58"/>
      <c r="AC436" s="58">
        <f t="shared" si="132"/>
        <v>33822</v>
      </c>
      <c r="AD436" s="58" t="e">
        <f>IF(B436&lt;&gt;0,VLOOKUP(B436,#REF!,2,FALSE),"")</f>
        <v>#REF!</v>
      </c>
      <c r="AE436" s="55">
        <v>134</v>
      </c>
      <c r="AF436" s="55">
        <f t="shared" si="123"/>
        <v>-1745</v>
      </c>
    </row>
    <row r="437" spans="1:32" s="23" customFormat="1" ht="45">
      <c r="A437" s="21" t="s">
        <v>1003</v>
      </c>
      <c r="B437" s="20">
        <v>92984</v>
      </c>
      <c r="C437" s="19" t="s">
        <v>1684</v>
      </c>
      <c r="D437" s="21" t="s">
        <v>12</v>
      </c>
      <c r="E437" s="21" t="s">
        <v>52</v>
      </c>
      <c r="F437" s="22">
        <v>134</v>
      </c>
      <c r="G437" s="22">
        <f t="shared" si="129"/>
        <v>22.5505</v>
      </c>
      <c r="H437" s="22">
        <f t="shared" si="133"/>
        <v>28.6</v>
      </c>
      <c r="I437" s="147">
        <f t="shared" si="134"/>
        <v>3832.4</v>
      </c>
      <c r="J437" s="148"/>
      <c r="K437" s="148"/>
      <c r="L437" s="148"/>
      <c r="M437" s="148">
        <v>24.84</v>
      </c>
      <c r="N437" s="148">
        <v>31.5</v>
      </c>
      <c r="O437" s="148">
        <v>4221</v>
      </c>
      <c r="P437" s="494"/>
      <c r="Q437" s="147">
        <f t="shared" si="135"/>
        <v>0</v>
      </c>
      <c r="R437" s="148"/>
      <c r="S437" s="148">
        <f t="shared" si="126"/>
        <v>0</v>
      </c>
      <c r="T437" s="148">
        <f t="shared" si="128"/>
        <v>134</v>
      </c>
      <c r="U437" s="148">
        <f t="shared" si="127"/>
        <v>4221</v>
      </c>
      <c r="V437" s="379"/>
      <c r="W437" s="379"/>
      <c r="X437" s="58" t="e">
        <f>IF(B437&lt;&gt;0,VLOOKUP(B437,#REF!,4,FALSE),"")</f>
        <v>#REF!</v>
      </c>
      <c r="Y437" s="334" t="s">
        <v>3227</v>
      </c>
      <c r="Z437" s="58">
        <f t="shared" si="130"/>
        <v>-3.9795000000000016</v>
      </c>
      <c r="AA437" s="58">
        <f t="shared" si="131"/>
        <v>3021.7669999999998</v>
      </c>
      <c r="AB437" s="58"/>
      <c r="AC437" s="58">
        <f t="shared" si="132"/>
        <v>3832.4</v>
      </c>
      <c r="AD437" s="58" t="e">
        <f>IF(B437&lt;&gt;0,VLOOKUP(B437,#REF!,2,FALSE),"")</f>
        <v>#REF!</v>
      </c>
      <c r="AE437" s="23">
        <v>22</v>
      </c>
      <c r="AF437" s="55">
        <f t="shared" si="123"/>
        <v>-112</v>
      </c>
    </row>
    <row r="438" spans="1:32" s="23" customFormat="1" ht="45">
      <c r="A438" s="21" t="s">
        <v>1004</v>
      </c>
      <c r="B438" s="20">
        <v>92986</v>
      </c>
      <c r="C438" s="19" t="s">
        <v>1685</v>
      </c>
      <c r="D438" s="21" t="s">
        <v>12</v>
      </c>
      <c r="E438" s="21" t="s">
        <v>52</v>
      </c>
      <c r="F438" s="22">
        <v>22</v>
      </c>
      <c r="G438" s="22">
        <f t="shared" si="129"/>
        <v>30.667999999999999</v>
      </c>
      <c r="H438" s="22">
        <f t="shared" si="133"/>
        <v>38.89</v>
      </c>
      <c r="I438" s="147">
        <f t="shared" si="134"/>
        <v>855.58</v>
      </c>
      <c r="J438" s="148"/>
      <c r="K438" s="148"/>
      <c r="L438" s="148"/>
      <c r="M438" s="148">
        <v>47.53</v>
      </c>
      <c r="N438" s="148">
        <v>60.27</v>
      </c>
      <c r="O438" s="148">
        <v>1325.94</v>
      </c>
      <c r="P438" s="494"/>
      <c r="Q438" s="147">
        <f t="shared" si="135"/>
        <v>0</v>
      </c>
      <c r="R438" s="148"/>
      <c r="S438" s="148">
        <f t="shared" si="126"/>
        <v>0</v>
      </c>
      <c r="T438" s="148">
        <f t="shared" si="128"/>
        <v>22</v>
      </c>
      <c r="U438" s="148">
        <f t="shared" si="127"/>
        <v>1325.94</v>
      </c>
      <c r="V438" s="379"/>
      <c r="W438" s="379"/>
      <c r="X438" s="58" t="e">
        <f>IF(B438&lt;&gt;0,VLOOKUP(B438,#REF!,4,FALSE),"")</f>
        <v>#REF!</v>
      </c>
      <c r="Y438" s="334" t="s">
        <v>3228</v>
      </c>
      <c r="Z438" s="58">
        <f t="shared" si="130"/>
        <v>-5.411999999999999</v>
      </c>
      <c r="AA438" s="58">
        <f t="shared" si="131"/>
        <v>674.69600000000003</v>
      </c>
      <c r="AB438" s="58"/>
      <c r="AC438" s="58">
        <f t="shared" si="132"/>
        <v>855.58</v>
      </c>
      <c r="AD438" s="58" t="e">
        <f>IF(B438&lt;&gt;0,VLOOKUP(B438,#REF!,2,FALSE),"")</f>
        <v>#REF!</v>
      </c>
      <c r="AE438" s="23">
        <v>117</v>
      </c>
      <c r="AF438" s="55">
        <f t="shared" si="123"/>
        <v>95</v>
      </c>
    </row>
    <row r="439" spans="1:32" s="23" customFormat="1" ht="45">
      <c r="A439" s="21" t="s">
        <v>1005</v>
      </c>
      <c r="B439" s="20">
        <v>92988</v>
      </c>
      <c r="C439" s="19" t="s">
        <v>1686</v>
      </c>
      <c r="D439" s="21" t="s">
        <v>12</v>
      </c>
      <c r="E439" s="21" t="s">
        <v>52</v>
      </c>
      <c r="F439" s="22">
        <v>117</v>
      </c>
      <c r="G439" s="22">
        <f t="shared" si="129"/>
        <v>43.248000000000005</v>
      </c>
      <c r="H439" s="22">
        <f t="shared" si="133"/>
        <v>54.84</v>
      </c>
      <c r="I439" s="147">
        <f t="shared" si="134"/>
        <v>6416.28</v>
      </c>
      <c r="J439" s="148"/>
      <c r="K439" s="148"/>
      <c r="L439" s="148"/>
      <c r="M439" s="148">
        <v>65.13</v>
      </c>
      <c r="N439" s="148">
        <v>82.59</v>
      </c>
      <c r="O439" s="148">
        <v>9663.0300000000007</v>
      </c>
      <c r="P439" s="494"/>
      <c r="Q439" s="147">
        <f t="shared" si="135"/>
        <v>0</v>
      </c>
      <c r="R439" s="148"/>
      <c r="S439" s="148">
        <f t="shared" si="126"/>
        <v>0</v>
      </c>
      <c r="T439" s="148">
        <f t="shared" si="128"/>
        <v>117</v>
      </c>
      <c r="U439" s="148">
        <f t="shared" si="127"/>
        <v>9663.0300000000007</v>
      </c>
      <c r="V439" s="379"/>
      <c r="W439" s="379"/>
      <c r="X439" s="58" t="e">
        <f>IF(B439&lt;&gt;0,VLOOKUP(B439,#REF!,4,FALSE),"")</f>
        <v>#REF!</v>
      </c>
      <c r="Y439" s="334" t="s">
        <v>3229</v>
      </c>
      <c r="Z439" s="58">
        <f t="shared" si="130"/>
        <v>-7.6319999999999979</v>
      </c>
      <c r="AA439" s="58">
        <f t="shared" si="131"/>
        <v>5060.0160000000005</v>
      </c>
      <c r="AB439" s="58"/>
      <c r="AC439" s="58">
        <f t="shared" si="132"/>
        <v>6416.2800000000007</v>
      </c>
      <c r="AD439" s="58" t="e">
        <f>IF(B439&lt;&gt;0,VLOOKUP(B439,#REF!,2,FALSE),"")</f>
        <v>#REF!</v>
      </c>
      <c r="AE439" s="23">
        <v>86</v>
      </c>
      <c r="AF439" s="55">
        <f t="shared" si="123"/>
        <v>-31</v>
      </c>
    </row>
    <row r="440" spans="1:32" ht="45">
      <c r="A440" s="21" t="s">
        <v>1006</v>
      </c>
      <c r="B440" s="20">
        <v>92990</v>
      </c>
      <c r="C440" s="19" t="s">
        <v>1687</v>
      </c>
      <c r="D440" s="21" t="s">
        <v>12</v>
      </c>
      <c r="E440" s="21" t="s">
        <v>52</v>
      </c>
      <c r="F440" s="22">
        <v>86</v>
      </c>
      <c r="G440" s="22">
        <f t="shared" si="129"/>
        <v>59.474499999999999</v>
      </c>
      <c r="H440" s="22">
        <f t="shared" si="133"/>
        <v>75.42</v>
      </c>
      <c r="I440" s="147">
        <f t="shared" si="134"/>
        <v>6486.12</v>
      </c>
      <c r="J440" s="148"/>
      <c r="K440" s="148"/>
      <c r="L440" s="148"/>
      <c r="M440" s="148">
        <v>87.62</v>
      </c>
      <c r="N440" s="148">
        <v>111.11</v>
      </c>
      <c r="O440" s="148">
        <v>9555.4599999999991</v>
      </c>
      <c r="P440" s="494"/>
      <c r="Q440" s="147">
        <f t="shared" si="135"/>
        <v>0</v>
      </c>
      <c r="R440" s="148"/>
      <c r="S440" s="148">
        <f t="shared" si="126"/>
        <v>0</v>
      </c>
      <c r="T440" s="148">
        <f t="shared" si="128"/>
        <v>86</v>
      </c>
      <c r="U440" s="148">
        <f t="shared" si="127"/>
        <v>9555.4599999999991</v>
      </c>
      <c r="V440" s="379"/>
      <c r="W440" s="379"/>
      <c r="X440" s="58" t="e">
        <f>IF(B440&lt;&gt;0,VLOOKUP(B440,#REF!,4,FALSE),"")</f>
        <v>#REF!</v>
      </c>
      <c r="Y440" s="334" t="s">
        <v>3230</v>
      </c>
      <c r="Z440" s="58">
        <f t="shared" si="130"/>
        <v>-10.4955</v>
      </c>
      <c r="AA440" s="58">
        <f t="shared" si="131"/>
        <v>5114.8069999999998</v>
      </c>
      <c r="AB440" s="58"/>
      <c r="AC440" s="58">
        <f t="shared" si="132"/>
        <v>6486.12</v>
      </c>
      <c r="AD440" s="58" t="e">
        <f>IF(B440&lt;&gt;0,VLOOKUP(B440,#REF!,2,FALSE),"")</f>
        <v>#REF!</v>
      </c>
      <c r="AE440" s="2">
        <v>250</v>
      </c>
      <c r="AF440" s="55">
        <f t="shared" si="123"/>
        <v>164</v>
      </c>
    </row>
    <row r="441" spans="1:32" ht="45">
      <c r="A441" s="21" t="s">
        <v>1007</v>
      </c>
      <c r="B441" s="20">
        <v>92992</v>
      </c>
      <c r="C441" s="19" t="s">
        <v>1688</v>
      </c>
      <c r="D441" s="21" t="s">
        <v>12</v>
      </c>
      <c r="E441" s="21" t="s">
        <v>52</v>
      </c>
      <c r="F441" s="22">
        <v>250</v>
      </c>
      <c r="G441" s="22">
        <f t="shared" si="129"/>
        <v>78.6845</v>
      </c>
      <c r="H441" s="22">
        <f t="shared" si="133"/>
        <v>99.78</v>
      </c>
      <c r="I441" s="147">
        <f t="shared" si="134"/>
        <v>24945</v>
      </c>
      <c r="J441" s="148"/>
      <c r="K441" s="148"/>
      <c r="L441" s="148"/>
      <c r="M441" s="148">
        <v>104.78</v>
      </c>
      <c r="N441" s="148">
        <v>132.87</v>
      </c>
      <c r="O441" s="148">
        <v>33217.5</v>
      </c>
      <c r="P441" s="494"/>
      <c r="Q441" s="147">
        <f t="shared" si="135"/>
        <v>0</v>
      </c>
      <c r="R441" s="148"/>
      <c r="S441" s="148">
        <f t="shared" si="126"/>
        <v>0</v>
      </c>
      <c r="T441" s="148">
        <f t="shared" si="128"/>
        <v>250</v>
      </c>
      <c r="U441" s="148">
        <f t="shared" si="127"/>
        <v>33217.5</v>
      </c>
      <c r="V441" s="379"/>
      <c r="W441" s="379"/>
      <c r="X441" s="58" t="e">
        <f>IF(B441&lt;&gt;0,VLOOKUP(B441,#REF!,4,FALSE),"")</f>
        <v>#REF!</v>
      </c>
      <c r="Y441" s="334" t="s">
        <v>3153</v>
      </c>
      <c r="Z441" s="58">
        <f t="shared" si="130"/>
        <v>-13.885499999999993</v>
      </c>
      <c r="AA441" s="58">
        <f t="shared" si="131"/>
        <v>19671.125</v>
      </c>
      <c r="AB441" s="58"/>
      <c r="AC441" s="58">
        <f t="shared" si="132"/>
        <v>24945</v>
      </c>
      <c r="AD441" s="58" t="e">
        <f>IF(B441&lt;&gt;0,VLOOKUP(B441,#REF!,2,FALSE),"")</f>
        <v>#REF!</v>
      </c>
      <c r="AF441" s="55">
        <f t="shared" si="123"/>
        <v>-250</v>
      </c>
    </row>
    <row r="442" spans="1:32" s="55" customFormat="1">
      <c r="A442" s="69" t="s">
        <v>1011</v>
      </c>
      <c r="B442" s="129"/>
      <c r="C442" s="229" t="s">
        <v>216</v>
      </c>
      <c r="D442" s="230"/>
      <c r="E442" s="230"/>
      <c r="F442" s="230"/>
      <c r="G442" s="22"/>
      <c r="H442" s="230"/>
      <c r="I442" s="445"/>
      <c r="J442" s="440"/>
      <c r="K442" s="440"/>
      <c r="L442" s="440"/>
      <c r="M442" s="440"/>
      <c r="N442" s="440"/>
      <c r="O442" s="440"/>
      <c r="P442" s="492"/>
      <c r="Q442" s="147">
        <f t="shared" si="135"/>
        <v>0</v>
      </c>
      <c r="R442" s="440"/>
      <c r="S442" s="148">
        <f t="shared" si="126"/>
        <v>0</v>
      </c>
      <c r="T442" s="148" t="str">
        <f t="shared" si="128"/>
        <v xml:space="preserve"> </v>
      </c>
      <c r="U442" s="148">
        <f t="shared" si="127"/>
        <v>0</v>
      </c>
      <c r="V442" s="330"/>
      <c r="W442" s="330"/>
      <c r="X442" s="58" t="str">
        <f>IF(B442&lt;&gt;0,VLOOKUP(B442,#REF!,4,FALSE),"")</f>
        <v/>
      </c>
      <c r="Y442" s="334" t="s">
        <v>1891</v>
      </c>
      <c r="Z442" s="58"/>
      <c r="AA442" s="58">
        <f t="shared" si="131"/>
        <v>0</v>
      </c>
      <c r="AB442" s="58"/>
      <c r="AC442" s="58">
        <f t="shared" si="132"/>
        <v>0</v>
      </c>
      <c r="AD442" s="58" t="str">
        <f>IF(B442&lt;&gt;0,VLOOKUP(B442,#REF!,2,FALSE),"")</f>
        <v/>
      </c>
      <c r="AE442" s="55">
        <v>1</v>
      </c>
      <c r="AF442" s="55">
        <f t="shared" si="123"/>
        <v>1</v>
      </c>
    </row>
    <row r="443" spans="1:32" s="55" customFormat="1" ht="30">
      <c r="A443" s="21" t="s">
        <v>1012</v>
      </c>
      <c r="B443" s="20" t="s">
        <v>2265</v>
      </c>
      <c r="C443" s="19" t="s">
        <v>217</v>
      </c>
      <c r="D443" s="21" t="s">
        <v>1914</v>
      </c>
      <c r="E443" s="21" t="s">
        <v>17</v>
      </c>
      <c r="F443" s="22">
        <v>1</v>
      </c>
      <c r="G443" s="22">
        <f t="shared" si="129"/>
        <v>106.98099999999999</v>
      </c>
      <c r="H443" s="22">
        <f>ROUND(G443*(1+$X$13),2)</f>
        <v>135.66</v>
      </c>
      <c r="I443" s="147">
        <f>ROUND(H443*F443,2)</f>
        <v>135.66</v>
      </c>
      <c r="J443" s="148"/>
      <c r="K443" s="148"/>
      <c r="L443" s="148"/>
      <c r="M443" s="148">
        <v>119.18</v>
      </c>
      <c r="N443" s="148">
        <v>151.13</v>
      </c>
      <c r="O443" s="148">
        <v>151.13</v>
      </c>
      <c r="P443" s="494"/>
      <c r="Q443" s="147">
        <f t="shared" si="135"/>
        <v>0</v>
      </c>
      <c r="R443" s="148"/>
      <c r="S443" s="148">
        <f t="shared" si="126"/>
        <v>0</v>
      </c>
      <c r="T443" s="148">
        <f t="shared" si="128"/>
        <v>1</v>
      </c>
      <c r="U443" s="148">
        <f t="shared" si="127"/>
        <v>151.13</v>
      </c>
      <c r="V443" s="379"/>
      <c r="W443" s="379"/>
      <c r="X443" s="57">
        <f>'COMPOSIÇÃO DE CUSTOS'!G1244</f>
        <v>106.99</v>
      </c>
      <c r="Y443" s="334">
        <v>125.86</v>
      </c>
      <c r="Z443" s="58">
        <f t="shared" si="130"/>
        <v>-18.879000000000005</v>
      </c>
      <c r="AA443" s="58">
        <f t="shared" si="131"/>
        <v>106.98099999999999</v>
      </c>
      <c r="AB443" s="58"/>
      <c r="AC443" s="58">
        <f t="shared" si="132"/>
        <v>135.66</v>
      </c>
      <c r="AD443" s="58" t="e">
        <f>IF(B443&lt;&gt;0,VLOOKUP(B443,#REF!,2,FALSE),"")</f>
        <v>#REF!</v>
      </c>
      <c r="AE443" s="55">
        <v>3</v>
      </c>
      <c r="AF443" s="55">
        <f t="shared" si="123"/>
        <v>2</v>
      </c>
    </row>
    <row r="444" spans="1:32" s="55" customFormat="1" ht="45">
      <c r="A444" s="21" t="s">
        <v>1013</v>
      </c>
      <c r="B444" s="20">
        <v>95789</v>
      </c>
      <c r="C444" s="19" t="s">
        <v>1690</v>
      </c>
      <c r="D444" s="21" t="s">
        <v>12</v>
      </c>
      <c r="E444" s="21" t="s">
        <v>17</v>
      </c>
      <c r="F444" s="22">
        <v>3</v>
      </c>
      <c r="G444" s="22">
        <f t="shared" si="129"/>
        <v>23.859500000000001</v>
      </c>
      <c r="H444" s="22">
        <f>ROUND(G444*(1+$X$13),2)</f>
        <v>30.26</v>
      </c>
      <c r="I444" s="147">
        <f>ROUND(H444*F444,2)</f>
        <v>90.78</v>
      </c>
      <c r="J444" s="148"/>
      <c r="K444" s="148"/>
      <c r="L444" s="148"/>
      <c r="M444" s="148">
        <v>26.58</v>
      </c>
      <c r="N444" s="148">
        <v>33.71</v>
      </c>
      <c r="O444" s="148">
        <v>101.13</v>
      </c>
      <c r="P444" s="494"/>
      <c r="Q444" s="147">
        <f t="shared" si="135"/>
        <v>0</v>
      </c>
      <c r="R444" s="148"/>
      <c r="S444" s="148">
        <f t="shared" si="126"/>
        <v>0</v>
      </c>
      <c r="T444" s="148">
        <f t="shared" si="128"/>
        <v>3</v>
      </c>
      <c r="U444" s="148">
        <f t="shared" si="127"/>
        <v>101.13</v>
      </c>
      <c r="V444" s="379"/>
      <c r="W444" s="379"/>
      <c r="X444" s="57" t="e">
        <f>IF(B444&lt;&gt;0,VLOOKUP(B444,#REF!,4,FALSE),"")</f>
        <v>#REF!</v>
      </c>
      <c r="Y444" s="334" t="s">
        <v>3148</v>
      </c>
      <c r="Z444" s="58">
        <f t="shared" si="130"/>
        <v>-4.2104999999999997</v>
      </c>
      <c r="AA444" s="58">
        <f t="shared" si="131"/>
        <v>71.578500000000005</v>
      </c>
      <c r="AB444" s="58"/>
      <c r="AC444" s="58">
        <f t="shared" si="132"/>
        <v>90.78</v>
      </c>
      <c r="AD444" s="58" t="e">
        <f>IF(B444&lt;&gt;0,VLOOKUP(B444,#REF!,2,FALSE),"")</f>
        <v>#REF!</v>
      </c>
      <c r="AE444" s="55">
        <v>1</v>
      </c>
      <c r="AF444" s="55">
        <f t="shared" si="123"/>
        <v>-2</v>
      </c>
    </row>
    <row r="445" spans="1:32" s="55" customFormat="1" ht="30">
      <c r="A445" s="21" t="s">
        <v>1014</v>
      </c>
      <c r="B445" s="20" t="s">
        <v>2754</v>
      </c>
      <c r="C445" s="19" t="s">
        <v>2755</v>
      </c>
      <c r="D445" s="21" t="s">
        <v>70</v>
      </c>
      <c r="E445" s="21" t="s">
        <v>17</v>
      </c>
      <c r="F445" s="22">
        <v>1</v>
      </c>
      <c r="G445" s="22">
        <f t="shared" si="129"/>
        <v>223.31200000000001</v>
      </c>
      <c r="H445" s="22">
        <f>ROUND(G445*(1+$X$13),2)</f>
        <v>283.18</v>
      </c>
      <c r="I445" s="147">
        <f>ROUND(H445*F445,2)</f>
        <v>283.18</v>
      </c>
      <c r="J445" s="148"/>
      <c r="K445" s="148"/>
      <c r="L445" s="148"/>
      <c r="M445" s="148">
        <v>248.77</v>
      </c>
      <c r="N445" s="148">
        <v>315.47000000000003</v>
      </c>
      <c r="O445" s="148">
        <v>315.47000000000003</v>
      </c>
      <c r="P445" s="494"/>
      <c r="Q445" s="147">
        <f>ROUND(P445*N445,2)</f>
        <v>0</v>
      </c>
      <c r="R445" s="148"/>
      <c r="S445" s="148">
        <f t="shared" si="126"/>
        <v>0</v>
      </c>
      <c r="T445" s="148">
        <f t="shared" si="128"/>
        <v>1</v>
      </c>
      <c r="U445" s="148">
        <f t="shared" si="127"/>
        <v>315.47000000000003</v>
      </c>
      <c r="V445" s="379"/>
      <c r="W445" s="379"/>
      <c r="X445" s="57">
        <f>'COMPOSIÇÃO DE CUSTOS'!G2463</f>
        <v>223.32</v>
      </c>
      <c r="Y445" s="334">
        <v>262.72000000000003</v>
      </c>
      <c r="Z445" s="58">
        <f t="shared" si="130"/>
        <v>-39.408000000000015</v>
      </c>
      <c r="AA445" s="58">
        <f t="shared" si="131"/>
        <v>223.31200000000001</v>
      </c>
      <c r="AB445" s="58"/>
      <c r="AC445" s="58">
        <f t="shared" si="132"/>
        <v>283.18</v>
      </c>
      <c r="AD445" s="58" t="e">
        <f>IF(B445&lt;&gt;0,VLOOKUP(B445,#REF!,2,FALSE),"")</f>
        <v>#REF!</v>
      </c>
      <c r="AF445" s="55">
        <f t="shared" si="123"/>
        <v>-1</v>
      </c>
    </row>
    <row r="446" spans="1:32" s="55" customFormat="1">
      <c r="A446" s="21"/>
      <c r="B446" s="20"/>
      <c r="C446" s="19"/>
      <c r="D446" s="21"/>
      <c r="E446" s="21"/>
      <c r="F446" s="22"/>
      <c r="G446" s="22"/>
      <c r="H446" s="22"/>
      <c r="I446" s="147"/>
      <c r="J446" s="148"/>
      <c r="K446" s="148"/>
      <c r="L446" s="148"/>
      <c r="M446" s="148"/>
      <c r="N446" s="148"/>
      <c r="O446" s="148"/>
      <c r="P446" s="494"/>
      <c r="Q446" s="147"/>
      <c r="R446" s="148"/>
      <c r="S446" s="148"/>
      <c r="T446" s="148" t="str">
        <f t="shared" si="128"/>
        <v xml:space="preserve"> </v>
      </c>
      <c r="U446" s="148"/>
      <c r="V446" s="379"/>
      <c r="W446" s="379"/>
      <c r="X446" s="58" t="str">
        <f>IF(B446&lt;&gt;0,VLOOKUP(B446,#REF!,4,FALSE),"")</f>
        <v/>
      </c>
      <c r="Y446" s="334" t="s">
        <v>1891</v>
      </c>
      <c r="Z446" s="58"/>
      <c r="AA446" s="58">
        <f t="shared" si="131"/>
        <v>0</v>
      </c>
      <c r="AB446" s="58"/>
      <c r="AC446" s="58">
        <f t="shared" si="132"/>
        <v>0</v>
      </c>
      <c r="AD446" s="58" t="str">
        <f>IF(B446&lt;&gt;0,VLOOKUP(B446,#REF!,2,FALSE),"")</f>
        <v/>
      </c>
      <c r="AF446" s="55">
        <f t="shared" si="123"/>
        <v>0</v>
      </c>
    </row>
    <row r="447" spans="1:32" s="55" customFormat="1">
      <c r="A447" s="69" t="s">
        <v>1018</v>
      </c>
      <c r="B447" s="129"/>
      <c r="C447" s="229" t="s">
        <v>218</v>
      </c>
      <c r="D447" s="230"/>
      <c r="E447" s="230"/>
      <c r="F447" s="230"/>
      <c r="G447" s="22"/>
      <c r="H447" s="230"/>
      <c r="I447" s="445">
        <f>ROUND(SUM(I449:I512),2)</f>
        <v>653921.75</v>
      </c>
      <c r="J447" s="440"/>
      <c r="K447" s="440"/>
      <c r="L447" s="440"/>
      <c r="M447" s="440"/>
      <c r="N447" s="440"/>
      <c r="O447" s="440">
        <v>719919.64</v>
      </c>
      <c r="P447" s="492"/>
      <c r="Q447" s="445">
        <f>ROUND(SUM(Q449:Q512),2)</f>
        <v>1519.65</v>
      </c>
      <c r="R447" s="440"/>
      <c r="S447" s="440">
        <f>ROUND(SUM(S449:S512),2)</f>
        <v>0</v>
      </c>
      <c r="T447" s="148" t="str">
        <f t="shared" si="128"/>
        <v xml:space="preserve"> </v>
      </c>
      <c r="U447" s="440">
        <f t="shared" si="127"/>
        <v>721439.29</v>
      </c>
      <c r="V447" s="330"/>
      <c r="W447" s="330"/>
      <c r="X447" s="57" t="str">
        <f>IF(B447&lt;&gt;0,VLOOKUP(B447,#REF!,4,FALSE),"")</f>
        <v/>
      </c>
      <c r="Y447" s="334" t="s">
        <v>1891</v>
      </c>
      <c r="Z447" s="58"/>
      <c r="AA447" s="58">
        <f t="shared" si="131"/>
        <v>0</v>
      </c>
      <c r="AB447" s="58"/>
      <c r="AC447" s="58">
        <f t="shared" si="132"/>
        <v>0</v>
      </c>
      <c r="AD447" s="58" t="str">
        <f>IF(B447&lt;&gt;0,VLOOKUP(B447,#REF!,2,FALSE),"")</f>
        <v/>
      </c>
      <c r="AF447" s="55">
        <f t="shared" si="123"/>
        <v>0</v>
      </c>
    </row>
    <row r="448" spans="1:32" s="55" customFormat="1">
      <c r="A448" s="69" t="s">
        <v>1019</v>
      </c>
      <c r="B448" s="129"/>
      <c r="C448" s="229" t="s">
        <v>219</v>
      </c>
      <c r="D448" s="230"/>
      <c r="E448" s="230"/>
      <c r="F448" s="230"/>
      <c r="G448" s="22"/>
      <c r="H448" s="230"/>
      <c r="I448" s="445"/>
      <c r="J448" s="440"/>
      <c r="K448" s="440"/>
      <c r="L448" s="440"/>
      <c r="M448" s="440"/>
      <c r="N448" s="440"/>
      <c r="O448" s="440"/>
      <c r="P448" s="492"/>
      <c r="Q448" s="445"/>
      <c r="R448" s="440"/>
      <c r="S448" s="440"/>
      <c r="T448" s="148" t="str">
        <f t="shared" si="128"/>
        <v xml:space="preserve"> </v>
      </c>
      <c r="U448" s="148"/>
      <c r="V448" s="330"/>
      <c r="W448" s="330"/>
      <c r="X448" s="58" t="str">
        <f>IF(B448&lt;&gt;0,VLOOKUP(B448,#REF!,4,FALSE),"")</f>
        <v/>
      </c>
      <c r="Y448" s="334" t="s">
        <v>1891</v>
      </c>
      <c r="Z448" s="58"/>
      <c r="AA448" s="58">
        <f t="shared" si="131"/>
        <v>0</v>
      </c>
      <c r="AB448" s="58"/>
      <c r="AC448" s="58">
        <f t="shared" si="132"/>
        <v>0</v>
      </c>
      <c r="AD448" s="58" t="str">
        <f>IF(B448&lt;&gt;0,VLOOKUP(B448,#REF!,2,FALSE),"")</f>
        <v/>
      </c>
      <c r="AE448" s="55">
        <v>1</v>
      </c>
      <c r="AF448" s="55">
        <f t="shared" si="123"/>
        <v>1</v>
      </c>
    </row>
    <row r="449" spans="1:32" s="55" customFormat="1" ht="30">
      <c r="A449" s="21" t="s">
        <v>1020</v>
      </c>
      <c r="B449" s="20">
        <v>8681</v>
      </c>
      <c r="C449" s="19" t="s">
        <v>2205</v>
      </c>
      <c r="D449" s="21" t="s">
        <v>44</v>
      </c>
      <c r="E449" s="21" t="s">
        <v>17</v>
      </c>
      <c r="F449" s="22">
        <v>1</v>
      </c>
      <c r="G449" s="22">
        <f t="shared" si="129"/>
        <v>387.66800000000001</v>
      </c>
      <c r="H449" s="22">
        <f>ROUND(G449*(1+$X$13),2)</f>
        <v>491.6</v>
      </c>
      <c r="I449" s="147">
        <f t="shared" ref="I449:I468" si="136">ROUND(H449*F449,2)</f>
        <v>491.6</v>
      </c>
      <c r="J449" s="148"/>
      <c r="K449" s="148"/>
      <c r="L449" s="148"/>
      <c r="M449" s="148">
        <v>431.87</v>
      </c>
      <c r="N449" s="148">
        <v>547.65</v>
      </c>
      <c r="O449" s="148">
        <v>547.65</v>
      </c>
      <c r="P449" s="494"/>
      <c r="Q449" s="147">
        <f t="shared" ref="Q449:Q511" si="137">ROUND(P449*N449,2)</f>
        <v>0</v>
      </c>
      <c r="R449" s="148"/>
      <c r="S449" s="148">
        <f>ROUND(R449*N449,2)</f>
        <v>0</v>
      </c>
      <c r="T449" s="148">
        <f t="shared" si="128"/>
        <v>1</v>
      </c>
      <c r="U449" s="148">
        <f t="shared" si="127"/>
        <v>547.65</v>
      </c>
      <c r="V449" s="379"/>
      <c r="W449" s="379"/>
      <c r="X449" s="57">
        <f>'COMPOSIÇÃO DE CUSTOS'!G1940</f>
        <v>387.68</v>
      </c>
      <c r="Y449" s="334">
        <v>456.08</v>
      </c>
      <c r="Z449" s="58">
        <f t="shared" si="130"/>
        <v>-68.411999999999978</v>
      </c>
      <c r="AA449" s="58">
        <f t="shared" si="131"/>
        <v>387.66800000000001</v>
      </c>
      <c r="AB449" s="58"/>
      <c r="AC449" s="58">
        <f t="shared" si="132"/>
        <v>491.6</v>
      </c>
      <c r="AD449" s="58" t="e">
        <f>IF(B449&lt;&gt;0,VLOOKUP(B449,#REF!,2,FALSE),"")</f>
        <v>#REF!</v>
      </c>
      <c r="AE449" s="55">
        <v>1</v>
      </c>
      <c r="AF449" s="55">
        <f t="shared" si="123"/>
        <v>0</v>
      </c>
    </row>
    <row r="450" spans="1:32" s="55" customFormat="1" ht="30">
      <c r="A450" s="21" t="s">
        <v>1021</v>
      </c>
      <c r="B450" s="20">
        <v>10305</v>
      </c>
      <c r="C450" s="19" t="s">
        <v>2756</v>
      </c>
      <c r="D450" s="21" t="s">
        <v>44</v>
      </c>
      <c r="E450" s="21" t="s">
        <v>17</v>
      </c>
      <c r="F450" s="22">
        <v>1</v>
      </c>
      <c r="G450" s="22">
        <f t="shared" si="129"/>
        <v>1657.721</v>
      </c>
      <c r="H450" s="22">
        <f>ROUND(G450*(1+$X$13),2)</f>
        <v>2102.16</v>
      </c>
      <c r="I450" s="147">
        <f t="shared" si="136"/>
        <v>2102.16</v>
      </c>
      <c r="J450" s="148"/>
      <c r="K450" s="148"/>
      <c r="L450" s="148"/>
      <c r="M450" s="148">
        <v>1846.72</v>
      </c>
      <c r="N450" s="148">
        <v>2341.83</v>
      </c>
      <c r="O450" s="148">
        <v>2341.83</v>
      </c>
      <c r="P450" s="494"/>
      <c r="Q450" s="147">
        <f t="shared" si="137"/>
        <v>0</v>
      </c>
      <c r="R450" s="148"/>
      <c r="S450" s="148">
        <f t="shared" ref="S450:S512" si="138">ROUND(R450*N450,2)</f>
        <v>0</v>
      </c>
      <c r="T450" s="148">
        <f t="shared" si="128"/>
        <v>1</v>
      </c>
      <c r="U450" s="148">
        <f t="shared" si="127"/>
        <v>2341.83</v>
      </c>
      <c r="V450" s="379"/>
      <c r="W450" s="379"/>
      <c r="X450" s="57">
        <f>'COMPOSIÇÃO DE CUSTOS'!G2470</f>
        <v>1657.73</v>
      </c>
      <c r="Y450" s="334">
        <v>1950.26</v>
      </c>
      <c r="Z450" s="58">
        <f t="shared" si="130"/>
        <v>-292.53899999999999</v>
      </c>
      <c r="AA450" s="58">
        <f t="shared" si="131"/>
        <v>1657.721</v>
      </c>
      <c r="AB450" s="58"/>
      <c r="AC450" s="58">
        <f t="shared" si="132"/>
        <v>2102.16</v>
      </c>
      <c r="AD450" s="58" t="e">
        <f>IF(B450&lt;&gt;0,VLOOKUP(B450,#REF!,2,FALSE),"")</f>
        <v>#REF!</v>
      </c>
      <c r="AE450" s="55">
        <v>2</v>
      </c>
      <c r="AF450" s="55">
        <f t="shared" si="123"/>
        <v>1</v>
      </c>
    </row>
    <row r="451" spans="1:32" s="55" customFormat="1" ht="30">
      <c r="A451" s="21" t="s">
        <v>1022</v>
      </c>
      <c r="B451" s="20">
        <v>11419</v>
      </c>
      <c r="C451" s="19" t="s">
        <v>220</v>
      </c>
      <c r="D451" s="21" t="s">
        <v>44</v>
      </c>
      <c r="E451" s="21" t="s">
        <v>17</v>
      </c>
      <c r="F451" s="22">
        <v>2</v>
      </c>
      <c r="G451" s="22">
        <f t="shared" si="129"/>
        <v>17.977499999999999</v>
      </c>
      <c r="H451" s="22">
        <f>ROUND(G451*(1+$X$13),2)</f>
        <v>22.8</v>
      </c>
      <c r="I451" s="147">
        <f t="shared" si="136"/>
        <v>45.6</v>
      </c>
      <c r="J451" s="148"/>
      <c r="K451" s="148"/>
      <c r="L451" s="148"/>
      <c r="M451" s="148">
        <v>20.03</v>
      </c>
      <c r="N451" s="148">
        <v>25.4</v>
      </c>
      <c r="O451" s="148">
        <v>50.8</v>
      </c>
      <c r="P451" s="494"/>
      <c r="Q451" s="147">
        <f t="shared" si="137"/>
        <v>0</v>
      </c>
      <c r="R451" s="148"/>
      <c r="S451" s="148">
        <f t="shared" si="138"/>
        <v>0</v>
      </c>
      <c r="T451" s="148">
        <f t="shared" si="128"/>
        <v>2</v>
      </c>
      <c r="U451" s="148">
        <f t="shared" si="127"/>
        <v>50.8</v>
      </c>
      <c r="V451" s="379"/>
      <c r="W451" s="379"/>
      <c r="X451" s="57">
        <f>'COMPOSIÇÃO DE CUSTOS'!G1933</f>
        <v>21.15</v>
      </c>
      <c r="Y451" s="334">
        <v>21.15</v>
      </c>
      <c r="Z451" s="58">
        <f t="shared" si="130"/>
        <v>-3.1724999999999994</v>
      </c>
      <c r="AA451" s="58">
        <f t="shared" si="131"/>
        <v>35.954999999999998</v>
      </c>
      <c r="AB451" s="58"/>
      <c r="AC451" s="58">
        <f t="shared" si="132"/>
        <v>45.6</v>
      </c>
      <c r="AD451" s="58" t="e">
        <f>IF(B451&lt;&gt;0,VLOOKUP(B451,#REF!,2,FALSE),"")</f>
        <v>#REF!</v>
      </c>
      <c r="AE451" s="55">
        <v>2</v>
      </c>
      <c r="AF451" s="55">
        <f t="shared" si="123"/>
        <v>0</v>
      </c>
    </row>
    <row r="452" spans="1:32" s="55" customFormat="1" ht="30">
      <c r="A452" s="235" t="s">
        <v>2757</v>
      </c>
      <c r="B452" s="20" t="s">
        <v>2568</v>
      </c>
      <c r="C452" s="19" t="s">
        <v>2667</v>
      </c>
      <c r="D452" s="21" t="s">
        <v>1914</v>
      </c>
      <c r="E452" s="21" t="s">
        <v>17</v>
      </c>
      <c r="F452" s="22">
        <v>2</v>
      </c>
      <c r="G452" s="22">
        <f t="shared" si="129"/>
        <v>39969.550000000003</v>
      </c>
      <c r="H452" s="22">
        <f t="shared" ref="H452:H459" si="139">ROUND(G452*(1+$X$14),2)</f>
        <v>47435.86</v>
      </c>
      <c r="I452" s="147">
        <f t="shared" si="136"/>
        <v>94871.72</v>
      </c>
      <c r="J452" s="148"/>
      <c r="K452" s="148"/>
      <c r="L452" s="148"/>
      <c r="M452" s="148">
        <v>38678.550000000003</v>
      </c>
      <c r="N452" s="148">
        <v>45903.7</v>
      </c>
      <c r="O452" s="148">
        <v>91807.4</v>
      </c>
      <c r="P452" s="494"/>
      <c r="Q452" s="147">
        <f t="shared" si="137"/>
        <v>0</v>
      </c>
      <c r="R452" s="148"/>
      <c r="S452" s="148">
        <f t="shared" si="138"/>
        <v>0</v>
      </c>
      <c r="T452" s="148">
        <f t="shared" si="128"/>
        <v>2</v>
      </c>
      <c r="U452" s="148">
        <f t="shared" si="127"/>
        <v>91807.4</v>
      </c>
      <c r="V452" s="379"/>
      <c r="W452" s="379"/>
      <c r="X452" s="57">
        <f>'COMPOSIÇÃO DE CUSTOS'!G2284</f>
        <v>39969.550000000003</v>
      </c>
      <c r="Y452" s="334">
        <v>47023</v>
      </c>
      <c r="Z452" s="58">
        <f t="shared" si="130"/>
        <v>-7053.4499999999971</v>
      </c>
      <c r="AA452" s="58">
        <f t="shared" si="131"/>
        <v>79939.100000000006</v>
      </c>
      <c r="AB452" s="58"/>
      <c r="AC452" s="58">
        <f t="shared" si="132"/>
        <v>94871.72</v>
      </c>
      <c r="AD452" s="58" t="e">
        <f>IF(B452&lt;&gt;0,VLOOKUP(B452,#REF!,2,FALSE),"")</f>
        <v>#REF!</v>
      </c>
      <c r="AE452" s="55">
        <v>2</v>
      </c>
      <c r="AF452" s="55">
        <f t="shared" si="123"/>
        <v>0</v>
      </c>
    </row>
    <row r="453" spans="1:32" s="55" customFormat="1" ht="30">
      <c r="A453" s="21" t="s">
        <v>2548</v>
      </c>
      <c r="B453" s="20" t="s">
        <v>2569</v>
      </c>
      <c r="C453" s="19" t="s">
        <v>2575</v>
      </c>
      <c r="D453" s="21" t="s">
        <v>1914</v>
      </c>
      <c r="E453" s="21" t="s">
        <v>17</v>
      </c>
      <c r="F453" s="22">
        <v>2</v>
      </c>
      <c r="G453" s="22">
        <f t="shared" si="129"/>
        <v>28041.5</v>
      </c>
      <c r="H453" s="22">
        <f t="shared" si="139"/>
        <v>33279.65</v>
      </c>
      <c r="I453" s="147">
        <f t="shared" si="136"/>
        <v>66559.3</v>
      </c>
      <c r="J453" s="148"/>
      <c r="K453" s="148"/>
      <c r="L453" s="148"/>
      <c r="M453" s="148">
        <v>42843.05</v>
      </c>
      <c r="N453" s="148">
        <v>50846.13</v>
      </c>
      <c r="O453" s="148">
        <v>101692.26</v>
      </c>
      <c r="P453" s="494"/>
      <c r="Q453" s="147">
        <f t="shared" si="137"/>
        <v>0</v>
      </c>
      <c r="R453" s="148"/>
      <c r="S453" s="148">
        <f t="shared" si="138"/>
        <v>0</v>
      </c>
      <c r="T453" s="148">
        <f t="shared" si="128"/>
        <v>2</v>
      </c>
      <c r="U453" s="148">
        <f t="shared" si="127"/>
        <v>101692.26</v>
      </c>
      <c r="V453" s="379"/>
      <c r="W453" s="379"/>
      <c r="X453" s="57">
        <f>'COMPOSIÇÃO DE CUSTOS'!G2289</f>
        <v>28041.5</v>
      </c>
      <c r="Y453" s="334">
        <v>32990</v>
      </c>
      <c r="Z453" s="58">
        <f t="shared" si="130"/>
        <v>-4948.5</v>
      </c>
      <c r="AA453" s="58">
        <f t="shared" si="131"/>
        <v>56083</v>
      </c>
      <c r="AB453" s="58"/>
      <c r="AC453" s="58">
        <f t="shared" si="132"/>
        <v>66559.3</v>
      </c>
      <c r="AD453" s="58" t="e">
        <f>IF(B453&lt;&gt;0,VLOOKUP(B453,#REF!,2,FALSE),"")</f>
        <v>#REF!</v>
      </c>
      <c r="AE453" s="55">
        <v>2</v>
      </c>
      <c r="AF453" s="55">
        <f t="shared" si="123"/>
        <v>0</v>
      </c>
    </row>
    <row r="454" spans="1:32" s="55" customFormat="1" ht="30">
      <c r="A454" s="21" t="s">
        <v>2549</v>
      </c>
      <c r="B454" s="20" t="s">
        <v>2570</v>
      </c>
      <c r="C454" s="19" t="s">
        <v>2576</v>
      </c>
      <c r="D454" s="21" t="s">
        <v>1914</v>
      </c>
      <c r="E454" s="21" t="s">
        <v>17</v>
      </c>
      <c r="F454" s="22">
        <v>2</v>
      </c>
      <c r="G454" s="22">
        <f t="shared" si="129"/>
        <v>21038.35</v>
      </c>
      <c r="H454" s="22">
        <f t="shared" si="139"/>
        <v>24968.31</v>
      </c>
      <c r="I454" s="147">
        <f t="shared" si="136"/>
        <v>49936.62</v>
      </c>
      <c r="J454" s="148"/>
      <c r="K454" s="148"/>
      <c r="L454" s="148"/>
      <c r="M454" s="148">
        <v>35500.980000000003</v>
      </c>
      <c r="N454" s="148">
        <v>42132.56</v>
      </c>
      <c r="O454" s="148">
        <v>84265.12</v>
      </c>
      <c r="P454" s="494"/>
      <c r="Q454" s="147">
        <f t="shared" si="137"/>
        <v>0</v>
      </c>
      <c r="R454" s="148"/>
      <c r="S454" s="148">
        <f t="shared" si="138"/>
        <v>0</v>
      </c>
      <c r="T454" s="148">
        <f t="shared" si="128"/>
        <v>2</v>
      </c>
      <c r="U454" s="148">
        <f t="shared" si="127"/>
        <v>84265.12</v>
      </c>
      <c r="V454" s="379"/>
      <c r="W454" s="379"/>
      <c r="X454" s="57">
        <f>'COMPOSIÇÃO DE CUSTOS'!G2294</f>
        <v>21038.35</v>
      </c>
      <c r="Y454" s="334">
        <v>24751</v>
      </c>
      <c r="Z454" s="58">
        <f t="shared" si="130"/>
        <v>-3712.6500000000015</v>
      </c>
      <c r="AA454" s="58">
        <f t="shared" si="131"/>
        <v>42076.7</v>
      </c>
      <c r="AB454" s="58"/>
      <c r="AC454" s="58">
        <f t="shared" si="132"/>
        <v>49936.62</v>
      </c>
      <c r="AD454" s="58" t="e">
        <f>IF(B454&lt;&gt;0,VLOOKUP(B454,#REF!,2,FALSE),"")</f>
        <v>#REF!</v>
      </c>
      <c r="AE454" s="55">
        <v>6</v>
      </c>
      <c r="AF454" s="55">
        <f t="shared" si="123"/>
        <v>4</v>
      </c>
    </row>
    <row r="455" spans="1:32" s="55" customFormat="1" ht="30">
      <c r="A455" s="21" t="s">
        <v>2550</v>
      </c>
      <c r="B455" s="20" t="s">
        <v>2574</v>
      </c>
      <c r="C455" s="19" t="s">
        <v>3009</v>
      </c>
      <c r="D455" s="21" t="s">
        <v>1914</v>
      </c>
      <c r="E455" s="21" t="s">
        <v>17</v>
      </c>
      <c r="F455" s="22">
        <v>10</v>
      </c>
      <c r="G455" s="22">
        <f t="shared" si="129"/>
        <v>1491.75</v>
      </c>
      <c r="H455" s="22">
        <f t="shared" si="139"/>
        <v>1770.41</v>
      </c>
      <c r="I455" s="147">
        <f t="shared" si="136"/>
        <v>17704.099999999999</v>
      </c>
      <c r="J455" s="148"/>
      <c r="K455" s="148"/>
      <c r="L455" s="148"/>
      <c r="M455" s="148">
        <v>1993</v>
      </c>
      <c r="N455" s="148">
        <v>2365.29</v>
      </c>
      <c r="O455" s="148">
        <v>23652.9</v>
      </c>
      <c r="P455" s="494"/>
      <c r="Q455" s="147">
        <f t="shared" si="137"/>
        <v>0</v>
      </c>
      <c r="R455" s="148"/>
      <c r="S455" s="148">
        <f t="shared" si="138"/>
        <v>0</v>
      </c>
      <c r="T455" s="148">
        <f t="shared" si="128"/>
        <v>10</v>
      </c>
      <c r="U455" s="148">
        <f t="shared" si="127"/>
        <v>23652.9</v>
      </c>
      <c r="V455" s="379"/>
      <c r="W455" s="379"/>
      <c r="X455" s="57">
        <f>'COMPOSIÇÃO DE CUSTOS'!G2299</f>
        <v>1491.75</v>
      </c>
      <c r="Y455" s="334">
        <v>1755</v>
      </c>
      <c r="Z455" s="58">
        <f t="shared" si="130"/>
        <v>-263.25</v>
      </c>
      <c r="AA455" s="58">
        <f t="shared" si="131"/>
        <v>14917.5</v>
      </c>
      <c r="AB455" s="58"/>
      <c r="AC455" s="58">
        <f t="shared" si="132"/>
        <v>17704.100000000002</v>
      </c>
      <c r="AD455" s="58" t="e">
        <f>IF(B455&lt;&gt;0,VLOOKUP(B455,#REF!,2,FALSE),"")</f>
        <v>#REF!</v>
      </c>
      <c r="AE455" s="55">
        <v>4</v>
      </c>
      <c r="AF455" s="55">
        <f t="shared" si="123"/>
        <v>-6</v>
      </c>
    </row>
    <row r="456" spans="1:32" s="55" customFormat="1" ht="60">
      <c r="A456" s="21" t="s">
        <v>2551</v>
      </c>
      <c r="B456" s="138">
        <v>12955</v>
      </c>
      <c r="C456" s="139" t="s">
        <v>3017</v>
      </c>
      <c r="D456" s="21" t="s">
        <v>44</v>
      </c>
      <c r="E456" s="21" t="s">
        <v>17</v>
      </c>
      <c r="F456" s="22">
        <v>7</v>
      </c>
      <c r="G456" s="22">
        <f t="shared" si="129"/>
        <v>5100</v>
      </c>
      <c r="H456" s="22">
        <f t="shared" si="139"/>
        <v>6052.68</v>
      </c>
      <c r="I456" s="147">
        <f t="shared" si="136"/>
        <v>42368.76</v>
      </c>
      <c r="J456" s="148"/>
      <c r="K456" s="148"/>
      <c r="L456" s="148"/>
      <c r="M456" s="148">
        <v>4434.3900000000003</v>
      </c>
      <c r="N456" s="148">
        <v>5262.73</v>
      </c>
      <c r="O456" s="148">
        <v>36839.11</v>
      </c>
      <c r="P456" s="494"/>
      <c r="Q456" s="147">
        <f t="shared" si="137"/>
        <v>0</v>
      </c>
      <c r="R456" s="148"/>
      <c r="S456" s="148">
        <f t="shared" si="138"/>
        <v>0</v>
      </c>
      <c r="T456" s="148">
        <f t="shared" si="128"/>
        <v>7</v>
      </c>
      <c r="U456" s="148">
        <f t="shared" si="127"/>
        <v>36839.11</v>
      </c>
      <c r="V456" s="379"/>
      <c r="W456" s="379"/>
      <c r="X456" s="57">
        <f>'COMPOSIÇÃO DE CUSTOS'!G1805</f>
        <v>5100</v>
      </c>
      <c r="Y456" s="334">
        <v>6000</v>
      </c>
      <c r="Z456" s="58">
        <f t="shared" si="130"/>
        <v>-900</v>
      </c>
      <c r="AA456" s="58">
        <f t="shared" si="131"/>
        <v>35700</v>
      </c>
      <c r="AB456" s="58"/>
      <c r="AC456" s="58">
        <f t="shared" si="132"/>
        <v>42368.76</v>
      </c>
      <c r="AD456" s="58"/>
    </row>
    <row r="457" spans="1:32" s="55" customFormat="1">
      <c r="A457" s="21" t="s">
        <v>2552</v>
      </c>
      <c r="B457" s="20">
        <v>39606</v>
      </c>
      <c r="C457" s="19" t="s">
        <v>1874</v>
      </c>
      <c r="D457" s="21" t="s">
        <v>12</v>
      </c>
      <c r="E457" s="21" t="s">
        <v>17</v>
      </c>
      <c r="F457" s="22">
        <v>194</v>
      </c>
      <c r="G457" s="22">
        <f t="shared" si="129"/>
        <v>15.572000000000001</v>
      </c>
      <c r="H457" s="22">
        <f t="shared" si="139"/>
        <v>18.48</v>
      </c>
      <c r="I457" s="147">
        <f>ROUND(H457*F457,2)</f>
        <v>3585.12</v>
      </c>
      <c r="J457" s="148"/>
      <c r="K457" s="148"/>
      <c r="L457" s="148"/>
      <c r="M457" s="148">
        <v>17.350000000000001</v>
      </c>
      <c r="N457" s="148">
        <v>20.59</v>
      </c>
      <c r="O457" s="148">
        <v>3994.46</v>
      </c>
      <c r="P457" s="494"/>
      <c r="Q457" s="147">
        <f t="shared" si="137"/>
        <v>0</v>
      </c>
      <c r="R457" s="148"/>
      <c r="S457" s="148">
        <f t="shared" si="138"/>
        <v>0</v>
      </c>
      <c r="T457" s="148">
        <f t="shared" si="128"/>
        <v>194</v>
      </c>
      <c r="U457" s="148">
        <f t="shared" si="127"/>
        <v>3994.46</v>
      </c>
      <c r="V457" s="379"/>
      <c r="W457" s="379"/>
      <c r="X457" s="58" t="e">
        <f>IF(B457&lt;&gt;0,VLOOKUP(B457,#REF!,4,FALSE),"")</f>
        <v>#REF!</v>
      </c>
      <c r="Y457" s="334" t="s">
        <v>3038</v>
      </c>
      <c r="Z457" s="58">
        <f t="shared" si="130"/>
        <v>-2.7479999999999993</v>
      </c>
      <c r="AA457" s="58">
        <f t="shared" si="131"/>
        <v>3020.9680000000003</v>
      </c>
      <c r="AB457" s="58"/>
      <c r="AC457" s="58">
        <f t="shared" si="132"/>
        <v>3585.12</v>
      </c>
      <c r="AD457" s="58" t="e">
        <f>IF(B457&lt;&gt;0,VLOOKUP(B457,#REF!,2,FALSE),"")</f>
        <v>#REF!</v>
      </c>
    </row>
    <row r="458" spans="1:32" s="55" customFormat="1">
      <c r="A458" s="21" t="s">
        <v>2553</v>
      </c>
      <c r="B458" s="20">
        <v>39607</v>
      </c>
      <c r="C458" s="19" t="s">
        <v>1876</v>
      </c>
      <c r="D458" s="21" t="s">
        <v>12</v>
      </c>
      <c r="E458" s="21" t="s">
        <v>17</v>
      </c>
      <c r="F458" s="22">
        <v>194</v>
      </c>
      <c r="G458" s="22">
        <f t="shared" si="129"/>
        <v>17.858500000000003</v>
      </c>
      <c r="H458" s="22">
        <f t="shared" si="139"/>
        <v>21.19</v>
      </c>
      <c r="I458" s="147">
        <f>ROUND(H458*F458,2)</f>
        <v>4110.8599999999997</v>
      </c>
      <c r="J458" s="148"/>
      <c r="K458" s="148"/>
      <c r="L458" s="148"/>
      <c r="M458" s="148">
        <v>19.89</v>
      </c>
      <c r="N458" s="148">
        <v>23.61</v>
      </c>
      <c r="O458" s="148">
        <v>4580.34</v>
      </c>
      <c r="P458" s="494"/>
      <c r="Q458" s="147">
        <f t="shared" si="137"/>
        <v>0</v>
      </c>
      <c r="R458" s="148"/>
      <c r="S458" s="148">
        <f t="shared" si="138"/>
        <v>0</v>
      </c>
      <c r="T458" s="148">
        <f t="shared" si="128"/>
        <v>194</v>
      </c>
      <c r="U458" s="148">
        <f t="shared" si="127"/>
        <v>4580.34</v>
      </c>
      <c r="V458" s="379"/>
      <c r="W458" s="379"/>
      <c r="X458" s="58" t="e">
        <f>IF(B458&lt;&gt;0,VLOOKUP(B458,#REF!,4,FALSE),"")</f>
        <v>#REF!</v>
      </c>
      <c r="Y458" s="334" t="s">
        <v>3040</v>
      </c>
      <c r="Z458" s="58">
        <f t="shared" si="130"/>
        <v>-3.1514999999999986</v>
      </c>
      <c r="AA458" s="58">
        <f t="shared" si="131"/>
        <v>3464.5490000000004</v>
      </c>
      <c r="AB458" s="58"/>
      <c r="AC458" s="58">
        <f t="shared" si="132"/>
        <v>4110.8600000000006</v>
      </c>
      <c r="AD458" s="58" t="e">
        <f>IF(B458&lt;&gt;0,VLOOKUP(B458,#REF!,2,FALSE),"")</f>
        <v>#REF!</v>
      </c>
    </row>
    <row r="459" spans="1:32" s="55" customFormat="1" ht="45">
      <c r="A459" s="235" t="s">
        <v>3552</v>
      </c>
      <c r="B459" s="20">
        <v>39611</v>
      </c>
      <c r="C459" s="439" t="s">
        <v>3743</v>
      </c>
      <c r="D459" s="21" t="s">
        <v>12</v>
      </c>
      <c r="E459" s="21" t="s">
        <v>17</v>
      </c>
      <c r="F459" s="22">
        <v>2</v>
      </c>
      <c r="G459" s="22">
        <f t="shared" si="129"/>
        <v>91406.551999999996</v>
      </c>
      <c r="H459" s="22">
        <f t="shared" si="139"/>
        <v>108481.3</v>
      </c>
      <c r="I459" s="147">
        <f>ROUND(H459*F459,2)</f>
        <v>216962.6</v>
      </c>
      <c r="J459" s="148"/>
      <c r="K459" s="148"/>
      <c r="L459" s="148"/>
      <c r="M459" s="148">
        <v>70060</v>
      </c>
      <c r="N459" s="148">
        <v>83147.210000000006</v>
      </c>
      <c r="O459" s="148">
        <v>166294.42000000001</v>
      </c>
      <c r="P459" s="494"/>
      <c r="Q459" s="147">
        <f t="shared" si="137"/>
        <v>0</v>
      </c>
      <c r="R459" s="148"/>
      <c r="S459" s="148">
        <f t="shared" si="138"/>
        <v>0</v>
      </c>
      <c r="T459" s="148">
        <f t="shared" si="128"/>
        <v>2</v>
      </c>
      <c r="U459" s="148">
        <f t="shared" si="127"/>
        <v>166294.42000000001</v>
      </c>
      <c r="V459" s="379"/>
      <c r="W459" s="379"/>
      <c r="X459" s="58" t="e">
        <f>IF(B459&lt;&gt;0,VLOOKUP(B459,#REF!,4,FALSE),"")</f>
        <v>#REF!</v>
      </c>
      <c r="Y459" s="334" t="s">
        <v>3316</v>
      </c>
      <c r="Z459" s="58">
        <f t="shared" si="130"/>
        <v>-16130.567999999999</v>
      </c>
      <c r="AA459" s="58">
        <f t="shared" si="131"/>
        <v>182813.10399999999</v>
      </c>
      <c r="AB459" s="358">
        <f>SUM(G452:G459)</f>
        <v>187081.13250000001</v>
      </c>
      <c r="AC459" s="58">
        <f t="shared" si="132"/>
        <v>216962.6</v>
      </c>
      <c r="AD459" s="58" t="e">
        <f>IF(B459&lt;&gt;0,VLOOKUP(B459,#REF!,2,FALSE),"")</f>
        <v>#REF!</v>
      </c>
    </row>
    <row r="460" spans="1:32" s="55" customFormat="1" ht="30">
      <c r="A460" s="21" t="s">
        <v>2554</v>
      </c>
      <c r="B460" s="20">
        <v>98304</v>
      </c>
      <c r="C460" s="19" t="s">
        <v>2505</v>
      </c>
      <c r="D460" s="21" t="s">
        <v>12</v>
      </c>
      <c r="E460" s="21" t="s">
        <v>17</v>
      </c>
      <c r="F460" s="22">
        <v>4</v>
      </c>
      <c r="G460" s="22">
        <f t="shared" si="129"/>
        <v>732.14750000000004</v>
      </c>
      <c r="H460" s="22">
        <f t="shared" ref="H460:H468" si="140">ROUND(G460*(1+$X$13),2)</f>
        <v>928.44</v>
      </c>
      <c r="I460" s="147">
        <f t="shared" si="136"/>
        <v>3713.76</v>
      </c>
      <c r="J460" s="148"/>
      <c r="K460" s="148"/>
      <c r="L460" s="148"/>
      <c r="M460" s="148">
        <v>815.62</v>
      </c>
      <c r="N460" s="148">
        <v>1034.29</v>
      </c>
      <c r="O460" s="148">
        <v>4137.16</v>
      </c>
      <c r="P460" s="494"/>
      <c r="Q460" s="147">
        <f t="shared" si="137"/>
        <v>0</v>
      </c>
      <c r="R460" s="148"/>
      <c r="S460" s="148">
        <f t="shared" si="138"/>
        <v>0</v>
      </c>
      <c r="T460" s="148">
        <f t="shared" si="128"/>
        <v>4</v>
      </c>
      <c r="U460" s="148">
        <f t="shared" si="127"/>
        <v>4137.16</v>
      </c>
      <c r="V460" s="379"/>
      <c r="W460" s="379"/>
      <c r="X460" s="58" t="e">
        <f>IF(B460&lt;&gt;0,VLOOKUP(B460,#REF!,4,FALSE),"")</f>
        <v>#REF!</v>
      </c>
      <c r="Y460" s="334" t="s">
        <v>3166</v>
      </c>
      <c r="Z460" s="58">
        <f t="shared" si="130"/>
        <v>-129.20249999999999</v>
      </c>
      <c r="AA460" s="58">
        <f t="shared" si="131"/>
        <v>2928.59</v>
      </c>
      <c r="AB460" s="58"/>
      <c r="AC460" s="58">
        <f t="shared" si="132"/>
        <v>3713.76</v>
      </c>
      <c r="AD460" s="58" t="e">
        <f>IF(B460&lt;&gt;0,VLOOKUP(B460,#REF!,2,FALSE),"")</f>
        <v>#REF!</v>
      </c>
      <c r="AE460" s="55">
        <v>2</v>
      </c>
      <c r="AF460" s="55">
        <f t="shared" ref="AF460:AF465" si="141">AE460-F460</f>
        <v>-2</v>
      </c>
    </row>
    <row r="461" spans="1:32" s="55" customFormat="1" ht="30">
      <c r="A461" s="21" t="s">
        <v>2555</v>
      </c>
      <c r="B461" s="20">
        <v>10727</v>
      </c>
      <c r="C461" s="19" t="s">
        <v>2501</v>
      </c>
      <c r="D461" s="21" t="s">
        <v>44</v>
      </c>
      <c r="E461" s="21" t="s">
        <v>17</v>
      </c>
      <c r="F461" s="22">
        <v>2</v>
      </c>
      <c r="G461" s="22">
        <f t="shared" si="129"/>
        <v>354.99399999999997</v>
      </c>
      <c r="H461" s="22">
        <f t="shared" si="140"/>
        <v>450.17</v>
      </c>
      <c r="I461" s="147">
        <f t="shared" si="136"/>
        <v>900.34</v>
      </c>
      <c r="J461" s="148"/>
      <c r="K461" s="148"/>
      <c r="L461" s="148"/>
      <c r="M461" s="148">
        <v>395.47</v>
      </c>
      <c r="N461" s="148">
        <v>501.5</v>
      </c>
      <c r="O461" s="148">
        <v>1003</v>
      </c>
      <c r="P461" s="494"/>
      <c r="Q461" s="147">
        <f t="shared" si="137"/>
        <v>0</v>
      </c>
      <c r="R461" s="148"/>
      <c r="S461" s="148">
        <f t="shared" si="138"/>
        <v>0</v>
      </c>
      <c r="T461" s="148">
        <f t="shared" si="128"/>
        <v>2</v>
      </c>
      <c r="U461" s="148">
        <f t="shared" si="127"/>
        <v>1003</v>
      </c>
      <c r="V461" s="379"/>
      <c r="W461" s="379"/>
      <c r="X461" s="57">
        <f>'COMPOSIÇÃO DE CUSTOS'!G2010</f>
        <v>355</v>
      </c>
      <c r="Y461" s="334">
        <v>417.64</v>
      </c>
      <c r="Z461" s="58">
        <f t="shared" si="130"/>
        <v>-62.646000000000015</v>
      </c>
      <c r="AA461" s="58">
        <f t="shared" si="131"/>
        <v>709.98799999999994</v>
      </c>
      <c r="AB461" s="58"/>
      <c r="AC461" s="58">
        <f t="shared" si="132"/>
        <v>900.34</v>
      </c>
      <c r="AD461" s="58" t="e">
        <f>IF(B461&lt;&gt;0,VLOOKUP(B461,#REF!,2,FALSE),"")</f>
        <v>#REF!</v>
      </c>
      <c r="AE461" s="55">
        <v>16</v>
      </c>
      <c r="AF461" s="55">
        <f t="shared" si="141"/>
        <v>14</v>
      </c>
    </row>
    <row r="462" spans="1:32" s="55" customFormat="1" ht="39" customHeight="1">
      <c r="A462" s="21" t="s">
        <v>2556</v>
      </c>
      <c r="B462" s="20">
        <v>8362</v>
      </c>
      <c r="C462" s="19" t="s">
        <v>222</v>
      </c>
      <c r="D462" s="21" t="s">
        <v>44</v>
      </c>
      <c r="E462" s="21" t="s">
        <v>17</v>
      </c>
      <c r="F462" s="22">
        <v>16</v>
      </c>
      <c r="G462" s="22">
        <f t="shared" si="129"/>
        <v>16.3965</v>
      </c>
      <c r="H462" s="22">
        <f t="shared" si="140"/>
        <v>20.79</v>
      </c>
      <c r="I462" s="147">
        <f t="shared" si="136"/>
        <v>332.64</v>
      </c>
      <c r="J462" s="148"/>
      <c r="K462" s="148"/>
      <c r="L462" s="148"/>
      <c r="M462" s="148">
        <v>18.27</v>
      </c>
      <c r="N462" s="148">
        <v>23.17</v>
      </c>
      <c r="O462" s="148">
        <v>370.72</v>
      </c>
      <c r="P462" s="494"/>
      <c r="Q462" s="147">
        <f t="shared" si="137"/>
        <v>0</v>
      </c>
      <c r="R462" s="148"/>
      <c r="S462" s="148">
        <f t="shared" si="138"/>
        <v>0</v>
      </c>
      <c r="T462" s="148">
        <f t="shared" si="128"/>
        <v>16</v>
      </c>
      <c r="U462" s="148">
        <f t="shared" si="127"/>
        <v>370.72</v>
      </c>
      <c r="V462" s="379"/>
      <c r="W462" s="379"/>
      <c r="X462" s="57">
        <f>'COMPOSIÇÃO DE CUSTOS'!G1997</f>
        <v>16.399999999999999</v>
      </c>
      <c r="Y462" s="334">
        <v>19.29</v>
      </c>
      <c r="Z462" s="58">
        <f t="shared" si="130"/>
        <v>-2.8934999999999995</v>
      </c>
      <c r="AA462" s="58">
        <f t="shared" si="131"/>
        <v>262.34399999999999</v>
      </c>
      <c r="AB462" s="58"/>
      <c r="AC462" s="58">
        <f t="shared" si="132"/>
        <v>332.64</v>
      </c>
      <c r="AD462" s="58" t="e">
        <f>IF(B462&lt;&gt;0,VLOOKUP(B462,#REF!,2,FALSE),"")</f>
        <v>#REF!</v>
      </c>
      <c r="AE462" s="55">
        <v>2</v>
      </c>
      <c r="AF462" s="55">
        <f t="shared" si="141"/>
        <v>-14</v>
      </c>
    </row>
    <row r="463" spans="1:32" s="55" customFormat="1" ht="30">
      <c r="A463" s="21" t="s">
        <v>2557</v>
      </c>
      <c r="B463" s="131" t="s">
        <v>2538</v>
      </c>
      <c r="C463" s="19" t="s">
        <v>2539</v>
      </c>
      <c r="D463" s="21" t="s">
        <v>1914</v>
      </c>
      <c r="E463" s="21" t="s">
        <v>17</v>
      </c>
      <c r="F463" s="22">
        <v>2</v>
      </c>
      <c r="G463" s="22">
        <f t="shared" si="129"/>
        <v>1953.9204999999999</v>
      </c>
      <c r="H463" s="22">
        <f t="shared" si="140"/>
        <v>2477.77</v>
      </c>
      <c r="I463" s="147">
        <f t="shared" si="136"/>
        <v>4955.54</v>
      </c>
      <c r="J463" s="148"/>
      <c r="K463" s="148"/>
      <c r="L463" s="148"/>
      <c r="M463" s="148">
        <v>2176.6799999999998</v>
      </c>
      <c r="N463" s="148">
        <v>2760.25</v>
      </c>
      <c r="O463" s="148">
        <v>5520.5</v>
      </c>
      <c r="P463" s="494"/>
      <c r="Q463" s="147">
        <f t="shared" si="137"/>
        <v>0</v>
      </c>
      <c r="R463" s="148"/>
      <c r="S463" s="148">
        <f t="shared" si="138"/>
        <v>0</v>
      </c>
      <c r="T463" s="148">
        <f t="shared" si="128"/>
        <v>2</v>
      </c>
      <c r="U463" s="148">
        <f t="shared" si="127"/>
        <v>5520.5</v>
      </c>
      <c r="V463" s="379"/>
      <c r="W463" s="379"/>
      <c r="X463" s="57">
        <f>'COMPOSIÇÃO DE CUSTOS'!G2265</f>
        <v>1953.92</v>
      </c>
      <c r="Y463" s="334">
        <v>2298.73</v>
      </c>
      <c r="Z463" s="58">
        <f t="shared" si="130"/>
        <v>-344.80950000000007</v>
      </c>
      <c r="AA463" s="58">
        <f t="shared" si="131"/>
        <v>3907.8409999999999</v>
      </c>
      <c r="AB463" s="58"/>
      <c r="AC463" s="58">
        <f t="shared" si="132"/>
        <v>4955.54</v>
      </c>
      <c r="AD463" s="58" t="e">
        <f>IF(B463&lt;&gt;0,VLOOKUP(B463,#REF!,2,FALSE),"")</f>
        <v>#REF!</v>
      </c>
      <c r="AE463" s="55">
        <v>194</v>
      </c>
      <c r="AF463" s="55">
        <f t="shared" si="141"/>
        <v>192</v>
      </c>
    </row>
    <row r="464" spans="1:32" s="55" customFormat="1" ht="60">
      <c r="A464" s="21" t="s">
        <v>2758</v>
      </c>
      <c r="B464" s="136">
        <v>100563</v>
      </c>
      <c r="C464" s="137" t="s">
        <v>1905</v>
      </c>
      <c r="D464" s="21" t="s">
        <v>12</v>
      </c>
      <c r="E464" s="21" t="s">
        <v>17</v>
      </c>
      <c r="F464" s="22">
        <v>1</v>
      </c>
      <c r="G464" s="22">
        <f t="shared" si="129"/>
        <v>331.80600000000004</v>
      </c>
      <c r="H464" s="22">
        <f t="shared" si="140"/>
        <v>420.76</v>
      </c>
      <c r="I464" s="147">
        <f t="shared" si="136"/>
        <v>420.76</v>
      </c>
      <c r="J464" s="148"/>
      <c r="K464" s="148"/>
      <c r="L464" s="148"/>
      <c r="M464" s="148">
        <v>369.63</v>
      </c>
      <c r="N464" s="148">
        <v>468.73</v>
      </c>
      <c r="O464" s="148">
        <v>468.73</v>
      </c>
      <c r="P464" s="494"/>
      <c r="Q464" s="147">
        <f t="shared" si="137"/>
        <v>0</v>
      </c>
      <c r="R464" s="148"/>
      <c r="S464" s="148">
        <f t="shared" si="138"/>
        <v>0</v>
      </c>
      <c r="T464" s="148">
        <f t="shared" si="128"/>
        <v>1</v>
      </c>
      <c r="U464" s="148">
        <f t="shared" si="127"/>
        <v>468.73</v>
      </c>
      <c r="V464" s="379"/>
      <c r="W464" s="379"/>
      <c r="X464" s="58" t="e">
        <f>IF(B464&lt;&gt;0,VLOOKUP(B464,#REF!,4,FALSE),"")</f>
        <v>#REF!</v>
      </c>
      <c r="Y464" s="334" t="s">
        <v>3265</v>
      </c>
      <c r="Z464" s="58">
        <f t="shared" si="130"/>
        <v>-58.553999999999974</v>
      </c>
      <c r="AA464" s="58">
        <f t="shared" si="131"/>
        <v>331.80600000000004</v>
      </c>
      <c r="AB464" s="58"/>
      <c r="AC464" s="58">
        <f t="shared" si="132"/>
        <v>420.76</v>
      </c>
      <c r="AD464" s="58" t="e">
        <f>IF(B464&lt;&gt;0,VLOOKUP(B464,#REF!,2,FALSE),"")</f>
        <v>#REF!</v>
      </c>
      <c r="AE464" s="55">
        <v>6</v>
      </c>
      <c r="AF464" s="55">
        <f t="shared" si="141"/>
        <v>5</v>
      </c>
    </row>
    <row r="465" spans="1:32" s="55" customFormat="1" ht="30">
      <c r="A465" s="21" t="s">
        <v>2759</v>
      </c>
      <c r="B465" s="138">
        <v>11420</v>
      </c>
      <c r="C465" s="139" t="s">
        <v>1971</v>
      </c>
      <c r="D465" s="142" t="s">
        <v>44</v>
      </c>
      <c r="E465" s="21" t="s">
        <v>17</v>
      </c>
      <c r="F465" s="22">
        <v>6</v>
      </c>
      <c r="G465" s="22">
        <f t="shared" si="129"/>
        <v>11.662000000000001</v>
      </c>
      <c r="H465" s="22">
        <f t="shared" si="140"/>
        <v>14.79</v>
      </c>
      <c r="I465" s="147">
        <f t="shared" si="136"/>
        <v>88.74</v>
      </c>
      <c r="J465" s="148"/>
      <c r="K465" s="148"/>
      <c r="L465" s="148"/>
      <c r="M465" s="148">
        <v>12.99</v>
      </c>
      <c r="N465" s="148">
        <v>16.47</v>
      </c>
      <c r="O465" s="148">
        <v>98.82</v>
      </c>
      <c r="P465" s="494"/>
      <c r="Q465" s="147">
        <f t="shared" si="137"/>
        <v>0</v>
      </c>
      <c r="R465" s="148"/>
      <c r="S465" s="148">
        <f t="shared" si="138"/>
        <v>0</v>
      </c>
      <c r="T465" s="148">
        <f t="shared" si="128"/>
        <v>6</v>
      </c>
      <c r="U465" s="148">
        <f t="shared" si="127"/>
        <v>98.82</v>
      </c>
      <c r="V465" s="379"/>
      <c r="W465" s="379"/>
      <c r="X465" s="57">
        <f>'COMPOSIÇÃO DE CUSTOS'!G2017</f>
        <v>11.66</v>
      </c>
      <c r="Y465" s="334">
        <v>13.72</v>
      </c>
      <c r="Z465" s="58">
        <f t="shared" si="130"/>
        <v>-2.0579999999999998</v>
      </c>
      <c r="AA465" s="58">
        <f t="shared" si="131"/>
        <v>69.972000000000008</v>
      </c>
      <c r="AB465" s="58"/>
      <c r="AC465" s="58">
        <f t="shared" si="132"/>
        <v>88.74</v>
      </c>
      <c r="AD465" s="58" t="e">
        <f>IF(B465&lt;&gt;0,VLOOKUP(B465,#REF!,2,FALSE),"")</f>
        <v>#REF!</v>
      </c>
      <c r="AE465" s="55">
        <v>2</v>
      </c>
      <c r="AF465" s="55">
        <f t="shared" si="141"/>
        <v>-4</v>
      </c>
    </row>
    <row r="466" spans="1:32" s="55" customFormat="1">
      <c r="A466" s="21" t="s">
        <v>3018</v>
      </c>
      <c r="B466" s="263">
        <v>11417</v>
      </c>
      <c r="C466" s="139" t="s">
        <v>3085</v>
      </c>
      <c r="D466" s="142" t="s">
        <v>44</v>
      </c>
      <c r="E466" s="21" t="s">
        <v>17</v>
      </c>
      <c r="F466" s="22">
        <v>2</v>
      </c>
      <c r="G466" s="22">
        <f t="shared" si="129"/>
        <v>133.21199999999999</v>
      </c>
      <c r="H466" s="22">
        <f t="shared" si="140"/>
        <v>168.93</v>
      </c>
      <c r="I466" s="147">
        <f>ROUND(H466*F466,2)</f>
        <v>337.86</v>
      </c>
      <c r="J466" s="148"/>
      <c r="K466" s="148"/>
      <c r="L466" s="148"/>
      <c r="M466" s="148">
        <v>148.4</v>
      </c>
      <c r="N466" s="148">
        <v>188.19</v>
      </c>
      <c r="O466" s="148">
        <v>376.38</v>
      </c>
      <c r="P466" s="494"/>
      <c r="Q466" s="147">
        <f t="shared" si="137"/>
        <v>0</v>
      </c>
      <c r="R466" s="148"/>
      <c r="S466" s="148">
        <f t="shared" si="138"/>
        <v>0</v>
      </c>
      <c r="T466" s="148">
        <f t="shared" si="128"/>
        <v>2</v>
      </c>
      <c r="U466" s="148">
        <f t="shared" si="127"/>
        <v>376.38</v>
      </c>
      <c r="V466" s="379"/>
      <c r="W466" s="379"/>
      <c r="X466" s="57">
        <f>'COMPOSIÇÃO DE CUSTOS'!G2561</f>
        <v>133.21</v>
      </c>
      <c r="Y466" s="334">
        <v>156.72</v>
      </c>
      <c r="Z466" s="58">
        <f t="shared" si="130"/>
        <v>-23.50800000000001</v>
      </c>
      <c r="AA466" s="58">
        <f t="shared" si="131"/>
        <v>266.42399999999998</v>
      </c>
      <c r="AB466" s="58"/>
      <c r="AC466" s="58">
        <f t="shared" si="132"/>
        <v>337.86</v>
      </c>
      <c r="AD466" s="58"/>
    </row>
    <row r="467" spans="1:32" ht="60">
      <c r="A467" s="21" t="s">
        <v>3086</v>
      </c>
      <c r="B467" s="138" t="s">
        <v>2389</v>
      </c>
      <c r="C467" s="139" t="s">
        <v>2399</v>
      </c>
      <c r="D467" s="142" t="s">
        <v>1914</v>
      </c>
      <c r="E467" s="21" t="s">
        <v>17</v>
      </c>
      <c r="F467" s="22">
        <v>2</v>
      </c>
      <c r="G467" s="22">
        <f t="shared" si="129"/>
        <v>3109.47</v>
      </c>
      <c r="H467" s="22">
        <f t="shared" si="140"/>
        <v>3943.12</v>
      </c>
      <c r="I467" s="147">
        <f t="shared" si="136"/>
        <v>7886.24</v>
      </c>
      <c r="J467" s="148"/>
      <c r="K467" s="148"/>
      <c r="L467" s="148"/>
      <c r="M467" s="148">
        <v>3463.98</v>
      </c>
      <c r="N467" s="148">
        <v>4392.67</v>
      </c>
      <c r="O467" s="148">
        <v>8785.34</v>
      </c>
      <c r="P467" s="494"/>
      <c r="Q467" s="147">
        <f t="shared" si="137"/>
        <v>0</v>
      </c>
      <c r="R467" s="148"/>
      <c r="S467" s="148">
        <f t="shared" si="138"/>
        <v>0</v>
      </c>
      <c r="T467" s="148">
        <f t="shared" si="128"/>
        <v>2</v>
      </c>
      <c r="U467" s="148">
        <f t="shared" si="127"/>
        <v>8785.34</v>
      </c>
      <c r="V467" s="379"/>
      <c r="W467" s="379"/>
      <c r="X467" s="57">
        <f>'COMPOSIÇÃO DE CUSTOS'!G1823</f>
        <v>3109.47</v>
      </c>
      <c r="Y467" s="334">
        <v>3658.2</v>
      </c>
      <c r="Z467" s="58">
        <f t="shared" si="130"/>
        <v>-548.73</v>
      </c>
      <c r="AA467" s="58">
        <f t="shared" si="131"/>
        <v>6218.94</v>
      </c>
      <c r="AB467" s="58"/>
      <c r="AC467" s="58">
        <f t="shared" si="132"/>
        <v>7886.24</v>
      </c>
      <c r="AD467" s="58" t="e">
        <f>IF(B467&lt;&gt;0,VLOOKUP(B467,#REF!,2,FALSE),"")</f>
        <v>#REF!</v>
      </c>
      <c r="AE467" s="2">
        <v>6</v>
      </c>
      <c r="AF467" s="55">
        <f t="shared" ref="AF467:AF530" si="142">AE467-F467</f>
        <v>4</v>
      </c>
    </row>
    <row r="468" spans="1:32" ht="30">
      <c r="A468" s="21" t="s">
        <v>3319</v>
      </c>
      <c r="B468" s="144" t="s">
        <v>2391</v>
      </c>
      <c r="C468" s="143" t="s">
        <v>2390</v>
      </c>
      <c r="D468" s="21" t="s">
        <v>1914</v>
      </c>
      <c r="E468" s="21" t="s">
        <v>17</v>
      </c>
      <c r="F468" s="22">
        <v>20</v>
      </c>
      <c r="G468" s="22">
        <f t="shared" si="129"/>
        <v>136.28900000000002</v>
      </c>
      <c r="H468" s="22">
        <f t="shared" si="140"/>
        <v>172.83</v>
      </c>
      <c r="I468" s="147">
        <f t="shared" si="136"/>
        <v>3456.6</v>
      </c>
      <c r="J468" s="148"/>
      <c r="K468" s="148"/>
      <c r="L468" s="148"/>
      <c r="M468" s="148">
        <v>151.83000000000001</v>
      </c>
      <c r="N468" s="148">
        <v>192.54</v>
      </c>
      <c r="O468" s="148">
        <v>3850.8</v>
      </c>
      <c r="P468" s="494"/>
      <c r="Q468" s="147">
        <f t="shared" si="137"/>
        <v>0</v>
      </c>
      <c r="R468" s="148"/>
      <c r="S468" s="148">
        <f t="shared" si="138"/>
        <v>0</v>
      </c>
      <c r="T468" s="148">
        <f t="shared" si="128"/>
        <v>20</v>
      </c>
      <c r="U468" s="148">
        <f t="shared" si="127"/>
        <v>3850.8</v>
      </c>
      <c r="V468" s="379"/>
      <c r="W468" s="379"/>
      <c r="X468" s="57">
        <f>'COMPOSIÇÃO DE CUSTOS'!G1830</f>
        <v>136.29</v>
      </c>
      <c r="Y468" s="334">
        <v>160.34</v>
      </c>
      <c r="Z468" s="58">
        <f t="shared" si="130"/>
        <v>-24.050999999999988</v>
      </c>
      <c r="AA468" s="58">
        <f t="shared" si="131"/>
        <v>2725.78</v>
      </c>
      <c r="AB468" s="58"/>
      <c r="AC468" s="58">
        <f t="shared" si="132"/>
        <v>3456.6000000000004</v>
      </c>
      <c r="AD468" s="58" t="e">
        <f>IF(B468&lt;&gt;0,VLOOKUP(B468,#REF!,2,FALSE),"")</f>
        <v>#REF!</v>
      </c>
      <c r="AF468" s="55">
        <f t="shared" si="142"/>
        <v>-20</v>
      </c>
    </row>
    <row r="469" spans="1:32" s="55" customFormat="1">
      <c r="A469" s="69" t="s">
        <v>1023</v>
      </c>
      <c r="B469" s="129"/>
      <c r="C469" s="229" t="s">
        <v>224</v>
      </c>
      <c r="D469" s="230"/>
      <c r="E469" s="230"/>
      <c r="F469" s="230"/>
      <c r="G469" s="22"/>
      <c r="H469" s="230"/>
      <c r="I469" s="445"/>
      <c r="J469" s="440"/>
      <c r="K469" s="440"/>
      <c r="L469" s="440"/>
      <c r="M469" s="440"/>
      <c r="N469" s="440"/>
      <c r="O469" s="440"/>
      <c r="P469" s="492"/>
      <c r="Q469" s="147">
        <f t="shared" si="137"/>
        <v>0</v>
      </c>
      <c r="R469" s="440"/>
      <c r="S469" s="148">
        <f t="shared" si="138"/>
        <v>0</v>
      </c>
      <c r="T469" s="148" t="str">
        <f t="shared" si="128"/>
        <v xml:space="preserve"> </v>
      </c>
      <c r="U469" s="148">
        <f t="shared" si="127"/>
        <v>0</v>
      </c>
      <c r="V469" s="330"/>
      <c r="W469" s="330"/>
      <c r="X469" s="58" t="str">
        <f>IF(B469&lt;&gt;0,VLOOKUP(B469,#REF!,4,FALSE),"")</f>
        <v/>
      </c>
      <c r="Y469" s="334" t="s">
        <v>1891</v>
      </c>
      <c r="Z469" s="58"/>
      <c r="AA469" s="58">
        <f t="shared" si="131"/>
        <v>0</v>
      </c>
      <c r="AB469" s="58"/>
      <c r="AC469" s="58">
        <f t="shared" si="132"/>
        <v>0</v>
      </c>
      <c r="AD469" s="58" t="str">
        <f>IF(B469&lt;&gt;0,VLOOKUP(B469,#REF!,2,FALSE),"")</f>
        <v/>
      </c>
      <c r="AE469" s="55">
        <v>133</v>
      </c>
      <c r="AF469" s="55">
        <f t="shared" si="142"/>
        <v>133</v>
      </c>
    </row>
    <row r="470" spans="1:32" s="55" customFormat="1" ht="55.5" customHeight="1">
      <c r="A470" s="21" t="s">
        <v>1024</v>
      </c>
      <c r="B470" s="20">
        <v>91863</v>
      </c>
      <c r="C470" s="19" t="s">
        <v>1692</v>
      </c>
      <c r="D470" s="21" t="s">
        <v>12</v>
      </c>
      <c r="E470" s="21" t="s">
        <v>52</v>
      </c>
      <c r="F470" s="22">
        <v>133</v>
      </c>
      <c r="G470" s="22">
        <f t="shared" si="129"/>
        <v>6.8849999999999998</v>
      </c>
      <c r="H470" s="22">
        <f t="shared" ref="H470:H499" si="143">ROUND(G470*(1+$X$13),2)</f>
        <v>8.73</v>
      </c>
      <c r="I470" s="147">
        <f t="shared" ref="I470:I499" si="144">ROUND(H470*F470,2)</f>
        <v>1161.0899999999999</v>
      </c>
      <c r="J470" s="148"/>
      <c r="K470" s="148"/>
      <c r="L470" s="148"/>
      <c r="M470" s="148">
        <v>7.67</v>
      </c>
      <c r="N470" s="148">
        <v>9.73</v>
      </c>
      <c r="O470" s="148">
        <v>1294.0899999999999</v>
      </c>
      <c r="P470" s="494"/>
      <c r="Q470" s="147">
        <f t="shared" si="137"/>
        <v>0</v>
      </c>
      <c r="R470" s="148"/>
      <c r="S470" s="148">
        <f t="shared" si="138"/>
        <v>0</v>
      </c>
      <c r="T470" s="148">
        <f t="shared" si="128"/>
        <v>133</v>
      </c>
      <c r="U470" s="148">
        <f t="shared" si="127"/>
        <v>1294.0899999999999</v>
      </c>
      <c r="V470" s="379"/>
      <c r="W470" s="379"/>
      <c r="X470" s="58" t="e">
        <f>IF(B470&lt;&gt;0,VLOOKUP(B470,#REF!,4,FALSE),"")</f>
        <v>#REF!</v>
      </c>
      <c r="Y470" s="334" t="s">
        <v>1885</v>
      </c>
      <c r="Z470" s="58">
        <f t="shared" si="130"/>
        <v>-1.2149999999999999</v>
      </c>
      <c r="AA470" s="58">
        <f t="shared" si="131"/>
        <v>915.70499999999993</v>
      </c>
      <c r="AB470" s="58"/>
      <c r="AC470" s="58">
        <f t="shared" si="132"/>
        <v>1161.0900000000001</v>
      </c>
      <c r="AD470" s="58" t="e">
        <f>IF(B470&lt;&gt;0,VLOOKUP(B470,#REF!,2,FALSE),"")</f>
        <v>#REF!</v>
      </c>
      <c r="AE470" s="55">
        <v>6</v>
      </c>
      <c r="AF470" s="55">
        <f t="shared" si="142"/>
        <v>-127</v>
      </c>
    </row>
    <row r="471" spans="1:32" s="55" customFormat="1" ht="60">
      <c r="A471" s="21" t="s">
        <v>1025</v>
      </c>
      <c r="B471" s="20">
        <v>91890</v>
      </c>
      <c r="C471" s="19" t="s">
        <v>1693</v>
      </c>
      <c r="D471" s="21" t="s">
        <v>12</v>
      </c>
      <c r="E471" s="21" t="s">
        <v>17</v>
      </c>
      <c r="F471" s="22">
        <v>6</v>
      </c>
      <c r="G471" s="22">
        <f t="shared" si="129"/>
        <v>6.375</v>
      </c>
      <c r="H471" s="22">
        <f t="shared" si="143"/>
        <v>8.08</v>
      </c>
      <c r="I471" s="147">
        <f t="shared" si="144"/>
        <v>48.48</v>
      </c>
      <c r="J471" s="148"/>
      <c r="K471" s="148"/>
      <c r="L471" s="148"/>
      <c r="M471" s="148">
        <v>7.1</v>
      </c>
      <c r="N471" s="148">
        <v>9</v>
      </c>
      <c r="O471" s="148">
        <v>54</v>
      </c>
      <c r="P471" s="494"/>
      <c r="Q471" s="147">
        <f t="shared" si="137"/>
        <v>0</v>
      </c>
      <c r="R471" s="148"/>
      <c r="S471" s="148">
        <f t="shared" si="138"/>
        <v>0</v>
      </c>
      <c r="T471" s="148">
        <f t="shared" si="128"/>
        <v>6</v>
      </c>
      <c r="U471" s="148">
        <f t="shared" si="127"/>
        <v>54</v>
      </c>
      <c r="V471" s="379"/>
      <c r="W471" s="379"/>
      <c r="X471" s="58" t="e">
        <f>IF(B471&lt;&gt;0,VLOOKUP(B471,#REF!,4,FALSE),"")</f>
        <v>#REF!</v>
      </c>
      <c r="Y471" s="334" t="s">
        <v>3222</v>
      </c>
      <c r="Z471" s="58">
        <f t="shared" si="130"/>
        <v>-1.125</v>
      </c>
      <c r="AA471" s="58">
        <f t="shared" si="131"/>
        <v>38.25</v>
      </c>
      <c r="AB471" s="58"/>
      <c r="AC471" s="58">
        <f t="shared" si="132"/>
        <v>48.480000000000004</v>
      </c>
      <c r="AD471" s="58" t="e">
        <f>IF(B471&lt;&gt;0,VLOOKUP(B471,#REF!,2,FALSE),"")</f>
        <v>#REF!</v>
      </c>
      <c r="AE471" s="55">
        <v>57</v>
      </c>
      <c r="AF471" s="55">
        <f t="shared" si="142"/>
        <v>51</v>
      </c>
    </row>
    <row r="472" spans="1:32" s="55" customFormat="1" ht="60">
      <c r="A472" s="21" t="s">
        <v>1026</v>
      </c>
      <c r="B472" s="20">
        <v>91875</v>
      </c>
      <c r="C472" s="19" t="s">
        <v>1694</v>
      </c>
      <c r="D472" s="21" t="s">
        <v>12</v>
      </c>
      <c r="E472" s="21" t="s">
        <v>17</v>
      </c>
      <c r="F472" s="22">
        <v>57</v>
      </c>
      <c r="G472" s="22">
        <f t="shared" si="129"/>
        <v>3.7654999999999998</v>
      </c>
      <c r="H472" s="22">
        <f t="shared" si="143"/>
        <v>4.78</v>
      </c>
      <c r="I472" s="147">
        <f t="shared" si="144"/>
        <v>272.45999999999998</v>
      </c>
      <c r="J472" s="148"/>
      <c r="K472" s="148"/>
      <c r="L472" s="148"/>
      <c r="M472" s="148">
        <v>4.1900000000000004</v>
      </c>
      <c r="N472" s="148">
        <v>5.31</v>
      </c>
      <c r="O472" s="148">
        <v>302.67</v>
      </c>
      <c r="P472" s="494"/>
      <c r="Q472" s="147">
        <f t="shared" si="137"/>
        <v>0</v>
      </c>
      <c r="R472" s="148"/>
      <c r="S472" s="148">
        <f t="shared" si="138"/>
        <v>0</v>
      </c>
      <c r="T472" s="148">
        <f t="shared" si="128"/>
        <v>57</v>
      </c>
      <c r="U472" s="148">
        <f t="shared" si="127"/>
        <v>302.67</v>
      </c>
      <c r="V472" s="379"/>
      <c r="W472" s="379"/>
      <c r="X472" s="58" t="e">
        <f>IF(B472&lt;&gt;0,VLOOKUP(B472,#REF!,4,FALSE),"")</f>
        <v>#REF!</v>
      </c>
      <c r="Y472" s="334" t="s">
        <v>1864</v>
      </c>
      <c r="Z472" s="58">
        <f t="shared" si="130"/>
        <v>-0.66449999999999987</v>
      </c>
      <c r="AA472" s="58">
        <f t="shared" si="131"/>
        <v>214.6335</v>
      </c>
      <c r="AB472" s="58"/>
      <c r="AC472" s="58">
        <f t="shared" si="132"/>
        <v>272.46000000000004</v>
      </c>
      <c r="AD472" s="58" t="e">
        <f>IF(B472&lt;&gt;0,VLOOKUP(B472,#REF!,2,FALSE),"")</f>
        <v>#REF!</v>
      </c>
      <c r="AE472" s="55">
        <v>67</v>
      </c>
      <c r="AF472" s="55">
        <f t="shared" si="142"/>
        <v>10</v>
      </c>
    </row>
    <row r="473" spans="1:32" s="55" customFormat="1" ht="45">
      <c r="A473" s="21" t="s">
        <v>1027</v>
      </c>
      <c r="B473" s="20">
        <v>91871</v>
      </c>
      <c r="C473" s="19" t="s">
        <v>1695</v>
      </c>
      <c r="D473" s="21" t="s">
        <v>12</v>
      </c>
      <c r="E473" s="21" t="s">
        <v>52</v>
      </c>
      <c r="F473" s="22">
        <v>67</v>
      </c>
      <c r="G473" s="22">
        <f t="shared" si="129"/>
        <v>7.3949999999999996</v>
      </c>
      <c r="H473" s="22">
        <f t="shared" si="143"/>
        <v>9.3800000000000008</v>
      </c>
      <c r="I473" s="147">
        <f t="shared" si="144"/>
        <v>628.46</v>
      </c>
      <c r="J473" s="148"/>
      <c r="K473" s="148"/>
      <c r="L473" s="148"/>
      <c r="M473" s="148">
        <v>8.24</v>
      </c>
      <c r="N473" s="148">
        <v>10.45</v>
      </c>
      <c r="O473" s="148">
        <v>700.15</v>
      </c>
      <c r="P473" s="494"/>
      <c r="Q473" s="147">
        <f t="shared" si="137"/>
        <v>0</v>
      </c>
      <c r="R473" s="148"/>
      <c r="S473" s="148">
        <f t="shared" si="138"/>
        <v>0</v>
      </c>
      <c r="T473" s="148">
        <f t="shared" si="128"/>
        <v>67</v>
      </c>
      <c r="U473" s="148">
        <f t="shared" si="127"/>
        <v>700.15</v>
      </c>
      <c r="V473" s="379"/>
      <c r="W473" s="379"/>
      <c r="X473" s="58" t="e">
        <f>IF(B473&lt;&gt;0,VLOOKUP(B473,#REF!,4,FALSE),"")</f>
        <v>#REF!</v>
      </c>
      <c r="Y473" s="334" t="s">
        <v>2647</v>
      </c>
      <c r="Z473" s="58">
        <f t="shared" si="130"/>
        <v>-1.3049999999999997</v>
      </c>
      <c r="AA473" s="58">
        <f t="shared" si="131"/>
        <v>495.46499999999997</v>
      </c>
      <c r="AB473" s="58"/>
      <c r="AC473" s="58">
        <f t="shared" si="132"/>
        <v>628.46</v>
      </c>
      <c r="AD473" s="58" t="e">
        <f>IF(B473&lt;&gt;0,VLOOKUP(B473,#REF!,2,FALSE),"")</f>
        <v>#REF!</v>
      </c>
      <c r="AE473" s="55">
        <v>20</v>
      </c>
      <c r="AF473" s="55">
        <f t="shared" si="142"/>
        <v>-47</v>
      </c>
    </row>
    <row r="474" spans="1:32" s="55" customFormat="1" ht="60">
      <c r="A474" s="21" t="s">
        <v>1028</v>
      </c>
      <c r="B474" s="20">
        <v>91914</v>
      </c>
      <c r="C474" s="19" t="s">
        <v>1696</v>
      </c>
      <c r="D474" s="21" t="s">
        <v>12</v>
      </c>
      <c r="E474" s="21" t="s">
        <v>17</v>
      </c>
      <c r="F474" s="22">
        <v>20</v>
      </c>
      <c r="G474" s="22">
        <f t="shared" si="129"/>
        <v>8.5084999999999997</v>
      </c>
      <c r="H474" s="22">
        <f t="shared" si="143"/>
        <v>10.79</v>
      </c>
      <c r="I474" s="147">
        <f t="shared" si="144"/>
        <v>215.8</v>
      </c>
      <c r="J474" s="148"/>
      <c r="K474" s="148"/>
      <c r="L474" s="148"/>
      <c r="M474" s="148">
        <v>9.48</v>
      </c>
      <c r="N474" s="148">
        <v>12.02</v>
      </c>
      <c r="O474" s="148">
        <v>240.4</v>
      </c>
      <c r="P474" s="494"/>
      <c r="Q474" s="147">
        <f t="shared" si="137"/>
        <v>0</v>
      </c>
      <c r="R474" s="148"/>
      <c r="S474" s="148">
        <f t="shared" si="138"/>
        <v>0</v>
      </c>
      <c r="T474" s="148">
        <f t="shared" si="128"/>
        <v>20</v>
      </c>
      <c r="U474" s="148">
        <f t="shared" si="127"/>
        <v>240.4</v>
      </c>
      <c r="V474" s="379"/>
      <c r="W474" s="379"/>
      <c r="X474" s="58" t="e">
        <f>IF(B474&lt;&gt;0,VLOOKUP(B474,#REF!,4,FALSE),"")</f>
        <v>#REF!</v>
      </c>
      <c r="Y474" s="334" t="s">
        <v>1907</v>
      </c>
      <c r="Z474" s="58">
        <f t="shared" si="130"/>
        <v>-1.5015000000000001</v>
      </c>
      <c r="AA474" s="58">
        <f t="shared" si="131"/>
        <v>170.17</v>
      </c>
      <c r="AB474" s="58"/>
      <c r="AC474" s="58">
        <f t="shared" si="132"/>
        <v>215.79999999999998</v>
      </c>
      <c r="AD474" s="58" t="e">
        <f>IF(B474&lt;&gt;0,VLOOKUP(B474,#REF!,2,FALSE),"")</f>
        <v>#REF!</v>
      </c>
      <c r="AE474" s="55">
        <v>63</v>
      </c>
      <c r="AF474" s="55">
        <f t="shared" si="142"/>
        <v>43</v>
      </c>
    </row>
    <row r="475" spans="1:32" s="55" customFormat="1" ht="60">
      <c r="A475" s="21" t="s">
        <v>1029</v>
      </c>
      <c r="B475" s="20">
        <v>91884</v>
      </c>
      <c r="C475" s="19" t="s">
        <v>1697</v>
      </c>
      <c r="D475" s="21" t="s">
        <v>12</v>
      </c>
      <c r="E475" s="21" t="s">
        <v>17</v>
      </c>
      <c r="F475" s="22">
        <v>63</v>
      </c>
      <c r="G475" s="22">
        <f t="shared" si="129"/>
        <v>5.1849999999999996</v>
      </c>
      <c r="H475" s="22">
        <f t="shared" si="143"/>
        <v>6.58</v>
      </c>
      <c r="I475" s="147">
        <f t="shared" si="144"/>
        <v>414.54</v>
      </c>
      <c r="J475" s="148"/>
      <c r="K475" s="148"/>
      <c r="L475" s="148"/>
      <c r="M475" s="148">
        <v>5.78</v>
      </c>
      <c r="N475" s="148">
        <v>7.33</v>
      </c>
      <c r="O475" s="148">
        <v>461.79</v>
      </c>
      <c r="P475" s="494"/>
      <c r="Q475" s="147">
        <f t="shared" si="137"/>
        <v>0</v>
      </c>
      <c r="R475" s="148"/>
      <c r="S475" s="148">
        <f t="shared" si="138"/>
        <v>0</v>
      </c>
      <c r="T475" s="148">
        <f t="shared" si="128"/>
        <v>63</v>
      </c>
      <c r="U475" s="148">
        <f t="shared" si="127"/>
        <v>461.79</v>
      </c>
      <c r="V475" s="379"/>
      <c r="W475" s="379"/>
      <c r="X475" s="58" t="e">
        <f>IF(B475&lt;&gt;0,VLOOKUP(B475,#REF!,4,FALSE),"")</f>
        <v>#REF!</v>
      </c>
      <c r="Y475" s="334" t="s">
        <v>3138</v>
      </c>
      <c r="Z475" s="58">
        <f t="shared" si="130"/>
        <v>-0.91500000000000004</v>
      </c>
      <c r="AA475" s="58">
        <f t="shared" si="131"/>
        <v>326.65499999999997</v>
      </c>
      <c r="AB475" s="58"/>
      <c r="AC475" s="58">
        <f t="shared" si="132"/>
        <v>414.54</v>
      </c>
      <c r="AD475" s="58" t="e">
        <f>IF(B475&lt;&gt;0,VLOOKUP(B475,#REF!,2,FALSE),"")</f>
        <v>#REF!</v>
      </c>
      <c r="AE475" s="55">
        <v>20</v>
      </c>
      <c r="AF475" s="55">
        <f t="shared" si="142"/>
        <v>-43</v>
      </c>
    </row>
    <row r="476" spans="1:32" s="55" customFormat="1" ht="30">
      <c r="A476" s="21" t="s">
        <v>1030</v>
      </c>
      <c r="B476" s="20">
        <v>723</v>
      </c>
      <c r="C476" s="19" t="s">
        <v>1765</v>
      </c>
      <c r="D476" s="21" t="s">
        <v>44</v>
      </c>
      <c r="E476" s="21" t="s">
        <v>17</v>
      </c>
      <c r="F476" s="22">
        <v>20</v>
      </c>
      <c r="G476" s="22">
        <f t="shared" si="129"/>
        <v>3.4085000000000001</v>
      </c>
      <c r="H476" s="22">
        <f t="shared" si="143"/>
        <v>4.32</v>
      </c>
      <c r="I476" s="147">
        <f t="shared" si="144"/>
        <v>86.4</v>
      </c>
      <c r="J476" s="148"/>
      <c r="K476" s="148"/>
      <c r="L476" s="148"/>
      <c r="M476" s="148">
        <v>3.8</v>
      </c>
      <c r="N476" s="148">
        <v>4.82</v>
      </c>
      <c r="O476" s="148">
        <v>96.4</v>
      </c>
      <c r="P476" s="494"/>
      <c r="Q476" s="147">
        <f t="shared" si="137"/>
        <v>0</v>
      </c>
      <c r="R476" s="148"/>
      <c r="S476" s="148">
        <f t="shared" si="138"/>
        <v>0</v>
      </c>
      <c r="T476" s="148">
        <f t="shared" si="128"/>
        <v>20</v>
      </c>
      <c r="U476" s="148">
        <f t="shared" si="127"/>
        <v>96.4</v>
      </c>
      <c r="V476" s="379"/>
      <c r="W476" s="379"/>
      <c r="X476" s="57">
        <f>'COMPOSIÇÃO DE CUSTOS'!G1307</f>
        <v>3.41</v>
      </c>
      <c r="Y476" s="334">
        <v>4.01</v>
      </c>
      <c r="Z476" s="58">
        <f t="shared" si="130"/>
        <v>-0.6014999999999997</v>
      </c>
      <c r="AA476" s="58">
        <f t="shared" si="131"/>
        <v>68.17</v>
      </c>
      <c r="AB476" s="58"/>
      <c r="AC476" s="58">
        <f t="shared" si="132"/>
        <v>86.4</v>
      </c>
      <c r="AD476" s="58" t="e">
        <f>IF(B476&lt;&gt;0,VLOOKUP(B476,#REF!,2,FALSE),"")</f>
        <v>#REF!</v>
      </c>
      <c r="AE476" s="55">
        <v>195</v>
      </c>
      <c r="AF476" s="55">
        <f t="shared" si="142"/>
        <v>175</v>
      </c>
    </row>
    <row r="477" spans="1:32" s="55" customFormat="1" ht="45">
      <c r="A477" s="21" t="s">
        <v>1031</v>
      </c>
      <c r="B477" s="20">
        <v>91864</v>
      </c>
      <c r="C477" s="19" t="s">
        <v>1663</v>
      </c>
      <c r="D477" s="21" t="s">
        <v>12</v>
      </c>
      <c r="E477" s="21" t="s">
        <v>52</v>
      </c>
      <c r="F477" s="22">
        <v>195</v>
      </c>
      <c r="G477" s="22">
        <f t="shared" si="129"/>
        <v>9.1204999999999998</v>
      </c>
      <c r="H477" s="22">
        <f t="shared" si="143"/>
        <v>11.57</v>
      </c>
      <c r="I477" s="147">
        <f t="shared" si="144"/>
        <v>2256.15</v>
      </c>
      <c r="J477" s="148"/>
      <c r="K477" s="148"/>
      <c r="L477" s="148"/>
      <c r="M477" s="148">
        <v>10.16</v>
      </c>
      <c r="N477" s="148">
        <v>12.88</v>
      </c>
      <c r="O477" s="148">
        <v>2511.6</v>
      </c>
      <c r="P477" s="494"/>
      <c r="Q477" s="147">
        <f t="shared" si="137"/>
        <v>0</v>
      </c>
      <c r="R477" s="148"/>
      <c r="S477" s="148">
        <f t="shared" si="138"/>
        <v>0</v>
      </c>
      <c r="T477" s="148">
        <f t="shared" si="128"/>
        <v>195</v>
      </c>
      <c r="U477" s="148">
        <f t="shared" si="127"/>
        <v>2511.6</v>
      </c>
      <c r="V477" s="379"/>
      <c r="W477" s="379"/>
      <c r="X477" s="58" t="e">
        <f>IF(B477&lt;&gt;0,VLOOKUP(B477,#REF!,4,FALSE),"")</f>
        <v>#REF!</v>
      </c>
      <c r="Y477" s="334" t="s">
        <v>1836</v>
      </c>
      <c r="Z477" s="58">
        <f t="shared" si="130"/>
        <v>-1.6095000000000006</v>
      </c>
      <c r="AA477" s="58">
        <f t="shared" si="131"/>
        <v>1778.4974999999999</v>
      </c>
      <c r="AB477" s="58"/>
      <c r="AC477" s="58">
        <f t="shared" si="132"/>
        <v>2256.15</v>
      </c>
      <c r="AD477" s="58" t="e">
        <f>IF(B477&lt;&gt;0,VLOOKUP(B477,#REF!,2,FALSE),"")</f>
        <v>#REF!</v>
      </c>
      <c r="AE477" s="55">
        <v>19</v>
      </c>
      <c r="AF477" s="55">
        <f t="shared" si="142"/>
        <v>-176</v>
      </c>
    </row>
    <row r="478" spans="1:32" s="55" customFormat="1" ht="60">
      <c r="A478" s="21" t="s">
        <v>1032</v>
      </c>
      <c r="B478" s="20">
        <v>91893</v>
      </c>
      <c r="C478" s="19" t="s">
        <v>1698</v>
      </c>
      <c r="D478" s="21" t="s">
        <v>12</v>
      </c>
      <c r="E478" s="21" t="s">
        <v>17</v>
      </c>
      <c r="F478" s="22">
        <f>7+12</f>
        <v>19</v>
      </c>
      <c r="G478" s="22">
        <f t="shared" si="129"/>
        <v>8.7379999999999995</v>
      </c>
      <c r="H478" s="22">
        <f t="shared" si="143"/>
        <v>11.08</v>
      </c>
      <c r="I478" s="147">
        <f t="shared" si="144"/>
        <v>210.52</v>
      </c>
      <c r="J478" s="148"/>
      <c r="K478" s="148"/>
      <c r="L478" s="148"/>
      <c r="M478" s="148">
        <v>9.73</v>
      </c>
      <c r="N478" s="148">
        <v>12.34</v>
      </c>
      <c r="O478" s="148">
        <v>234.46</v>
      </c>
      <c r="P478" s="494"/>
      <c r="Q478" s="147">
        <f t="shared" si="137"/>
        <v>0</v>
      </c>
      <c r="R478" s="148"/>
      <c r="S478" s="148">
        <f t="shared" si="138"/>
        <v>0</v>
      </c>
      <c r="T478" s="148">
        <f t="shared" si="128"/>
        <v>19</v>
      </c>
      <c r="U478" s="148">
        <f t="shared" si="127"/>
        <v>234.46</v>
      </c>
      <c r="V478" s="379"/>
      <c r="W478" s="379"/>
      <c r="X478" s="58" t="e">
        <f>IF(B478&lt;&gt;0,VLOOKUP(B478,#REF!,4,FALSE),"")</f>
        <v>#REF!</v>
      </c>
      <c r="Y478" s="334" t="s">
        <v>3156</v>
      </c>
      <c r="Z478" s="58">
        <f t="shared" si="130"/>
        <v>-1.5419999999999998</v>
      </c>
      <c r="AA478" s="58">
        <f t="shared" si="131"/>
        <v>166.02199999999999</v>
      </c>
      <c r="AB478" s="58"/>
      <c r="AC478" s="58">
        <f t="shared" si="132"/>
        <v>210.52</v>
      </c>
      <c r="AD478" s="58" t="e">
        <f>IF(B478&lt;&gt;0,VLOOKUP(B478,#REF!,2,FALSE),"")</f>
        <v>#REF!</v>
      </c>
      <c r="AE478" s="55">
        <v>111</v>
      </c>
      <c r="AF478" s="55">
        <f t="shared" si="142"/>
        <v>92</v>
      </c>
    </row>
    <row r="479" spans="1:32" s="55" customFormat="1" ht="45">
      <c r="A479" s="21" t="s">
        <v>1033</v>
      </c>
      <c r="B479" s="20">
        <v>91876</v>
      </c>
      <c r="C479" s="19" t="s">
        <v>1664</v>
      </c>
      <c r="D479" s="21" t="s">
        <v>12</v>
      </c>
      <c r="E479" s="21" t="s">
        <v>17</v>
      </c>
      <c r="F479" s="22">
        <f>22+89</f>
        <v>111</v>
      </c>
      <c r="G479" s="22">
        <f t="shared" si="129"/>
        <v>4.9980000000000002</v>
      </c>
      <c r="H479" s="22">
        <f t="shared" si="143"/>
        <v>6.34</v>
      </c>
      <c r="I479" s="147">
        <f t="shared" si="144"/>
        <v>703.74</v>
      </c>
      <c r="J479" s="148"/>
      <c r="K479" s="148"/>
      <c r="L479" s="148"/>
      <c r="M479" s="148">
        <v>5.57</v>
      </c>
      <c r="N479" s="148">
        <v>7.06</v>
      </c>
      <c r="O479" s="148">
        <v>783.66</v>
      </c>
      <c r="P479" s="494"/>
      <c r="Q479" s="147">
        <f t="shared" si="137"/>
        <v>0</v>
      </c>
      <c r="R479" s="148"/>
      <c r="S479" s="148">
        <f t="shared" si="138"/>
        <v>0</v>
      </c>
      <c r="T479" s="148">
        <f t="shared" si="128"/>
        <v>111</v>
      </c>
      <c r="U479" s="148">
        <f t="shared" si="127"/>
        <v>783.66</v>
      </c>
      <c r="V479" s="379"/>
      <c r="W479" s="379"/>
      <c r="X479" s="58" t="e">
        <f>IF(B479&lt;&gt;0,VLOOKUP(B479,#REF!,4,FALSE),"")</f>
        <v>#REF!</v>
      </c>
      <c r="Y479" s="334" t="s">
        <v>3191</v>
      </c>
      <c r="Z479" s="58">
        <f t="shared" si="130"/>
        <v>-0.88199999999999967</v>
      </c>
      <c r="AA479" s="58">
        <f t="shared" si="131"/>
        <v>554.77800000000002</v>
      </c>
      <c r="AB479" s="58"/>
      <c r="AC479" s="58">
        <f t="shared" si="132"/>
        <v>703.74</v>
      </c>
      <c r="AD479" s="58" t="e">
        <f>IF(B479&lt;&gt;0,VLOOKUP(B479,#REF!,2,FALSE),"")</f>
        <v>#REF!</v>
      </c>
      <c r="AE479" s="55">
        <v>161</v>
      </c>
      <c r="AF479" s="55">
        <f t="shared" si="142"/>
        <v>50</v>
      </c>
    </row>
    <row r="480" spans="1:32" s="55" customFormat="1" ht="45">
      <c r="A480" s="21" t="s">
        <v>1034</v>
      </c>
      <c r="B480" s="20">
        <v>91872</v>
      </c>
      <c r="C480" s="19" t="s">
        <v>1699</v>
      </c>
      <c r="D480" s="21" t="s">
        <v>12</v>
      </c>
      <c r="E480" s="21" t="s">
        <v>52</v>
      </c>
      <c r="F480" s="22">
        <f>24+137</f>
        <v>161</v>
      </c>
      <c r="G480" s="22">
        <f t="shared" si="129"/>
        <v>9.6304999999999996</v>
      </c>
      <c r="H480" s="22">
        <f t="shared" si="143"/>
        <v>12.21</v>
      </c>
      <c r="I480" s="147">
        <f t="shared" si="144"/>
        <v>1965.81</v>
      </c>
      <c r="J480" s="148"/>
      <c r="K480" s="148"/>
      <c r="L480" s="148"/>
      <c r="M480" s="148">
        <v>10.73</v>
      </c>
      <c r="N480" s="148">
        <v>13.61</v>
      </c>
      <c r="O480" s="148">
        <v>2191.21</v>
      </c>
      <c r="P480" s="494"/>
      <c r="Q480" s="147">
        <f t="shared" si="137"/>
        <v>0</v>
      </c>
      <c r="R480" s="148"/>
      <c r="S480" s="148">
        <f t="shared" si="138"/>
        <v>0</v>
      </c>
      <c r="T480" s="148">
        <f t="shared" si="128"/>
        <v>161</v>
      </c>
      <c r="U480" s="148">
        <f t="shared" si="127"/>
        <v>2191.21</v>
      </c>
      <c r="V480" s="379"/>
      <c r="W480" s="379"/>
      <c r="X480" s="58" t="e">
        <f>IF(B480&lt;&gt;0,VLOOKUP(B480,#REF!,4,FALSE),"")</f>
        <v>#REF!</v>
      </c>
      <c r="Y480" s="334" t="s">
        <v>1856</v>
      </c>
      <c r="Z480" s="58">
        <f t="shared" si="130"/>
        <v>-1.6995000000000005</v>
      </c>
      <c r="AA480" s="58">
        <f t="shared" si="131"/>
        <v>1550.5104999999999</v>
      </c>
      <c r="AB480" s="58"/>
      <c r="AC480" s="58">
        <f t="shared" si="132"/>
        <v>1965.8100000000002</v>
      </c>
      <c r="AD480" s="58" t="e">
        <f>IF(B480&lt;&gt;0,VLOOKUP(B480,#REF!,2,FALSE),"")</f>
        <v>#REF!</v>
      </c>
      <c r="AE480" s="55">
        <v>30</v>
      </c>
      <c r="AF480" s="55">
        <f t="shared" si="142"/>
        <v>-131</v>
      </c>
    </row>
    <row r="481" spans="1:32" s="55" customFormat="1" ht="60">
      <c r="A481" s="21" t="s">
        <v>1035</v>
      </c>
      <c r="B481" s="20">
        <v>91917</v>
      </c>
      <c r="C481" s="19" t="s">
        <v>1700</v>
      </c>
      <c r="D481" s="21" t="s">
        <v>12</v>
      </c>
      <c r="E481" s="21" t="s">
        <v>17</v>
      </c>
      <c r="F481" s="22">
        <v>30</v>
      </c>
      <c r="G481" s="22">
        <f t="shared" si="129"/>
        <v>10.480499999999999</v>
      </c>
      <c r="H481" s="22">
        <f t="shared" si="143"/>
        <v>13.29</v>
      </c>
      <c r="I481" s="147">
        <f t="shared" si="144"/>
        <v>398.7</v>
      </c>
      <c r="J481" s="148"/>
      <c r="K481" s="148"/>
      <c r="L481" s="148"/>
      <c r="M481" s="148">
        <v>11.68</v>
      </c>
      <c r="N481" s="148">
        <v>14.81</v>
      </c>
      <c r="O481" s="148">
        <v>444.3</v>
      </c>
      <c r="P481" s="494"/>
      <c r="Q481" s="147">
        <f t="shared" si="137"/>
        <v>0</v>
      </c>
      <c r="R481" s="148"/>
      <c r="S481" s="148">
        <f t="shared" si="138"/>
        <v>0</v>
      </c>
      <c r="T481" s="148">
        <f t="shared" si="128"/>
        <v>30</v>
      </c>
      <c r="U481" s="148">
        <f t="shared" ref="U481:U544" si="145">L481+Q481-S481+O481</f>
        <v>444.3</v>
      </c>
      <c r="V481" s="379"/>
      <c r="W481" s="379"/>
      <c r="X481" s="58" t="e">
        <f>IF(B481&lt;&gt;0,VLOOKUP(B481,#REF!,4,FALSE),"")</f>
        <v>#REF!</v>
      </c>
      <c r="Y481" s="334" t="s">
        <v>3108</v>
      </c>
      <c r="Z481" s="58">
        <f t="shared" si="130"/>
        <v>-1.8495000000000008</v>
      </c>
      <c r="AA481" s="58">
        <f t="shared" si="131"/>
        <v>314.41499999999996</v>
      </c>
      <c r="AB481" s="58"/>
      <c r="AC481" s="58">
        <f t="shared" si="132"/>
        <v>398.7</v>
      </c>
      <c r="AD481" s="58" t="e">
        <f>IF(B481&lt;&gt;0,VLOOKUP(B481,#REF!,2,FALSE),"")</f>
        <v>#REF!</v>
      </c>
      <c r="AE481" s="55">
        <v>106</v>
      </c>
      <c r="AF481" s="55">
        <f t="shared" si="142"/>
        <v>76</v>
      </c>
    </row>
    <row r="482" spans="1:32" s="55" customFormat="1" ht="45">
      <c r="A482" s="21" t="s">
        <v>1036</v>
      </c>
      <c r="B482" s="20">
        <v>91885</v>
      </c>
      <c r="C482" s="19" t="s">
        <v>1701</v>
      </c>
      <c r="D482" s="21" t="s">
        <v>12</v>
      </c>
      <c r="E482" s="21" t="s">
        <v>17</v>
      </c>
      <c r="F482" s="22">
        <v>106</v>
      </c>
      <c r="G482" s="22">
        <f t="shared" si="129"/>
        <v>6.1624999999999996</v>
      </c>
      <c r="H482" s="22">
        <f t="shared" si="143"/>
        <v>7.81</v>
      </c>
      <c r="I482" s="147">
        <f t="shared" si="144"/>
        <v>827.86</v>
      </c>
      <c r="J482" s="148"/>
      <c r="K482" s="148"/>
      <c r="L482" s="148"/>
      <c r="M482" s="148">
        <v>6.87</v>
      </c>
      <c r="N482" s="148">
        <v>8.7100000000000009</v>
      </c>
      <c r="O482" s="148">
        <v>923.26</v>
      </c>
      <c r="P482" s="494"/>
      <c r="Q482" s="147">
        <f t="shared" si="137"/>
        <v>0</v>
      </c>
      <c r="R482" s="148"/>
      <c r="S482" s="148">
        <f t="shared" si="138"/>
        <v>0</v>
      </c>
      <c r="T482" s="148">
        <f t="shared" si="128"/>
        <v>106</v>
      </c>
      <c r="U482" s="148">
        <f t="shared" si="145"/>
        <v>923.26</v>
      </c>
      <c r="V482" s="379"/>
      <c r="W482" s="379"/>
      <c r="X482" s="58" t="e">
        <f>IF(B482&lt;&gt;0,VLOOKUP(B482,#REF!,4,FALSE),"")</f>
        <v>#REF!</v>
      </c>
      <c r="Y482" s="334" t="s">
        <v>1870</v>
      </c>
      <c r="Z482" s="58">
        <f t="shared" si="130"/>
        <v>-1.0875000000000004</v>
      </c>
      <c r="AA482" s="58">
        <f t="shared" si="131"/>
        <v>653.22499999999991</v>
      </c>
      <c r="AB482" s="58"/>
      <c r="AC482" s="58">
        <f t="shared" si="132"/>
        <v>827.86</v>
      </c>
      <c r="AD482" s="58" t="e">
        <f>IF(B482&lt;&gt;0,VLOOKUP(B482,#REF!,2,FALSE),"")</f>
        <v>#REF!</v>
      </c>
      <c r="AE482" s="55">
        <v>27</v>
      </c>
      <c r="AF482" s="55">
        <f t="shared" si="142"/>
        <v>-79</v>
      </c>
    </row>
    <row r="483" spans="1:32" s="55" customFormat="1" ht="30">
      <c r="A483" s="21" t="s">
        <v>1037</v>
      </c>
      <c r="B483" s="20">
        <v>724</v>
      </c>
      <c r="C483" s="19" t="s">
        <v>1766</v>
      </c>
      <c r="D483" s="21" t="s">
        <v>44</v>
      </c>
      <c r="E483" s="21" t="s">
        <v>17</v>
      </c>
      <c r="F483" s="22">
        <v>27</v>
      </c>
      <c r="G483" s="22">
        <f t="shared" si="129"/>
        <v>5.032</v>
      </c>
      <c r="H483" s="22">
        <f t="shared" si="143"/>
        <v>6.38</v>
      </c>
      <c r="I483" s="147">
        <f t="shared" si="144"/>
        <v>172.26</v>
      </c>
      <c r="J483" s="148"/>
      <c r="K483" s="148"/>
      <c r="L483" s="148"/>
      <c r="M483" s="148">
        <v>5.61</v>
      </c>
      <c r="N483" s="148">
        <v>7.11</v>
      </c>
      <c r="O483" s="148">
        <v>191.97</v>
      </c>
      <c r="P483" s="494"/>
      <c r="Q483" s="147">
        <f t="shared" si="137"/>
        <v>0</v>
      </c>
      <c r="R483" s="148"/>
      <c r="S483" s="148">
        <f t="shared" si="138"/>
        <v>0</v>
      </c>
      <c r="T483" s="148">
        <f t="shared" ref="T483:T546" si="146">IF(F483&gt;0,F483+P483-R483," ")</f>
        <v>27</v>
      </c>
      <c r="U483" s="148">
        <f t="shared" si="145"/>
        <v>191.97</v>
      </c>
      <c r="V483" s="379"/>
      <c r="W483" s="379"/>
      <c r="X483" s="57">
        <f>'COMPOSIÇÃO DE CUSTOS'!G1165</f>
        <v>5.04</v>
      </c>
      <c r="Y483" s="334">
        <v>5.92</v>
      </c>
      <c r="Z483" s="58">
        <f t="shared" si="130"/>
        <v>-0.8879999999999999</v>
      </c>
      <c r="AA483" s="58">
        <f t="shared" si="131"/>
        <v>135.864</v>
      </c>
      <c r="AB483" s="58"/>
      <c r="AC483" s="58">
        <f t="shared" si="132"/>
        <v>172.26</v>
      </c>
      <c r="AD483" s="58" t="e">
        <f>IF(B483&lt;&gt;0,VLOOKUP(B483,#REF!,2,FALSE),"")</f>
        <v>#REF!</v>
      </c>
      <c r="AE483" s="55">
        <v>7</v>
      </c>
      <c r="AF483" s="55">
        <f t="shared" si="142"/>
        <v>-20</v>
      </c>
    </row>
    <row r="484" spans="1:32" s="55" customFormat="1" ht="45">
      <c r="A484" s="21" t="s">
        <v>1038</v>
      </c>
      <c r="B484" s="20">
        <v>91865</v>
      </c>
      <c r="C484" s="19" t="s">
        <v>1702</v>
      </c>
      <c r="D484" s="21" t="s">
        <v>12</v>
      </c>
      <c r="E484" s="21" t="s">
        <v>52</v>
      </c>
      <c r="F484" s="22">
        <f>4+3</f>
        <v>7</v>
      </c>
      <c r="G484" s="22">
        <f t="shared" si="129"/>
        <v>11.322000000000001</v>
      </c>
      <c r="H484" s="22">
        <f t="shared" si="143"/>
        <v>14.36</v>
      </c>
      <c r="I484" s="147">
        <f t="shared" si="144"/>
        <v>100.52</v>
      </c>
      <c r="J484" s="148"/>
      <c r="K484" s="148"/>
      <c r="L484" s="148"/>
      <c r="M484" s="148">
        <v>12.61</v>
      </c>
      <c r="N484" s="148">
        <v>15.99</v>
      </c>
      <c r="O484" s="148">
        <v>111.93</v>
      </c>
      <c r="P484" s="494"/>
      <c r="Q484" s="147">
        <f t="shared" si="137"/>
        <v>0</v>
      </c>
      <c r="R484" s="148"/>
      <c r="S484" s="148">
        <f t="shared" si="138"/>
        <v>0</v>
      </c>
      <c r="T484" s="148">
        <f t="shared" si="146"/>
        <v>7</v>
      </c>
      <c r="U484" s="148">
        <f t="shared" si="145"/>
        <v>111.93</v>
      </c>
      <c r="V484" s="379"/>
      <c r="W484" s="379"/>
      <c r="X484" s="58" t="e">
        <f>IF(B484&lt;&gt;0,VLOOKUP(B484,#REF!,4,FALSE),"")</f>
        <v>#REF!</v>
      </c>
      <c r="Y484" s="334" t="s">
        <v>3102</v>
      </c>
      <c r="Z484" s="58">
        <f t="shared" si="130"/>
        <v>-1.9979999999999993</v>
      </c>
      <c r="AA484" s="58">
        <f t="shared" si="131"/>
        <v>79.254000000000005</v>
      </c>
      <c r="AB484" s="58"/>
      <c r="AC484" s="58">
        <f t="shared" si="132"/>
        <v>100.52</v>
      </c>
      <c r="AD484" s="58" t="e">
        <f>IF(B484&lt;&gt;0,VLOOKUP(B484,#REF!,2,FALSE),"")</f>
        <v>#REF!</v>
      </c>
      <c r="AE484" s="55">
        <v>3</v>
      </c>
      <c r="AF484" s="55">
        <f t="shared" si="142"/>
        <v>-4</v>
      </c>
    </row>
    <row r="485" spans="1:32" s="55" customFormat="1" ht="60">
      <c r="A485" s="21" t="s">
        <v>1039</v>
      </c>
      <c r="B485" s="20">
        <v>91877</v>
      </c>
      <c r="C485" s="19" t="s">
        <v>1704</v>
      </c>
      <c r="D485" s="21" t="s">
        <v>12</v>
      </c>
      <c r="E485" s="21" t="s">
        <v>17</v>
      </c>
      <c r="F485" s="22">
        <v>3</v>
      </c>
      <c r="G485" s="22">
        <f t="shared" si="129"/>
        <v>6.681</v>
      </c>
      <c r="H485" s="22">
        <f t="shared" si="143"/>
        <v>8.4700000000000006</v>
      </c>
      <c r="I485" s="147">
        <f t="shared" si="144"/>
        <v>25.41</v>
      </c>
      <c r="J485" s="148"/>
      <c r="K485" s="148"/>
      <c r="L485" s="148"/>
      <c r="M485" s="148">
        <v>7.44</v>
      </c>
      <c r="N485" s="148">
        <v>9.43</v>
      </c>
      <c r="O485" s="148">
        <v>28.29</v>
      </c>
      <c r="P485" s="494"/>
      <c r="Q485" s="147">
        <f t="shared" si="137"/>
        <v>0</v>
      </c>
      <c r="R485" s="148"/>
      <c r="S485" s="148">
        <f t="shared" si="138"/>
        <v>0</v>
      </c>
      <c r="T485" s="148">
        <f t="shared" si="146"/>
        <v>3</v>
      </c>
      <c r="U485" s="148">
        <f t="shared" si="145"/>
        <v>28.29</v>
      </c>
      <c r="V485" s="379"/>
      <c r="W485" s="379"/>
      <c r="X485" s="58" t="e">
        <f>IF(B485&lt;&gt;0,VLOOKUP(B485,#REF!,4,FALSE),"")</f>
        <v>#REF!</v>
      </c>
      <c r="Y485" s="334" t="s">
        <v>3034</v>
      </c>
      <c r="Z485" s="58">
        <f t="shared" si="130"/>
        <v>-1.1790000000000003</v>
      </c>
      <c r="AA485" s="58">
        <f t="shared" si="131"/>
        <v>20.042999999999999</v>
      </c>
      <c r="AB485" s="58"/>
      <c r="AC485" s="58">
        <f t="shared" si="132"/>
        <v>25.410000000000004</v>
      </c>
      <c r="AD485" s="58" t="e">
        <f>IF(B485&lt;&gt;0,VLOOKUP(B485,#REF!,2,FALSE),"")</f>
        <v>#REF!</v>
      </c>
      <c r="AE485" s="55">
        <v>4</v>
      </c>
      <c r="AF485" s="55">
        <f t="shared" si="142"/>
        <v>1</v>
      </c>
    </row>
    <row r="486" spans="1:32" s="55" customFormat="1" ht="45">
      <c r="A486" s="21" t="s">
        <v>1040</v>
      </c>
      <c r="B486" s="20">
        <v>91873</v>
      </c>
      <c r="C486" s="19" t="s">
        <v>1665</v>
      </c>
      <c r="D486" s="21" t="s">
        <v>12</v>
      </c>
      <c r="E486" s="21" t="s">
        <v>52</v>
      </c>
      <c r="F486" s="22">
        <v>4</v>
      </c>
      <c r="G486" s="22">
        <f t="shared" si="129"/>
        <v>11.8065</v>
      </c>
      <c r="H486" s="22">
        <f t="shared" si="143"/>
        <v>14.97</v>
      </c>
      <c r="I486" s="147">
        <f t="shared" si="144"/>
        <v>59.88</v>
      </c>
      <c r="J486" s="148"/>
      <c r="K486" s="148"/>
      <c r="L486" s="148"/>
      <c r="M486" s="148">
        <v>13.15</v>
      </c>
      <c r="N486" s="148">
        <v>16.68</v>
      </c>
      <c r="O486" s="148">
        <v>66.72</v>
      </c>
      <c r="P486" s="494"/>
      <c r="Q486" s="147">
        <f t="shared" si="137"/>
        <v>0</v>
      </c>
      <c r="R486" s="148"/>
      <c r="S486" s="148">
        <f t="shared" si="138"/>
        <v>0</v>
      </c>
      <c r="T486" s="148">
        <f t="shared" si="146"/>
        <v>4</v>
      </c>
      <c r="U486" s="148">
        <f t="shared" si="145"/>
        <v>66.72</v>
      </c>
      <c r="V486" s="379"/>
      <c r="W486" s="379"/>
      <c r="X486" s="58" t="e">
        <f>IF(B486&lt;&gt;0,VLOOKUP(B486,#REF!,4,FALSE),"")</f>
        <v>#REF!</v>
      </c>
      <c r="Y486" s="334" t="s">
        <v>3154</v>
      </c>
      <c r="Z486" s="58">
        <f t="shared" si="130"/>
        <v>-2.0835000000000008</v>
      </c>
      <c r="AA486" s="58">
        <f t="shared" si="131"/>
        <v>47.225999999999999</v>
      </c>
      <c r="AB486" s="58"/>
      <c r="AC486" s="58">
        <f t="shared" si="132"/>
        <v>59.88</v>
      </c>
      <c r="AD486" s="58" t="e">
        <f>IF(B486&lt;&gt;0,VLOOKUP(B486,#REF!,2,FALSE),"")</f>
        <v>#REF!</v>
      </c>
      <c r="AE486" s="55">
        <v>2</v>
      </c>
      <c r="AF486" s="55">
        <f t="shared" si="142"/>
        <v>-2</v>
      </c>
    </row>
    <row r="487" spans="1:32" s="55" customFormat="1" ht="60">
      <c r="A487" s="21" t="s">
        <v>1041</v>
      </c>
      <c r="B487" s="20">
        <v>91920</v>
      </c>
      <c r="C487" s="19" t="s">
        <v>1666</v>
      </c>
      <c r="D487" s="21" t="s">
        <v>12</v>
      </c>
      <c r="E487" s="21" t="s">
        <v>17</v>
      </c>
      <c r="F487" s="22">
        <v>2</v>
      </c>
      <c r="G487" s="22">
        <f t="shared" si="129"/>
        <v>11.942500000000001</v>
      </c>
      <c r="H487" s="22">
        <f t="shared" si="143"/>
        <v>15.14</v>
      </c>
      <c r="I487" s="147">
        <f t="shared" si="144"/>
        <v>30.28</v>
      </c>
      <c r="J487" s="148"/>
      <c r="K487" s="148"/>
      <c r="L487" s="148"/>
      <c r="M487" s="148">
        <v>13.3</v>
      </c>
      <c r="N487" s="148">
        <v>16.87</v>
      </c>
      <c r="O487" s="148">
        <v>33.74</v>
      </c>
      <c r="P487" s="494"/>
      <c r="Q487" s="147">
        <f t="shared" si="137"/>
        <v>0</v>
      </c>
      <c r="R487" s="148"/>
      <c r="S487" s="148">
        <f t="shared" si="138"/>
        <v>0</v>
      </c>
      <c r="T487" s="148">
        <f t="shared" si="146"/>
        <v>2</v>
      </c>
      <c r="U487" s="148">
        <f t="shared" si="145"/>
        <v>33.74</v>
      </c>
      <c r="V487" s="379"/>
      <c r="W487" s="379"/>
      <c r="X487" s="58" t="e">
        <f>IF(B487&lt;&gt;0,VLOOKUP(B487,#REF!,4,FALSE),"")</f>
        <v>#REF!</v>
      </c>
      <c r="Y487" s="334" t="s">
        <v>3207</v>
      </c>
      <c r="Z487" s="58">
        <f t="shared" si="130"/>
        <v>-2.1074999999999999</v>
      </c>
      <c r="AA487" s="58">
        <f t="shared" si="131"/>
        <v>23.885000000000002</v>
      </c>
      <c r="AB487" s="58"/>
      <c r="AC487" s="58">
        <f t="shared" si="132"/>
        <v>30.28</v>
      </c>
      <c r="AD487" s="58" t="e">
        <f>IF(B487&lt;&gt;0,VLOOKUP(B487,#REF!,2,FALSE),"")</f>
        <v>#REF!</v>
      </c>
      <c r="AE487" s="55">
        <v>6</v>
      </c>
      <c r="AF487" s="55">
        <f t="shared" si="142"/>
        <v>4</v>
      </c>
    </row>
    <row r="488" spans="1:32" s="55" customFormat="1" ht="60">
      <c r="A488" s="21" t="s">
        <v>1042</v>
      </c>
      <c r="B488" s="20">
        <v>91886</v>
      </c>
      <c r="C488" s="19" t="s">
        <v>1667</v>
      </c>
      <c r="D488" s="21" t="s">
        <v>12</v>
      </c>
      <c r="E488" s="21" t="s">
        <v>17</v>
      </c>
      <c r="F488" s="22">
        <v>6</v>
      </c>
      <c r="G488" s="22">
        <f t="shared" si="129"/>
        <v>7.5565000000000007</v>
      </c>
      <c r="H488" s="22">
        <f t="shared" si="143"/>
        <v>9.58</v>
      </c>
      <c r="I488" s="147">
        <f t="shared" si="144"/>
        <v>57.48</v>
      </c>
      <c r="J488" s="148"/>
      <c r="K488" s="148"/>
      <c r="L488" s="148"/>
      <c r="M488" s="148">
        <v>8.42</v>
      </c>
      <c r="N488" s="148">
        <v>10.68</v>
      </c>
      <c r="O488" s="148">
        <v>64.08</v>
      </c>
      <c r="P488" s="494"/>
      <c r="Q488" s="147">
        <f t="shared" si="137"/>
        <v>0</v>
      </c>
      <c r="R488" s="148"/>
      <c r="S488" s="148">
        <f t="shared" si="138"/>
        <v>0</v>
      </c>
      <c r="T488" s="148">
        <f t="shared" si="146"/>
        <v>6</v>
      </c>
      <c r="U488" s="148">
        <f t="shared" si="145"/>
        <v>64.08</v>
      </c>
      <c r="V488" s="379"/>
      <c r="W488" s="379"/>
      <c r="X488" s="58" t="e">
        <f>IF(B488&lt;&gt;0,VLOOKUP(B488,#REF!,4,FALSE),"")</f>
        <v>#REF!</v>
      </c>
      <c r="Y488" s="334" t="s">
        <v>1906</v>
      </c>
      <c r="Z488" s="58">
        <f t="shared" si="130"/>
        <v>-1.3334999999999999</v>
      </c>
      <c r="AA488" s="58">
        <f t="shared" si="131"/>
        <v>45.339000000000006</v>
      </c>
      <c r="AB488" s="58"/>
      <c r="AC488" s="58">
        <f t="shared" si="132"/>
        <v>57.480000000000004</v>
      </c>
      <c r="AD488" s="58" t="e">
        <f>IF(B488&lt;&gt;0,VLOOKUP(B488,#REF!,2,FALSE),"")</f>
        <v>#REF!</v>
      </c>
      <c r="AE488" s="55">
        <v>1</v>
      </c>
      <c r="AF488" s="55">
        <f t="shared" si="142"/>
        <v>-5</v>
      </c>
    </row>
    <row r="489" spans="1:32" s="55" customFormat="1" ht="32.25" customHeight="1">
      <c r="A489" s="21" t="s">
        <v>1043</v>
      </c>
      <c r="B489" s="20">
        <v>725</v>
      </c>
      <c r="C489" s="19" t="s">
        <v>207</v>
      </c>
      <c r="D489" s="21" t="s">
        <v>44</v>
      </c>
      <c r="E489" s="21" t="s">
        <v>17</v>
      </c>
      <c r="F489" s="22">
        <v>1</v>
      </c>
      <c r="G489" s="22">
        <f t="shared" si="129"/>
        <v>5.5419999999999998</v>
      </c>
      <c r="H489" s="22">
        <f t="shared" si="143"/>
        <v>7.03</v>
      </c>
      <c r="I489" s="147">
        <f t="shared" si="144"/>
        <v>7.03</v>
      </c>
      <c r="J489" s="148"/>
      <c r="K489" s="148"/>
      <c r="L489" s="148"/>
      <c r="M489" s="148">
        <v>6.17</v>
      </c>
      <c r="N489" s="148">
        <v>7.82</v>
      </c>
      <c r="O489" s="148">
        <v>7.82</v>
      </c>
      <c r="P489" s="494"/>
      <c r="Q489" s="147">
        <f t="shared" si="137"/>
        <v>0</v>
      </c>
      <c r="R489" s="148"/>
      <c r="S489" s="148">
        <f t="shared" si="138"/>
        <v>0</v>
      </c>
      <c r="T489" s="148">
        <f t="shared" si="146"/>
        <v>1</v>
      </c>
      <c r="U489" s="148">
        <f t="shared" si="145"/>
        <v>7.82</v>
      </c>
      <c r="V489" s="379"/>
      <c r="W489" s="379"/>
      <c r="X489" s="57">
        <f>'COMPOSIÇÃO DE CUSTOS'!G1172</f>
        <v>5.55</v>
      </c>
      <c r="Y489" s="334">
        <v>6.52</v>
      </c>
      <c r="Z489" s="58">
        <f t="shared" si="130"/>
        <v>-0.97799999999999976</v>
      </c>
      <c r="AA489" s="58">
        <f t="shared" si="131"/>
        <v>5.5419999999999998</v>
      </c>
      <c r="AB489" s="58"/>
      <c r="AC489" s="58">
        <f t="shared" si="132"/>
        <v>7.03</v>
      </c>
      <c r="AD489" s="58" t="e">
        <f>IF(B489&lt;&gt;0,VLOOKUP(B489,#REF!,2,FALSE),"")</f>
        <v>#REF!</v>
      </c>
      <c r="AE489" s="55">
        <v>46</v>
      </c>
      <c r="AF489" s="55">
        <f t="shared" si="142"/>
        <v>45</v>
      </c>
    </row>
    <row r="490" spans="1:32" ht="30">
      <c r="A490" s="21" t="s">
        <v>1044</v>
      </c>
      <c r="B490" s="20">
        <v>762</v>
      </c>
      <c r="C490" s="19" t="s">
        <v>1749</v>
      </c>
      <c r="D490" s="21" t="s">
        <v>44</v>
      </c>
      <c r="E490" s="21" t="s">
        <v>17</v>
      </c>
      <c r="F490" s="22">
        <v>46</v>
      </c>
      <c r="G490" s="22">
        <f t="shared" si="129"/>
        <v>57.230499999999999</v>
      </c>
      <c r="H490" s="22">
        <f t="shared" si="143"/>
        <v>72.569999999999993</v>
      </c>
      <c r="I490" s="147">
        <f t="shared" si="144"/>
        <v>3338.22</v>
      </c>
      <c r="J490" s="148"/>
      <c r="K490" s="148"/>
      <c r="L490" s="148"/>
      <c r="M490" s="148">
        <v>63.76</v>
      </c>
      <c r="N490" s="148">
        <v>80.849999999999994</v>
      </c>
      <c r="O490" s="148">
        <v>3719.1</v>
      </c>
      <c r="P490" s="494"/>
      <c r="Q490" s="147">
        <f t="shared" si="137"/>
        <v>0</v>
      </c>
      <c r="R490" s="148"/>
      <c r="S490" s="148">
        <f t="shared" si="138"/>
        <v>0</v>
      </c>
      <c r="T490" s="148">
        <f t="shared" si="146"/>
        <v>46</v>
      </c>
      <c r="U490" s="148">
        <f t="shared" si="145"/>
        <v>3719.1</v>
      </c>
      <c r="V490" s="379"/>
      <c r="W490" s="379"/>
      <c r="X490" s="57">
        <f>'COMPOSIÇÃO DE CUSTOS'!G1265</f>
        <v>57.23</v>
      </c>
      <c r="Y490" s="334">
        <v>67.33</v>
      </c>
      <c r="Z490" s="58">
        <f t="shared" si="130"/>
        <v>-10.099499999999999</v>
      </c>
      <c r="AA490" s="58">
        <f t="shared" si="131"/>
        <v>2632.6030000000001</v>
      </c>
      <c r="AB490" s="58"/>
      <c r="AC490" s="58">
        <f t="shared" si="132"/>
        <v>3338.22</v>
      </c>
      <c r="AD490" s="58" t="e">
        <f>IF(B490&lt;&gt;0,VLOOKUP(B490,#REF!,2,FALSE),"")</f>
        <v>#REF!</v>
      </c>
      <c r="AE490" s="2">
        <v>2</v>
      </c>
      <c r="AF490" s="55">
        <f t="shared" si="142"/>
        <v>-44</v>
      </c>
    </row>
    <row r="491" spans="1:32" ht="30">
      <c r="A491" s="21" t="s">
        <v>1045</v>
      </c>
      <c r="B491" s="20">
        <v>8443</v>
      </c>
      <c r="C491" s="19" t="s">
        <v>1759</v>
      </c>
      <c r="D491" s="21" t="s">
        <v>44</v>
      </c>
      <c r="E491" s="21" t="s">
        <v>17</v>
      </c>
      <c r="F491" s="22">
        <v>2</v>
      </c>
      <c r="G491" s="22">
        <f t="shared" si="129"/>
        <v>57.179499999999997</v>
      </c>
      <c r="H491" s="22">
        <f t="shared" si="143"/>
        <v>72.510000000000005</v>
      </c>
      <c r="I491" s="147">
        <f t="shared" si="144"/>
        <v>145.02000000000001</v>
      </c>
      <c r="J491" s="148"/>
      <c r="K491" s="148"/>
      <c r="L491" s="148"/>
      <c r="M491" s="148">
        <v>63.7</v>
      </c>
      <c r="N491" s="148">
        <v>80.78</v>
      </c>
      <c r="O491" s="148">
        <v>161.56</v>
      </c>
      <c r="P491" s="494"/>
      <c r="Q491" s="147">
        <f t="shared" si="137"/>
        <v>0</v>
      </c>
      <c r="R491" s="148"/>
      <c r="S491" s="148">
        <f t="shared" si="138"/>
        <v>0</v>
      </c>
      <c r="T491" s="148">
        <f t="shared" si="146"/>
        <v>2</v>
      </c>
      <c r="U491" s="148">
        <f t="shared" si="145"/>
        <v>161.56</v>
      </c>
      <c r="V491" s="379"/>
      <c r="W491" s="379"/>
      <c r="X491" s="57">
        <f>'COMPOSIÇÃO DE CUSTOS'!G1272</f>
        <v>57.18</v>
      </c>
      <c r="Y491" s="334">
        <v>67.27</v>
      </c>
      <c r="Z491" s="58">
        <f t="shared" si="130"/>
        <v>-10.090499999999999</v>
      </c>
      <c r="AA491" s="58">
        <f t="shared" si="131"/>
        <v>114.35899999999999</v>
      </c>
      <c r="AB491" s="58"/>
      <c r="AC491" s="58">
        <f t="shared" si="132"/>
        <v>145.02000000000001</v>
      </c>
      <c r="AD491" s="58" t="e">
        <f>IF(B491&lt;&gt;0,VLOOKUP(B491,#REF!,2,FALSE),"")</f>
        <v>#REF!</v>
      </c>
      <c r="AE491" s="2">
        <v>3</v>
      </c>
      <c r="AF491" s="55">
        <f t="shared" si="142"/>
        <v>1</v>
      </c>
    </row>
    <row r="492" spans="1:32" ht="30">
      <c r="A492" s="21" t="s">
        <v>1046</v>
      </c>
      <c r="B492" s="20">
        <v>8113</v>
      </c>
      <c r="C492" s="19" t="s">
        <v>1750</v>
      </c>
      <c r="D492" s="21" t="s">
        <v>44</v>
      </c>
      <c r="E492" s="21" t="s">
        <v>17</v>
      </c>
      <c r="F492" s="22">
        <v>3</v>
      </c>
      <c r="G492" s="22">
        <f t="shared" ref="G492:G555" si="147">Y492-(Y492*$Z$14)</f>
        <v>35.929500000000004</v>
      </c>
      <c r="H492" s="22">
        <f t="shared" si="143"/>
        <v>45.56</v>
      </c>
      <c r="I492" s="147">
        <f t="shared" si="144"/>
        <v>136.68</v>
      </c>
      <c r="J492" s="148"/>
      <c r="K492" s="148"/>
      <c r="L492" s="148"/>
      <c r="M492" s="148">
        <v>40.03</v>
      </c>
      <c r="N492" s="148">
        <v>50.76</v>
      </c>
      <c r="O492" s="148">
        <v>152.28</v>
      </c>
      <c r="P492" s="494"/>
      <c r="Q492" s="147">
        <f t="shared" si="137"/>
        <v>0</v>
      </c>
      <c r="R492" s="148"/>
      <c r="S492" s="148">
        <f t="shared" si="138"/>
        <v>0</v>
      </c>
      <c r="T492" s="148">
        <f t="shared" si="146"/>
        <v>3</v>
      </c>
      <c r="U492" s="148">
        <f t="shared" si="145"/>
        <v>152.28</v>
      </c>
      <c r="V492" s="379"/>
      <c r="W492" s="379"/>
      <c r="X492" s="57">
        <f>'COMPOSIÇÃO DE CUSTOS'!G1300</f>
        <v>35.93</v>
      </c>
      <c r="Y492" s="334">
        <v>42.27</v>
      </c>
      <c r="Z492" s="58">
        <f t="shared" ref="Z492:Z555" si="148">G492-Y492</f>
        <v>-6.3404999999999987</v>
      </c>
      <c r="AA492" s="58">
        <f t="shared" ref="AA492:AA555" si="149">F492*G492</f>
        <v>107.78850000000001</v>
      </c>
      <c r="AB492" s="58"/>
      <c r="AC492" s="58">
        <f t="shared" ref="AC492:AC555" si="150">F492*H492</f>
        <v>136.68</v>
      </c>
      <c r="AD492" s="58" t="e">
        <f>IF(B492&lt;&gt;0,VLOOKUP(B492,#REF!,2,FALSE),"")</f>
        <v>#REF!</v>
      </c>
      <c r="AE492" s="2">
        <v>15</v>
      </c>
      <c r="AF492" s="55">
        <f t="shared" si="142"/>
        <v>12</v>
      </c>
    </row>
    <row r="493" spans="1:32" s="55" customFormat="1" ht="30">
      <c r="A493" s="21" t="s">
        <v>1047</v>
      </c>
      <c r="B493" s="20">
        <v>748</v>
      </c>
      <c r="C493" s="19" t="s">
        <v>201</v>
      </c>
      <c r="D493" s="21" t="s">
        <v>44</v>
      </c>
      <c r="E493" s="21" t="s">
        <v>17</v>
      </c>
      <c r="F493" s="22">
        <v>15</v>
      </c>
      <c r="G493" s="22">
        <f t="shared" si="147"/>
        <v>70.473500000000001</v>
      </c>
      <c r="H493" s="22">
        <f t="shared" si="143"/>
        <v>89.37</v>
      </c>
      <c r="I493" s="147">
        <f t="shared" si="144"/>
        <v>1340.55</v>
      </c>
      <c r="J493" s="148"/>
      <c r="K493" s="148"/>
      <c r="L493" s="148"/>
      <c r="M493" s="148">
        <v>78.510000000000005</v>
      </c>
      <c r="N493" s="148">
        <v>99.56</v>
      </c>
      <c r="O493" s="148">
        <v>1493.4</v>
      </c>
      <c r="P493" s="494"/>
      <c r="Q493" s="147">
        <f t="shared" si="137"/>
        <v>0</v>
      </c>
      <c r="R493" s="148"/>
      <c r="S493" s="148">
        <f t="shared" si="138"/>
        <v>0</v>
      </c>
      <c r="T493" s="148">
        <f t="shared" si="146"/>
        <v>15</v>
      </c>
      <c r="U493" s="148">
        <f t="shared" si="145"/>
        <v>1493.4</v>
      </c>
      <c r="V493" s="379"/>
      <c r="W493" s="379"/>
      <c r="X493" s="57">
        <f>'COMPOSIÇÃO DE CUSTOS'!G1053</f>
        <v>70.47</v>
      </c>
      <c r="Y493" s="334">
        <v>82.91</v>
      </c>
      <c r="Z493" s="58">
        <f t="shared" si="148"/>
        <v>-12.436499999999995</v>
      </c>
      <c r="AA493" s="58">
        <f t="shared" si="149"/>
        <v>1057.1025</v>
      </c>
      <c r="AB493" s="58"/>
      <c r="AC493" s="58">
        <f t="shared" si="150"/>
        <v>1340.5500000000002</v>
      </c>
      <c r="AD493" s="58" t="e">
        <f>IF(B493&lt;&gt;0,VLOOKUP(B493,#REF!,2,FALSE),"")</f>
        <v>#REF!</v>
      </c>
      <c r="AE493" s="55">
        <v>4</v>
      </c>
      <c r="AF493" s="55">
        <f t="shared" si="142"/>
        <v>-11</v>
      </c>
    </row>
    <row r="494" spans="1:32" s="55" customFormat="1" ht="33" customHeight="1">
      <c r="A494" s="21" t="s">
        <v>1048</v>
      </c>
      <c r="B494" s="20">
        <v>9280</v>
      </c>
      <c r="C494" s="19" t="s">
        <v>1743</v>
      </c>
      <c r="D494" s="21" t="s">
        <v>44</v>
      </c>
      <c r="E494" s="21" t="s">
        <v>17</v>
      </c>
      <c r="F494" s="22">
        <v>4</v>
      </c>
      <c r="G494" s="22">
        <f t="shared" si="147"/>
        <v>52.173000000000002</v>
      </c>
      <c r="H494" s="22">
        <f t="shared" si="143"/>
        <v>66.16</v>
      </c>
      <c r="I494" s="147">
        <f t="shared" si="144"/>
        <v>264.64</v>
      </c>
      <c r="J494" s="148"/>
      <c r="K494" s="148"/>
      <c r="L494" s="148"/>
      <c r="M494" s="148">
        <v>58.12</v>
      </c>
      <c r="N494" s="148">
        <v>73.7</v>
      </c>
      <c r="O494" s="148">
        <v>294.8</v>
      </c>
      <c r="P494" s="494"/>
      <c r="Q494" s="147">
        <f t="shared" si="137"/>
        <v>0</v>
      </c>
      <c r="R494" s="148"/>
      <c r="S494" s="148">
        <f t="shared" si="138"/>
        <v>0</v>
      </c>
      <c r="T494" s="148">
        <f t="shared" si="146"/>
        <v>4</v>
      </c>
      <c r="U494" s="148">
        <f t="shared" si="145"/>
        <v>294.8</v>
      </c>
      <c r="V494" s="379"/>
      <c r="W494" s="379"/>
      <c r="X494" s="57">
        <f>'COMPOSIÇÃO DE CUSTOS'!G1074</f>
        <v>52.17</v>
      </c>
      <c r="Y494" s="334">
        <v>61.38</v>
      </c>
      <c r="Z494" s="58">
        <f t="shared" si="148"/>
        <v>-9.2070000000000007</v>
      </c>
      <c r="AA494" s="58">
        <f t="shared" si="149"/>
        <v>208.69200000000001</v>
      </c>
      <c r="AB494" s="58"/>
      <c r="AC494" s="58">
        <f t="shared" si="150"/>
        <v>264.64</v>
      </c>
      <c r="AD494" s="58" t="e">
        <f>IF(B494&lt;&gt;0,VLOOKUP(B494,#REF!,2,FALSE),"")</f>
        <v>#REF!</v>
      </c>
      <c r="AE494" s="55">
        <v>4</v>
      </c>
      <c r="AF494" s="55">
        <f t="shared" si="142"/>
        <v>0</v>
      </c>
    </row>
    <row r="495" spans="1:32" s="55" customFormat="1" ht="36.75" customHeight="1">
      <c r="A495" s="21" t="s">
        <v>1049</v>
      </c>
      <c r="B495" s="20" t="s">
        <v>2229</v>
      </c>
      <c r="C495" s="19" t="s">
        <v>1744</v>
      </c>
      <c r="D495" s="21" t="s">
        <v>1914</v>
      </c>
      <c r="E495" s="21" t="s">
        <v>17</v>
      </c>
      <c r="F495" s="22">
        <v>4</v>
      </c>
      <c r="G495" s="22">
        <f t="shared" si="147"/>
        <v>15.614500000000001</v>
      </c>
      <c r="H495" s="22">
        <f t="shared" si="143"/>
        <v>19.8</v>
      </c>
      <c r="I495" s="147">
        <f t="shared" si="144"/>
        <v>79.2</v>
      </c>
      <c r="J495" s="148"/>
      <c r="K495" s="148"/>
      <c r="L495" s="148"/>
      <c r="M495" s="148">
        <v>17.39</v>
      </c>
      <c r="N495" s="148">
        <v>22.05</v>
      </c>
      <c r="O495" s="148">
        <v>88.2</v>
      </c>
      <c r="P495" s="494"/>
      <c r="Q495" s="147">
        <f t="shared" si="137"/>
        <v>0</v>
      </c>
      <c r="R495" s="148"/>
      <c r="S495" s="148">
        <f t="shared" si="138"/>
        <v>0</v>
      </c>
      <c r="T495" s="148">
        <f t="shared" si="146"/>
        <v>4</v>
      </c>
      <c r="U495" s="148">
        <f t="shared" si="145"/>
        <v>88.2</v>
      </c>
      <c r="V495" s="379"/>
      <c r="W495" s="379"/>
      <c r="X495" s="57">
        <f>'COMPOSIÇÃO DE CUSTOS'!G1081</f>
        <v>15.61</v>
      </c>
      <c r="Y495" s="334">
        <v>18.37</v>
      </c>
      <c r="Z495" s="58">
        <f t="shared" si="148"/>
        <v>-2.7554999999999996</v>
      </c>
      <c r="AA495" s="58">
        <f t="shared" si="149"/>
        <v>62.458000000000006</v>
      </c>
      <c r="AB495" s="58"/>
      <c r="AC495" s="58">
        <f t="shared" si="150"/>
        <v>79.2</v>
      </c>
      <c r="AD495" s="58" t="e">
        <f>IF(B495&lt;&gt;0,VLOOKUP(B495,#REF!,2,FALSE),"")</f>
        <v>#REF!</v>
      </c>
      <c r="AE495" s="55">
        <v>4</v>
      </c>
      <c r="AF495" s="55">
        <f t="shared" si="142"/>
        <v>0</v>
      </c>
    </row>
    <row r="496" spans="1:32" ht="29.25" customHeight="1">
      <c r="A496" s="21" t="s">
        <v>1050</v>
      </c>
      <c r="B496" s="20">
        <v>11290</v>
      </c>
      <c r="C496" s="19" t="s">
        <v>202</v>
      </c>
      <c r="D496" s="21" t="s">
        <v>44</v>
      </c>
      <c r="E496" s="21" t="s">
        <v>17</v>
      </c>
      <c r="F496" s="22">
        <v>4</v>
      </c>
      <c r="G496" s="22">
        <f t="shared" si="147"/>
        <v>49.835500000000003</v>
      </c>
      <c r="H496" s="22">
        <f t="shared" si="143"/>
        <v>63.2</v>
      </c>
      <c r="I496" s="147">
        <f t="shared" si="144"/>
        <v>252.8</v>
      </c>
      <c r="J496" s="148"/>
      <c r="K496" s="148"/>
      <c r="L496" s="148"/>
      <c r="M496" s="148">
        <v>55.52</v>
      </c>
      <c r="N496" s="148">
        <v>70.400000000000006</v>
      </c>
      <c r="O496" s="148">
        <v>281.60000000000002</v>
      </c>
      <c r="P496" s="494"/>
      <c r="Q496" s="147">
        <f t="shared" si="137"/>
        <v>0</v>
      </c>
      <c r="R496" s="148"/>
      <c r="S496" s="148">
        <f t="shared" si="138"/>
        <v>0</v>
      </c>
      <c r="T496" s="148">
        <f t="shared" si="146"/>
        <v>4</v>
      </c>
      <c r="U496" s="148">
        <f t="shared" si="145"/>
        <v>281.60000000000002</v>
      </c>
      <c r="V496" s="379"/>
      <c r="W496" s="379"/>
      <c r="X496" s="57">
        <f>'COMPOSIÇÃO DE CUSTOS'!G1060</f>
        <v>49.83</v>
      </c>
      <c r="Y496" s="334">
        <v>58.63</v>
      </c>
      <c r="Z496" s="58">
        <f t="shared" si="148"/>
        <v>-8.7944999999999993</v>
      </c>
      <c r="AA496" s="58">
        <f t="shared" si="149"/>
        <v>199.34200000000001</v>
      </c>
      <c r="AB496" s="58"/>
      <c r="AC496" s="58">
        <f t="shared" si="150"/>
        <v>252.8</v>
      </c>
      <c r="AD496" s="58" t="e">
        <f>IF(B496&lt;&gt;0,VLOOKUP(B496,#REF!,2,FALSE),"")</f>
        <v>#REF!</v>
      </c>
      <c r="AE496" s="2">
        <v>2</v>
      </c>
      <c r="AF496" s="55">
        <f t="shared" si="142"/>
        <v>-2</v>
      </c>
    </row>
    <row r="497" spans="1:32" s="38" customFormat="1" ht="39.75" customHeight="1">
      <c r="A497" s="21" t="s">
        <v>1051</v>
      </c>
      <c r="B497" s="20">
        <v>11548</v>
      </c>
      <c r="C497" s="19" t="s">
        <v>1755</v>
      </c>
      <c r="D497" s="21" t="s">
        <v>44</v>
      </c>
      <c r="E497" s="21" t="s">
        <v>17</v>
      </c>
      <c r="F497" s="22">
        <v>2</v>
      </c>
      <c r="G497" s="22">
        <f t="shared" si="147"/>
        <v>39.967000000000006</v>
      </c>
      <c r="H497" s="22">
        <f t="shared" si="143"/>
        <v>50.68</v>
      </c>
      <c r="I497" s="147">
        <f t="shared" si="144"/>
        <v>101.36</v>
      </c>
      <c r="J497" s="148"/>
      <c r="K497" s="148"/>
      <c r="L497" s="148"/>
      <c r="M497" s="148">
        <v>44.52</v>
      </c>
      <c r="N497" s="148">
        <v>56.46</v>
      </c>
      <c r="O497" s="148">
        <v>112.92</v>
      </c>
      <c r="P497" s="494"/>
      <c r="Q497" s="147">
        <f t="shared" si="137"/>
        <v>0</v>
      </c>
      <c r="R497" s="148"/>
      <c r="S497" s="148">
        <f t="shared" si="138"/>
        <v>0</v>
      </c>
      <c r="T497" s="148">
        <f t="shared" si="146"/>
        <v>2</v>
      </c>
      <c r="U497" s="148">
        <f t="shared" si="145"/>
        <v>112.92</v>
      </c>
      <c r="V497" s="379"/>
      <c r="W497" s="379"/>
      <c r="X497" s="57">
        <f>'COMPOSIÇÃO DE CUSTOS'!G1067</f>
        <v>39.96</v>
      </c>
      <c r="Y497" s="334">
        <v>47.02</v>
      </c>
      <c r="Z497" s="58">
        <f t="shared" si="148"/>
        <v>-7.0529999999999973</v>
      </c>
      <c r="AA497" s="58">
        <f t="shared" si="149"/>
        <v>79.934000000000012</v>
      </c>
      <c r="AB497" s="58"/>
      <c r="AC497" s="58">
        <f t="shared" si="150"/>
        <v>101.36</v>
      </c>
      <c r="AD497" s="58" t="e">
        <f>IF(B497&lt;&gt;0,VLOOKUP(B497,#REF!,2,FALSE),"")</f>
        <v>#REF!</v>
      </c>
      <c r="AE497" s="38">
        <v>5</v>
      </c>
      <c r="AF497" s="55">
        <f t="shared" si="142"/>
        <v>3</v>
      </c>
    </row>
    <row r="498" spans="1:32" s="55" customFormat="1" ht="93.75" customHeight="1">
      <c r="A498" s="21" t="s">
        <v>2612</v>
      </c>
      <c r="B498" s="20">
        <v>90091</v>
      </c>
      <c r="C498" s="19" t="s">
        <v>1705</v>
      </c>
      <c r="D498" s="21" t="s">
        <v>12</v>
      </c>
      <c r="E498" s="21" t="s">
        <v>35</v>
      </c>
      <c r="F498" s="22">
        <v>5</v>
      </c>
      <c r="G498" s="22">
        <f t="shared" si="147"/>
        <v>3.5105</v>
      </c>
      <c r="H498" s="22">
        <f t="shared" si="143"/>
        <v>4.45</v>
      </c>
      <c r="I498" s="147">
        <f t="shared" si="144"/>
        <v>22.25</v>
      </c>
      <c r="J498" s="148"/>
      <c r="K498" s="148"/>
      <c r="L498" s="148"/>
      <c r="M498" s="148">
        <v>3.91</v>
      </c>
      <c r="N498" s="148">
        <v>4.96</v>
      </c>
      <c r="O498" s="148">
        <v>24.8</v>
      </c>
      <c r="P498" s="494"/>
      <c r="Q498" s="147">
        <f t="shared" si="137"/>
        <v>0</v>
      </c>
      <c r="R498" s="148"/>
      <c r="S498" s="148">
        <f t="shared" si="138"/>
        <v>0</v>
      </c>
      <c r="T498" s="148">
        <f t="shared" si="146"/>
        <v>5</v>
      </c>
      <c r="U498" s="148">
        <f t="shared" si="145"/>
        <v>24.8</v>
      </c>
      <c r="V498" s="379"/>
      <c r="W498" s="379"/>
      <c r="X498" s="58" t="e">
        <f>IF(B498&lt;&gt;0,VLOOKUP(B498,#REF!,4,FALSE),"")</f>
        <v>#REF!</v>
      </c>
      <c r="Y498" s="334" t="s">
        <v>1866</v>
      </c>
      <c r="Z498" s="58">
        <f t="shared" si="148"/>
        <v>-0.61949999999999994</v>
      </c>
      <c r="AA498" s="58">
        <f t="shared" si="149"/>
        <v>17.552499999999998</v>
      </c>
      <c r="AB498" s="58"/>
      <c r="AC498" s="58">
        <f t="shared" si="150"/>
        <v>22.25</v>
      </c>
      <c r="AD498" s="58" t="e">
        <f>IF(B498&lt;&gt;0,VLOOKUP(B498,#REF!,2,FALSE),"")</f>
        <v>#REF!</v>
      </c>
      <c r="AE498" s="55">
        <v>5</v>
      </c>
      <c r="AF498" s="55">
        <f t="shared" si="142"/>
        <v>0</v>
      </c>
    </row>
    <row r="499" spans="1:32" s="55" customFormat="1" ht="90">
      <c r="A499" s="21" t="s">
        <v>2613</v>
      </c>
      <c r="B499" s="20">
        <v>93368</v>
      </c>
      <c r="C499" s="19" t="s">
        <v>1706</v>
      </c>
      <c r="D499" s="21" t="s">
        <v>12</v>
      </c>
      <c r="E499" s="21" t="s">
        <v>35</v>
      </c>
      <c r="F499" s="22">
        <v>5</v>
      </c>
      <c r="G499" s="22">
        <f t="shared" si="147"/>
        <v>10.531500000000001</v>
      </c>
      <c r="H499" s="22">
        <f t="shared" si="143"/>
        <v>13.35</v>
      </c>
      <c r="I499" s="147">
        <f t="shared" si="144"/>
        <v>66.75</v>
      </c>
      <c r="J499" s="148"/>
      <c r="K499" s="148"/>
      <c r="L499" s="148"/>
      <c r="M499" s="148">
        <v>11.73</v>
      </c>
      <c r="N499" s="148">
        <v>14.87</v>
      </c>
      <c r="O499" s="148">
        <v>74.349999999999994</v>
      </c>
      <c r="P499" s="494"/>
      <c r="Q499" s="147">
        <f t="shared" si="137"/>
        <v>0</v>
      </c>
      <c r="R499" s="148"/>
      <c r="S499" s="148">
        <f t="shared" si="138"/>
        <v>0</v>
      </c>
      <c r="T499" s="148">
        <f t="shared" si="146"/>
        <v>5</v>
      </c>
      <c r="U499" s="148">
        <f t="shared" si="145"/>
        <v>74.349999999999994</v>
      </c>
      <c r="V499" s="379"/>
      <c r="W499" s="379"/>
      <c r="X499" s="58" t="e">
        <f>IF(B499&lt;&gt;0,VLOOKUP(B499,#REF!,4,FALSE),"")</f>
        <v>#REF!</v>
      </c>
      <c r="Y499" s="334" t="s">
        <v>3109</v>
      </c>
      <c r="Z499" s="58">
        <f t="shared" si="148"/>
        <v>-1.8584999999999994</v>
      </c>
      <c r="AA499" s="58">
        <f t="shared" si="149"/>
        <v>52.657500000000006</v>
      </c>
      <c r="AB499" s="58"/>
      <c r="AC499" s="58">
        <f t="shared" si="150"/>
        <v>66.75</v>
      </c>
      <c r="AD499" s="58" t="e">
        <f>IF(B499&lt;&gt;0,VLOOKUP(B499,#REF!,2,FALSE),"")</f>
        <v>#REF!</v>
      </c>
      <c r="AF499" s="55">
        <f t="shared" si="142"/>
        <v>-5</v>
      </c>
    </row>
    <row r="500" spans="1:32" s="55" customFormat="1">
      <c r="A500" s="69" t="s">
        <v>1052</v>
      </c>
      <c r="B500" s="129"/>
      <c r="C500" s="229" t="s">
        <v>214</v>
      </c>
      <c r="D500" s="230"/>
      <c r="E500" s="230"/>
      <c r="F500" s="230"/>
      <c r="G500" s="22"/>
      <c r="H500" s="230"/>
      <c r="I500" s="445"/>
      <c r="J500" s="440"/>
      <c r="K500" s="440"/>
      <c r="L500" s="440"/>
      <c r="M500" s="440"/>
      <c r="N500" s="440"/>
      <c r="O500" s="440"/>
      <c r="P500" s="492"/>
      <c r="Q500" s="147">
        <f t="shared" si="137"/>
        <v>0</v>
      </c>
      <c r="R500" s="440"/>
      <c r="S500" s="148">
        <f t="shared" si="138"/>
        <v>0</v>
      </c>
      <c r="T500" s="148" t="str">
        <f t="shared" si="146"/>
        <v xml:space="preserve"> </v>
      </c>
      <c r="U500" s="148">
        <f t="shared" si="145"/>
        <v>0</v>
      </c>
      <c r="V500" s="330"/>
      <c r="W500" s="330"/>
      <c r="X500" s="57" t="str">
        <f>IF(B500&lt;&gt;0,VLOOKUP(B500,#REF!,4,FALSE),"")</f>
        <v/>
      </c>
      <c r="Y500" s="334" t="s">
        <v>1891</v>
      </c>
      <c r="Z500" s="58"/>
      <c r="AA500" s="58">
        <f t="shared" si="149"/>
        <v>0</v>
      </c>
      <c r="AB500" s="58"/>
      <c r="AC500" s="58">
        <f t="shared" si="150"/>
        <v>0</v>
      </c>
      <c r="AD500" s="58" t="str">
        <f>IF(B500&lt;&gt;0,VLOOKUP(B500,#REF!,2,FALSE),"")</f>
        <v/>
      </c>
      <c r="AE500" s="55">
        <v>6008</v>
      </c>
      <c r="AF500" s="55">
        <f t="shared" si="142"/>
        <v>6008</v>
      </c>
    </row>
    <row r="501" spans="1:32" s="38" customFormat="1" ht="45">
      <c r="A501" s="447" t="s">
        <v>1053</v>
      </c>
      <c r="B501" s="448">
        <v>98297</v>
      </c>
      <c r="C501" s="449" t="s">
        <v>2504</v>
      </c>
      <c r="D501" s="447" t="s">
        <v>12</v>
      </c>
      <c r="E501" s="447" t="s">
        <v>52</v>
      </c>
      <c r="F501" s="450">
        <v>6008</v>
      </c>
      <c r="G501" s="450">
        <f t="shared" si="147"/>
        <v>1.7765</v>
      </c>
      <c r="H501" s="450">
        <f>ROUND(G501*(1+$X$13),2)</f>
        <v>2.25</v>
      </c>
      <c r="I501" s="451">
        <f>ROUND(H501*F501,2)</f>
        <v>13518</v>
      </c>
      <c r="J501" s="452"/>
      <c r="K501" s="452"/>
      <c r="L501" s="452"/>
      <c r="M501" s="452">
        <v>3.74</v>
      </c>
      <c r="N501" s="452">
        <v>4.74</v>
      </c>
      <c r="O501" s="452">
        <v>28477.919999999998</v>
      </c>
      <c r="P501" s="493">
        <v>200</v>
      </c>
      <c r="Q501" s="451">
        <f t="shared" si="137"/>
        <v>948</v>
      </c>
      <c r="R501" s="452"/>
      <c r="S501" s="452">
        <f t="shared" si="138"/>
        <v>0</v>
      </c>
      <c r="T501" s="452">
        <f t="shared" si="146"/>
        <v>6208</v>
      </c>
      <c r="U501" s="452">
        <f t="shared" si="145"/>
        <v>29425.919999999998</v>
      </c>
      <c r="V501" s="453"/>
      <c r="W501" s="453"/>
      <c r="X501" s="39" t="e">
        <f>IF(B501&lt;&gt;0,VLOOKUP(B501,#REF!,4,FALSE),"")</f>
        <v>#REF!</v>
      </c>
      <c r="Y501" s="336" t="s">
        <v>2642</v>
      </c>
      <c r="Z501" s="39">
        <f t="shared" si="148"/>
        <v>-0.31349999999999989</v>
      </c>
      <c r="AA501" s="39">
        <f t="shared" si="149"/>
        <v>10673.212</v>
      </c>
      <c r="AB501" s="39"/>
      <c r="AC501" s="39">
        <f t="shared" si="150"/>
        <v>13518</v>
      </c>
      <c r="AD501" s="39" t="e">
        <f>IF(B501&lt;&gt;0,VLOOKUP(B501,#REF!,2,FALSE),"")</f>
        <v>#REF!</v>
      </c>
      <c r="AE501" s="38">
        <v>558</v>
      </c>
      <c r="AF501" s="38">
        <f t="shared" si="142"/>
        <v>-5450</v>
      </c>
    </row>
    <row r="502" spans="1:32" s="55" customFormat="1" ht="30">
      <c r="A502" s="21" t="s">
        <v>1054</v>
      </c>
      <c r="B502" s="20" t="s">
        <v>2393</v>
      </c>
      <c r="C502" s="19" t="s">
        <v>2392</v>
      </c>
      <c r="D502" s="21" t="s">
        <v>1914</v>
      </c>
      <c r="E502" s="21" t="s">
        <v>52</v>
      </c>
      <c r="F502" s="22">
        <v>858</v>
      </c>
      <c r="G502" s="22">
        <f t="shared" si="147"/>
        <v>61.735499999999995</v>
      </c>
      <c r="H502" s="22">
        <f>ROUND(G502*(1+$X$13),2)</f>
        <v>78.290000000000006</v>
      </c>
      <c r="I502" s="147">
        <f>ROUND(H502*F502,2)</f>
        <v>67172.820000000007</v>
      </c>
      <c r="J502" s="148"/>
      <c r="K502" s="148"/>
      <c r="L502" s="148"/>
      <c r="M502" s="148">
        <v>77.03</v>
      </c>
      <c r="N502" s="148">
        <v>97.68</v>
      </c>
      <c r="O502" s="148">
        <v>83809.440000000002</v>
      </c>
      <c r="P502" s="494"/>
      <c r="Q502" s="147">
        <f t="shared" si="137"/>
        <v>0</v>
      </c>
      <c r="R502" s="148"/>
      <c r="S502" s="148">
        <f t="shared" si="138"/>
        <v>0</v>
      </c>
      <c r="T502" s="148">
        <f t="shared" si="146"/>
        <v>858</v>
      </c>
      <c r="U502" s="148">
        <f t="shared" si="145"/>
        <v>83809.440000000002</v>
      </c>
      <c r="V502" s="379"/>
      <c r="W502" s="379"/>
      <c r="X502" s="57">
        <f>'COMPOSIÇÃO DE CUSTOS'!G1838</f>
        <v>61.73</v>
      </c>
      <c r="Y502" s="334">
        <v>72.63</v>
      </c>
      <c r="Z502" s="58">
        <f t="shared" si="148"/>
        <v>-10.894500000000001</v>
      </c>
      <c r="AA502" s="58">
        <f t="shared" si="149"/>
        <v>52969.058999999994</v>
      </c>
      <c r="AB502" s="58"/>
      <c r="AC502" s="58">
        <f t="shared" si="150"/>
        <v>67172.820000000007</v>
      </c>
      <c r="AD502" s="58" t="e">
        <f>IF(B502&lt;&gt;0,VLOOKUP(B502,#REF!,2,FALSE),"")</f>
        <v>#REF!</v>
      </c>
      <c r="AE502" s="55">
        <v>608</v>
      </c>
      <c r="AF502" s="55">
        <f t="shared" si="142"/>
        <v>-250</v>
      </c>
    </row>
    <row r="503" spans="1:32" s="55" customFormat="1" ht="45">
      <c r="A503" s="235" t="s">
        <v>3553</v>
      </c>
      <c r="B503" s="20">
        <v>98270</v>
      </c>
      <c r="C503" s="439" t="s">
        <v>3554</v>
      </c>
      <c r="D503" s="21" t="s">
        <v>12</v>
      </c>
      <c r="E503" s="21" t="s">
        <v>52</v>
      </c>
      <c r="F503" s="22">
        <v>608</v>
      </c>
      <c r="G503" s="22">
        <f t="shared" si="147"/>
        <v>33.464500000000001</v>
      </c>
      <c r="H503" s="22">
        <f>ROUND(G503*(1+$X$13),2)</f>
        <v>42.44</v>
      </c>
      <c r="I503" s="147">
        <f>ROUND(H503*F503,2)</f>
        <v>25803.52</v>
      </c>
      <c r="J503" s="148"/>
      <c r="K503" s="148"/>
      <c r="L503" s="148"/>
      <c r="M503" s="148">
        <v>48.41</v>
      </c>
      <c r="N503" s="148">
        <v>61.39</v>
      </c>
      <c r="O503" s="148">
        <v>37325.120000000003</v>
      </c>
      <c r="P503" s="494"/>
      <c r="Q503" s="147">
        <f t="shared" si="137"/>
        <v>0</v>
      </c>
      <c r="R503" s="148"/>
      <c r="S503" s="148">
        <f t="shared" si="138"/>
        <v>0</v>
      </c>
      <c r="T503" s="148">
        <f t="shared" si="146"/>
        <v>608</v>
      </c>
      <c r="U503" s="148">
        <f t="shared" si="145"/>
        <v>37325.120000000003</v>
      </c>
      <c r="V503" s="379"/>
      <c r="W503" s="379"/>
      <c r="X503" s="58" t="e">
        <f>IF(B503&lt;&gt;0,VLOOKUP(B503,#REF!,4,FALSE),"")</f>
        <v>#REF!</v>
      </c>
      <c r="Y503" s="334" t="s">
        <v>1880</v>
      </c>
      <c r="Z503" s="58">
        <f t="shared" si="148"/>
        <v>-5.9054999999999964</v>
      </c>
      <c r="AA503" s="58">
        <f t="shared" si="149"/>
        <v>20346.416000000001</v>
      </c>
      <c r="AB503" s="58"/>
      <c r="AC503" s="58">
        <f t="shared" si="150"/>
        <v>25803.519999999997</v>
      </c>
      <c r="AD503" s="58" t="e">
        <f>IF(B503&lt;&gt;0,VLOOKUP(B503,#REF!,2,FALSE),"")</f>
        <v>#REF!</v>
      </c>
      <c r="AF503" s="55">
        <f t="shared" si="142"/>
        <v>-608</v>
      </c>
    </row>
    <row r="504" spans="1:32" s="55" customFormat="1">
      <c r="A504" s="69" t="s">
        <v>1056</v>
      </c>
      <c r="B504" s="129"/>
      <c r="C504" s="229" t="s">
        <v>227</v>
      </c>
      <c r="D504" s="230"/>
      <c r="E504" s="230"/>
      <c r="F504" s="230"/>
      <c r="G504" s="22"/>
      <c r="H504" s="230"/>
      <c r="I504" s="445"/>
      <c r="J504" s="440"/>
      <c r="K504" s="440"/>
      <c r="L504" s="440"/>
      <c r="M504" s="440"/>
      <c r="N504" s="440"/>
      <c r="O504" s="440"/>
      <c r="P504" s="492"/>
      <c r="Q504" s="147">
        <f t="shared" si="137"/>
        <v>0</v>
      </c>
      <c r="R504" s="440"/>
      <c r="S504" s="148">
        <f t="shared" si="138"/>
        <v>0</v>
      </c>
      <c r="T504" s="148" t="str">
        <f t="shared" si="146"/>
        <v xml:space="preserve"> </v>
      </c>
      <c r="U504" s="148">
        <f t="shared" si="145"/>
        <v>0</v>
      </c>
      <c r="V504" s="330"/>
      <c r="W504" s="330"/>
      <c r="X504" s="58" t="str">
        <f>IF(B504&lt;&gt;0,VLOOKUP(B504,#REF!,4,FALSE),"")</f>
        <v/>
      </c>
      <c r="Y504" s="334" t="s">
        <v>1891</v>
      </c>
      <c r="Z504" s="58"/>
      <c r="AA504" s="58">
        <f t="shared" si="149"/>
        <v>0</v>
      </c>
      <c r="AB504" s="58"/>
      <c r="AC504" s="58">
        <f t="shared" si="150"/>
        <v>0</v>
      </c>
      <c r="AD504" s="58" t="str">
        <f>IF(B504&lt;&gt;0,VLOOKUP(B504,#REF!,2,FALSE),"")</f>
        <v/>
      </c>
      <c r="AE504" s="55">
        <v>10</v>
      </c>
      <c r="AF504" s="55">
        <f t="shared" si="142"/>
        <v>10</v>
      </c>
    </row>
    <row r="505" spans="1:32" s="55" customFormat="1" ht="30">
      <c r="A505" s="21" t="s">
        <v>1057</v>
      </c>
      <c r="B505" s="20">
        <v>11214</v>
      </c>
      <c r="C505" s="19" t="s">
        <v>1965</v>
      </c>
      <c r="D505" s="21" t="s">
        <v>44</v>
      </c>
      <c r="E505" s="21" t="s">
        <v>17</v>
      </c>
      <c r="F505" s="22">
        <v>10</v>
      </c>
      <c r="G505" s="22">
        <f t="shared" si="147"/>
        <v>47.183499999999995</v>
      </c>
      <c r="H505" s="22">
        <f>ROUND(G505*(1+$X$13),2)</f>
        <v>59.83</v>
      </c>
      <c r="I505" s="147">
        <f>ROUND(H505*F505,2)</f>
        <v>598.29999999999995</v>
      </c>
      <c r="J505" s="148"/>
      <c r="K505" s="148"/>
      <c r="L505" s="148"/>
      <c r="M505" s="148">
        <v>52.56</v>
      </c>
      <c r="N505" s="148">
        <v>66.650000000000006</v>
      </c>
      <c r="O505" s="148">
        <v>666.5</v>
      </c>
      <c r="P505" s="494"/>
      <c r="Q505" s="147">
        <f t="shared" si="137"/>
        <v>0</v>
      </c>
      <c r="R505" s="148"/>
      <c r="S505" s="148">
        <f t="shared" si="138"/>
        <v>0</v>
      </c>
      <c r="T505" s="148">
        <f t="shared" si="146"/>
        <v>10</v>
      </c>
      <c r="U505" s="148">
        <f t="shared" si="145"/>
        <v>666.5</v>
      </c>
      <c r="V505" s="379"/>
      <c r="W505" s="379"/>
      <c r="X505" s="57">
        <f>'COMPOSIÇÃO DE CUSTOS'!G1991</f>
        <v>47.17</v>
      </c>
      <c r="Y505" s="334">
        <v>55.51</v>
      </c>
      <c r="Z505" s="58">
        <f t="shared" si="148"/>
        <v>-8.3265000000000029</v>
      </c>
      <c r="AA505" s="58">
        <f t="shared" si="149"/>
        <v>471.83499999999992</v>
      </c>
      <c r="AB505" s="58"/>
      <c r="AC505" s="58">
        <f t="shared" si="150"/>
        <v>598.29999999999995</v>
      </c>
      <c r="AD505" s="58" t="e">
        <f>IF(B505&lt;&gt;0,VLOOKUP(B505,#REF!,2,FALSE),"")</f>
        <v>#REF!</v>
      </c>
      <c r="AE505" s="55">
        <v>87</v>
      </c>
      <c r="AF505" s="55">
        <f t="shared" si="142"/>
        <v>77</v>
      </c>
    </row>
    <row r="506" spans="1:32" s="38" customFormat="1" ht="39.75" customHeight="1">
      <c r="A506" s="447" t="s">
        <v>1058</v>
      </c>
      <c r="B506" s="448">
        <v>11234</v>
      </c>
      <c r="C506" s="449" t="s">
        <v>1962</v>
      </c>
      <c r="D506" s="447" t="s">
        <v>44</v>
      </c>
      <c r="E506" s="447" t="s">
        <v>17</v>
      </c>
      <c r="F506" s="450">
        <v>87</v>
      </c>
      <c r="G506" s="450">
        <f t="shared" si="147"/>
        <v>80.9285</v>
      </c>
      <c r="H506" s="450">
        <f>ROUND(G506*(1+$X$13),2)</f>
        <v>102.63</v>
      </c>
      <c r="I506" s="451">
        <f>ROUND(H506*F506,2)</f>
        <v>8928.81</v>
      </c>
      <c r="J506" s="452"/>
      <c r="K506" s="452"/>
      <c r="L506" s="452"/>
      <c r="M506" s="452">
        <v>90.16</v>
      </c>
      <c r="N506" s="452">
        <v>114.33</v>
      </c>
      <c r="O506" s="452">
        <v>9946.7099999999991</v>
      </c>
      <c r="P506" s="493">
        <v>5</v>
      </c>
      <c r="Q506" s="451">
        <f t="shared" si="137"/>
        <v>571.65</v>
      </c>
      <c r="R506" s="452"/>
      <c r="S506" s="452">
        <f t="shared" si="138"/>
        <v>0</v>
      </c>
      <c r="T506" s="452">
        <f t="shared" si="146"/>
        <v>92</v>
      </c>
      <c r="U506" s="452">
        <f t="shared" si="145"/>
        <v>10518.359999999999</v>
      </c>
      <c r="V506" s="453"/>
      <c r="W506" s="453"/>
      <c r="X506" s="42">
        <f>'COMPOSIÇÃO DE CUSTOS'!G1983</f>
        <v>80.930000000000007</v>
      </c>
      <c r="Y506" s="336">
        <v>95.21</v>
      </c>
      <c r="Z506" s="39">
        <f t="shared" si="148"/>
        <v>-14.281499999999994</v>
      </c>
      <c r="AA506" s="39">
        <f t="shared" si="149"/>
        <v>7040.7794999999996</v>
      </c>
      <c r="AB506" s="39"/>
      <c r="AC506" s="39">
        <f t="shared" si="150"/>
        <v>8928.81</v>
      </c>
      <c r="AD506" s="39" t="e">
        <f>IF(B506&lt;&gt;0,VLOOKUP(B506,#REF!,2,FALSE),"")</f>
        <v>#REF!</v>
      </c>
      <c r="AF506" s="38">
        <f t="shared" si="142"/>
        <v>-87</v>
      </c>
    </row>
    <row r="507" spans="1:32" s="55" customFormat="1">
      <c r="A507" s="69" t="s">
        <v>1059</v>
      </c>
      <c r="B507" s="129"/>
      <c r="C507" s="229" t="s">
        <v>216</v>
      </c>
      <c r="D507" s="230"/>
      <c r="E507" s="230"/>
      <c r="F507" s="230"/>
      <c r="G507" s="22"/>
      <c r="H507" s="230"/>
      <c r="I507" s="445"/>
      <c r="J507" s="440"/>
      <c r="K507" s="440"/>
      <c r="L507" s="440"/>
      <c r="M507" s="440"/>
      <c r="N507" s="440"/>
      <c r="O507" s="440"/>
      <c r="P507" s="492"/>
      <c r="Q507" s="147">
        <f t="shared" si="137"/>
        <v>0</v>
      </c>
      <c r="R507" s="440"/>
      <c r="S507" s="148">
        <f t="shared" si="138"/>
        <v>0</v>
      </c>
      <c r="T507" s="148" t="str">
        <f t="shared" si="146"/>
        <v xml:space="preserve"> </v>
      </c>
      <c r="U507" s="148">
        <f t="shared" si="145"/>
        <v>0</v>
      </c>
      <c r="V507" s="330"/>
      <c r="W507" s="330"/>
      <c r="X507" s="58" t="str">
        <f>IF(B507&lt;&gt;0,VLOOKUP(B507,#REF!,4,FALSE),"")</f>
        <v/>
      </c>
      <c r="Y507" s="334" t="s">
        <v>1891</v>
      </c>
      <c r="Z507" s="58"/>
      <c r="AA507" s="58">
        <f t="shared" si="149"/>
        <v>0</v>
      </c>
      <c r="AB507" s="58"/>
      <c r="AC507" s="58">
        <f t="shared" si="150"/>
        <v>0</v>
      </c>
      <c r="AD507" s="58" t="str">
        <f>IF(B507&lt;&gt;0,VLOOKUP(B507,#REF!,2,FALSE),"")</f>
        <v/>
      </c>
      <c r="AE507" s="55">
        <v>5</v>
      </c>
      <c r="AF507" s="55">
        <f t="shared" si="142"/>
        <v>5</v>
      </c>
    </row>
    <row r="508" spans="1:32" s="55" customFormat="1" ht="30">
      <c r="A508" s="21" t="s">
        <v>1060</v>
      </c>
      <c r="B508" s="20" t="s">
        <v>2760</v>
      </c>
      <c r="C508" s="19" t="s">
        <v>2761</v>
      </c>
      <c r="D508" s="21" t="s">
        <v>70</v>
      </c>
      <c r="E508" s="21" t="s">
        <v>17</v>
      </c>
      <c r="F508" s="22">
        <v>5</v>
      </c>
      <c r="G508" s="22">
        <f t="shared" si="147"/>
        <v>81.106999999999999</v>
      </c>
      <c r="H508" s="22">
        <f>ROUND(G508*(1+$X$13),2)</f>
        <v>102.85</v>
      </c>
      <c r="I508" s="147">
        <f>ROUND(H508*F508,2)</f>
        <v>514.25</v>
      </c>
      <c r="J508" s="148"/>
      <c r="K508" s="148"/>
      <c r="L508" s="148"/>
      <c r="M508" s="148">
        <v>90.35</v>
      </c>
      <c r="N508" s="148">
        <v>114.57</v>
      </c>
      <c r="O508" s="148">
        <v>572.85</v>
      </c>
      <c r="P508" s="494"/>
      <c r="Q508" s="147">
        <f t="shared" si="137"/>
        <v>0</v>
      </c>
      <c r="R508" s="148"/>
      <c r="S508" s="148">
        <f t="shared" si="138"/>
        <v>0</v>
      </c>
      <c r="T508" s="148">
        <f t="shared" si="146"/>
        <v>5</v>
      </c>
      <c r="U508" s="148">
        <f t="shared" si="145"/>
        <v>572.85</v>
      </c>
      <c r="V508" s="379"/>
      <c r="W508" s="379"/>
      <c r="X508" s="58">
        <f>'COMPOSIÇÃO DE CUSTOS'!G2477</f>
        <v>81.11</v>
      </c>
      <c r="Y508" s="334">
        <v>95.42</v>
      </c>
      <c r="Z508" s="58">
        <f t="shared" si="148"/>
        <v>-14.313000000000002</v>
      </c>
      <c r="AA508" s="58">
        <f t="shared" si="149"/>
        <v>405.53499999999997</v>
      </c>
      <c r="AB508" s="58"/>
      <c r="AC508" s="58">
        <f t="shared" si="150"/>
        <v>514.25</v>
      </c>
      <c r="AD508" s="58" t="e">
        <f>IF(B508&lt;&gt;0,VLOOKUP(B508,#REF!,2,FALSE),"")</f>
        <v>#REF!</v>
      </c>
      <c r="AF508" s="55">
        <f t="shared" si="142"/>
        <v>-5</v>
      </c>
    </row>
    <row r="509" spans="1:32" s="55" customFormat="1" ht="28.5">
      <c r="A509" s="69" t="s">
        <v>1061</v>
      </c>
      <c r="B509" s="129"/>
      <c r="C509" s="229" t="s">
        <v>2276</v>
      </c>
      <c r="D509" s="230"/>
      <c r="E509" s="230"/>
      <c r="F509" s="230"/>
      <c r="G509" s="22"/>
      <c r="H509" s="230"/>
      <c r="I509" s="445"/>
      <c r="J509" s="440"/>
      <c r="K509" s="440"/>
      <c r="L509" s="440"/>
      <c r="M509" s="440"/>
      <c r="N509" s="440"/>
      <c r="O509" s="440"/>
      <c r="P509" s="492"/>
      <c r="Q509" s="147">
        <f t="shared" si="137"/>
        <v>0</v>
      </c>
      <c r="R509" s="440"/>
      <c r="S509" s="148">
        <f t="shared" si="138"/>
        <v>0</v>
      </c>
      <c r="T509" s="148" t="str">
        <f t="shared" si="146"/>
        <v xml:space="preserve"> </v>
      </c>
      <c r="U509" s="148">
        <f t="shared" si="145"/>
        <v>0</v>
      </c>
      <c r="V509" s="330"/>
      <c r="W509" s="330"/>
      <c r="X509" s="57" t="str">
        <f>IF(B509&lt;&gt;0,VLOOKUP(B509,#REF!,4,FALSE),"")</f>
        <v/>
      </c>
      <c r="Y509" s="334" t="s">
        <v>1891</v>
      </c>
      <c r="Z509" s="58"/>
      <c r="AA509" s="58">
        <f t="shared" si="149"/>
        <v>0</v>
      </c>
      <c r="AB509" s="58"/>
      <c r="AC509" s="58">
        <f t="shared" si="150"/>
        <v>0</v>
      </c>
      <c r="AD509" s="58" t="str">
        <f>IF(B509&lt;&gt;0,VLOOKUP(B509,#REF!,2,FALSE),"")</f>
        <v/>
      </c>
      <c r="AE509" s="55">
        <v>18</v>
      </c>
      <c r="AF509" s="55">
        <f t="shared" si="142"/>
        <v>18</v>
      </c>
    </row>
    <row r="510" spans="1:32" s="55" customFormat="1" ht="30">
      <c r="A510" s="21" t="s">
        <v>1062</v>
      </c>
      <c r="B510" s="20">
        <v>7384</v>
      </c>
      <c r="C510" s="19" t="s">
        <v>229</v>
      </c>
      <c r="D510" s="21" t="s">
        <v>44</v>
      </c>
      <c r="E510" s="21" t="s">
        <v>52</v>
      </c>
      <c r="F510" s="22">
        <v>18</v>
      </c>
      <c r="G510" s="22">
        <f t="shared" si="147"/>
        <v>19.244</v>
      </c>
      <c r="H510" s="22">
        <f>ROUND(G510*(1+$X$13),2)</f>
        <v>24.4</v>
      </c>
      <c r="I510" s="147">
        <f>ROUND(H510*F510,2)</f>
        <v>439.2</v>
      </c>
      <c r="J510" s="148"/>
      <c r="K510" s="148"/>
      <c r="L510" s="148"/>
      <c r="M510" s="148">
        <v>21.44</v>
      </c>
      <c r="N510" s="148">
        <v>27.19</v>
      </c>
      <c r="O510" s="148">
        <v>489.42</v>
      </c>
      <c r="P510" s="494"/>
      <c r="Q510" s="147">
        <f t="shared" si="137"/>
        <v>0</v>
      </c>
      <c r="R510" s="148"/>
      <c r="S510" s="148">
        <f t="shared" si="138"/>
        <v>0</v>
      </c>
      <c r="T510" s="148">
        <f t="shared" si="146"/>
        <v>18</v>
      </c>
      <c r="U510" s="148">
        <f t="shared" si="145"/>
        <v>489.42</v>
      </c>
      <c r="V510" s="379"/>
      <c r="W510" s="379"/>
      <c r="X510" s="57">
        <f>'COMPOSIÇÃO DE CUSTOS'!G1195</f>
        <v>19.25</v>
      </c>
      <c r="Y510" s="334">
        <v>22.64</v>
      </c>
      <c r="Z510" s="58">
        <f t="shared" si="148"/>
        <v>-3.3960000000000008</v>
      </c>
      <c r="AA510" s="58">
        <f t="shared" si="149"/>
        <v>346.392</v>
      </c>
      <c r="AB510" s="58"/>
      <c r="AC510" s="58">
        <f t="shared" si="150"/>
        <v>439.2</v>
      </c>
      <c r="AD510" s="58" t="e">
        <f>IF(B510&lt;&gt;0,VLOOKUP(B510,#REF!,2,FALSE),"")</f>
        <v>#REF!</v>
      </c>
      <c r="AE510" s="55">
        <v>31</v>
      </c>
      <c r="AF510" s="55">
        <f t="shared" si="142"/>
        <v>13</v>
      </c>
    </row>
    <row r="511" spans="1:32" s="55" customFormat="1" ht="30">
      <c r="A511" s="21" t="s">
        <v>1063</v>
      </c>
      <c r="B511" s="20">
        <v>7879</v>
      </c>
      <c r="C511" s="19" t="s">
        <v>1764</v>
      </c>
      <c r="D511" s="21" t="s">
        <v>44</v>
      </c>
      <c r="E511" s="21" t="s">
        <v>17</v>
      </c>
      <c r="F511" s="22">
        <v>31</v>
      </c>
      <c r="G511" s="22">
        <f t="shared" si="147"/>
        <v>9.4945000000000004</v>
      </c>
      <c r="H511" s="22">
        <f>ROUND(G511*(1+$X$13),2)</f>
        <v>12.04</v>
      </c>
      <c r="I511" s="147">
        <f>ROUND(H511*F511,2)</f>
        <v>373.24</v>
      </c>
      <c r="J511" s="148"/>
      <c r="K511" s="148"/>
      <c r="L511" s="148"/>
      <c r="M511" s="148">
        <v>10.58</v>
      </c>
      <c r="N511" s="148">
        <v>13.42</v>
      </c>
      <c r="O511" s="148">
        <v>416.02</v>
      </c>
      <c r="P511" s="494"/>
      <c r="Q511" s="147">
        <f t="shared" si="137"/>
        <v>0</v>
      </c>
      <c r="R511" s="148"/>
      <c r="S511" s="148">
        <f t="shared" si="138"/>
        <v>0</v>
      </c>
      <c r="T511" s="148">
        <f t="shared" si="146"/>
        <v>31</v>
      </c>
      <c r="U511" s="148">
        <f t="shared" si="145"/>
        <v>416.02</v>
      </c>
      <c r="V511" s="379"/>
      <c r="W511" s="379"/>
      <c r="X511" s="57">
        <f>'COMPOSIÇÃO DE CUSTOS'!G1258</f>
        <v>9.49</v>
      </c>
      <c r="Y511" s="334">
        <v>11.17</v>
      </c>
      <c r="Z511" s="58">
        <f t="shared" si="148"/>
        <v>-1.6754999999999995</v>
      </c>
      <c r="AA511" s="58">
        <f t="shared" si="149"/>
        <v>294.3295</v>
      </c>
      <c r="AB511" s="58"/>
      <c r="AC511" s="58">
        <f t="shared" si="150"/>
        <v>373.23999999999995</v>
      </c>
      <c r="AD511" s="58" t="e">
        <f>IF(B511&lt;&gt;0,VLOOKUP(B511,#REF!,2,FALSE),"")</f>
        <v>#REF!</v>
      </c>
      <c r="AE511" s="55">
        <v>29</v>
      </c>
      <c r="AF511" s="55">
        <f t="shared" si="142"/>
        <v>-2</v>
      </c>
    </row>
    <row r="512" spans="1:32" s="55" customFormat="1" ht="30">
      <c r="A512" s="21" t="s">
        <v>1064</v>
      </c>
      <c r="B512" s="20">
        <v>12573</v>
      </c>
      <c r="C512" s="19" t="s">
        <v>1760</v>
      </c>
      <c r="D512" s="21" t="s">
        <v>44</v>
      </c>
      <c r="E512" s="21" t="s">
        <v>17</v>
      </c>
      <c r="F512" s="22">
        <v>29</v>
      </c>
      <c r="G512" s="22">
        <f t="shared" si="147"/>
        <v>9.5794999999999995</v>
      </c>
      <c r="H512" s="22">
        <f>ROUND(G512*(1+$X$13),2)</f>
        <v>12.15</v>
      </c>
      <c r="I512" s="147">
        <f>ROUND(H512*F512,2)</f>
        <v>352.35</v>
      </c>
      <c r="J512" s="148"/>
      <c r="K512" s="148"/>
      <c r="L512" s="148"/>
      <c r="M512" s="148">
        <v>10.67</v>
      </c>
      <c r="N512" s="148">
        <v>13.53</v>
      </c>
      <c r="O512" s="148">
        <v>392.37</v>
      </c>
      <c r="P512" s="494"/>
      <c r="Q512" s="147">
        <f>ROUND(P512*N512,2)</f>
        <v>0</v>
      </c>
      <c r="R512" s="148"/>
      <c r="S512" s="148">
        <f t="shared" si="138"/>
        <v>0</v>
      </c>
      <c r="T512" s="148">
        <f t="shared" si="146"/>
        <v>29</v>
      </c>
      <c r="U512" s="148">
        <f t="shared" si="145"/>
        <v>392.37</v>
      </c>
      <c r="V512" s="379"/>
      <c r="W512" s="379"/>
      <c r="X512" s="57">
        <f>'COMPOSIÇÃO DE CUSTOS'!G1209</f>
        <v>9.58</v>
      </c>
      <c r="Y512" s="334">
        <v>11.27</v>
      </c>
      <c r="Z512" s="58">
        <f t="shared" si="148"/>
        <v>-1.6905000000000001</v>
      </c>
      <c r="AA512" s="58">
        <f t="shared" si="149"/>
        <v>277.80549999999999</v>
      </c>
      <c r="AB512" s="58"/>
      <c r="AC512" s="58">
        <f t="shared" si="150"/>
        <v>352.35</v>
      </c>
      <c r="AD512" s="58" t="e">
        <f>IF(B512&lt;&gt;0,VLOOKUP(B512,#REF!,2,FALSE),"")</f>
        <v>#REF!</v>
      </c>
      <c r="AF512" s="55">
        <f t="shared" si="142"/>
        <v>-29</v>
      </c>
    </row>
    <row r="513" spans="1:32" s="55" customFormat="1" ht="36" customHeight="1">
      <c r="A513" s="21"/>
      <c r="B513" s="20"/>
      <c r="C513" s="19"/>
      <c r="D513" s="21"/>
      <c r="E513" s="21"/>
      <c r="F513" s="22"/>
      <c r="G513" s="22"/>
      <c r="H513" s="22"/>
      <c r="I513" s="147"/>
      <c r="J513" s="148"/>
      <c r="K513" s="148"/>
      <c r="L513" s="148"/>
      <c r="M513" s="148"/>
      <c r="N513" s="148"/>
      <c r="O513" s="148"/>
      <c r="P513" s="494"/>
      <c r="Q513" s="147"/>
      <c r="R513" s="148"/>
      <c r="S513" s="148"/>
      <c r="T513" s="148" t="str">
        <f t="shared" si="146"/>
        <v xml:space="preserve"> </v>
      </c>
      <c r="U513" s="148"/>
      <c r="V513" s="379"/>
      <c r="W513" s="379"/>
      <c r="X513" s="58" t="str">
        <f>IF(B513&lt;&gt;0,VLOOKUP(B513,#REF!,4,FALSE),"")</f>
        <v/>
      </c>
      <c r="Y513" s="334" t="s">
        <v>1891</v>
      </c>
      <c r="Z513" s="58"/>
      <c r="AA513" s="58">
        <f t="shared" si="149"/>
        <v>0</v>
      </c>
      <c r="AB513" s="58"/>
      <c r="AC513" s="58">
        <f t="shared" si="150"/>
        <v>0</v>
      </c>
      <c r="AD513" s="58" t="str">
        <f>IF(B513&lt;&gt;0,VLOOKUP(B513,#REF!,2,FALSE),"")</f>
        <v/>
      </c>
      <c r="AF513" s="55">
        <f t="shared" si="142"/>
        <v>0</v>
      </c>
    </row>
    <row r="514" spans="1:32" s="55" customFormat="1" ht="15" customHeight="1">
      <c r="A514" s="69" t="s">
        <v>1067</v>
      </c>
      <c r="B514" s="129"/>
      <c r="C514" s="229" t="s">
        <v>2762</v>
      </c>
      <c r="D514" s="230"/>
      <c r="E514" s="230"/>
      <c r="F514" s="230"/>
      <c r="G514" s="22"/>
      <c r="H514" s="230"/>
      <c r="I514" s="445">
        <f>ROUND(SUM(I515:I531),2)</f>
        <v>14172.33</v>
      </c>
      <c r="J514" s="440"/>
      <c r="K514" s="440"/>
      <c r="L514" s="440"/>
      <c r="M514" s="440"/>
      <c r="N514" s="440"/>
      <c r="O514" s="440">
        <v>15788.04</v>
      </c>
      <c r="P514" s="492"/>
      <c r="Q514" s="445">
        <f>ROUND(SUM(Q515:Q531),2)</f>
        <v>0</v>
      </c>
      <c r="R514" s="440"/>
      <c r="S514" s="440">
        <f>ROUND(SUM(S515:S531),2)</f>
        <v>0</v>
      </c>
      <c r="T514" s="148" t="str">
        <f t="shared" si="146"/>
        <v xml:space="preserve"> </v>
      </c>
      <c r="U514" s="440">
        <f t="shared" si="145"/>
        <v>15788.04</v>
      </c>
      <c r="V514" s="330"/>
      <c r="W514" s="330"/>
      <c r="X514" s="58" t="str">
        <f>IF(B514&lt;&gt;0,VLOOKUP(B514,#REF!,4,FALSE),"")</f>
        <v/>
      </c>
      <c r="Y514" s="334" t="s">
        <v>1891</v>
      </c>
      <c r="Z514" s="58"/>
      <c r="AA514" s="58">
        <f t="shared" si="149"/>
        <v>0</v>
      </c>
      <c r="AB514" s="58"/>
      <c r="AC514" s="58">
        <f t="shared" si="150"/>
        <v>0</v>
      </c>
      <c r="AD514" s="58" t="str">
        <f>IF(B514&lt;&gt;0,VLOOKUP(B514,#REF!,2,FALSE),"")</f>
        <v/>
      </c>
      <c r="AF514" s="55">
        <f t="shared" si="142"/>
        <v>0</v>
      </c>
    </row>
    <row r="515" spans="1:32" s="55" customFormat="1">
      <c r="A515" s="69" t="s">
        <v>1068</v>
      </c>
      <c r="B515" s="129"/>
      <c r="C515" s="229" t="s">
        <v>2763</v>
      </c>
      <c r="D515" s="230"/>
      <c r="E515" s="230"/>
      <c r="F515" s="230"/>
      <c r="G515" s="22"/>
      <c r="H515" s="230"/>
      <c r="I515" s="445"/>
      <c r="J515" s="440"/>
      <c r="K515" s="440"/>
      <c r="L515" s="440"/>
      <c r="M515" s="440"/>
      <c r="N515" s="440"/>
      <c r="O515" s="440"/>
      <c r="P515" s="492"/>
      <c r="Q515" s="445"/>
      <c r="R515" s="440"/>
      <c r="S515" s="440"/>
      <c r="T515" s="148" t="str">
        <f t="shared" si="146"/>
        <v xml:space="preserve"> </v>
      </c>
      <c r="U515" s="148"/>
      <c r="V515" s="330"/>
      <c r="W515" s="330"/>
      <c r="X515" s="57" t="str">
        <f>IF(B515&lt;&gt;0,VLOOKUP(B515,#REF!,4,FALSE),"")</f>
        <v/>
      </c>
      <c r="Y515" s="334" t="s">
        <v>1891</v>
      </c>
      <c r="Z515" s="58"/>
      <c r="AA515" s="58">
        <f t="shared" si="149"/>
        <v>0</v>
      </c>
      <c r="AB515" s="58"/>
      <c r="AC515" s="58">
        <f t="shared" si="150"/>
        <v>0</v>
      </c>
      <c r="AD515" s="58" t="str">
        <f>IF(B515&lt;&gt;0,VLOOKUP(B515,#REF!,2,FALSE),"")</f>
        <v/>
      </c>
      <c r="AE515" s="55">
        <v>7</v>
      </c>
      <c r="AF515" s="55">
        <f t="shared" si="142"/>
        <v>7</v>
      </c>
    </row>
    <row r="516" spans="1:32" s="55" customFormat="1">
      <c r="A516" s="341" t="s">
        <v>2764</v>
      </c>
      <c r="B516" s="138" t="s">
        <v>2490</v>
      </c>
      <c r="C516" s="139" t="s">
        <v>2491</v>
      </c>
      <c r="D516" s="21" t="s">
        <v>1914</v>
      </c>
      <c r="E516" s="21" t="s">
        <v>17</v>
      </c>
      <c r="F516" s="22">
        <v>7</v>
      </c>
      <c r="G516" s="22">
        <f t="shared" si="147"/>
        <v>971.08249999999998</v>
      </c>
      <c r="H516" s="22">
        <f>ROUND(G516*(1+$X$13),2)</f>
        <v>1231.43</v>
      </c>
      <c r="I516" s="147">
        <f>ROUND(H516*F516,2)</f>
        <v>8620.01</v>
      </c>
      <c r="J516" s="148"/>
      <c r="K516" s="148"/>
      <c r="L516" s="148"/>
      <c r="M516" s="148">
        <v>1081.79</v>
      </c>
      <c r="N516" s="148">
        <v>1371.82</v>
      </c>
      <c r="O516" s="148">
        <v>9602.74</v>
      </c>
      <c r="P516" s="494"/>
      <c r="Q516" s="147">
        <f t="shared" ref="Q516:Q530" si="151">ROUND(P516*N516,2)</f>
        <v>0</v>
      </c>
      <c r="R516" s="148"/>
      <c r="S516" s="148">
        <f>ROUND(R516*N516,2)</f>
        <v>0</v>
      </c>
      <c r="T516" s="148">
        <f t="shared" si="146"/>
        <v>7</v>
      </c>
      <c r="U516" s="148">
        <f t="shared" si="145"/>
        <v>9602.74</v>
      </c>
      <c r="V516" s="379"/>
      <c r="W516" s="379"/>
      <c r="X516" s="57">
        <f>'COMPOSIÇÃO DE CUSTOS'!G1811</f>
        <v>971.08</v>
      </c>
      <c r="Y516" s="334">
        <v>1142.45</v>
      </c>
      <c r="Z516" s="58">
        <f t="shared" si="148"/>
        <v>-171.36750000000006</v>
      </c>
      <c r="AA516" s="58">
        <f t="shared" si="149"/>
        <v>6797.5774999999994</v>
      </c>
      <c r="AB516" s="58"/>
      <c r="AC516" s="58">
        <f t="shared" si="150"/>
        <v>8620.01</v>
      </c>
      <c r="AD516" s="58" t="e">
        <f>IF(B516&lt;&gt;0,VLOOKUP(B516,#REF!,2,FALSE),"")</f>
        <v>#REF!</v>
      </c>
      <c r="AF516" s="55">
        <f t="shared" si="142"/>
        <v>-7</v>
      </c>
    </row>
    <row r="517" spans="1:32" s="55" customFormat="1">
      <c r="A517" s="69" t="s">
        <v>1070</v>
      </c>
      <c r="B517" s="129"/>
      <c r="C517" s="229" t="s">
        <v>2765</v>
      </c>
      <c r="D517" s="230"/>
      <c r="E517" s="230"/>
      <c r="F517" s="230"/>
      <c r="G517" s="22"/>
      <c r="H517" s="230"/>
      <c r="I517" s="445"/>
      <c r="J517" s="440"/>
      <c r="K517" s="440"/>
      <c r="L517" s="440"/>
      <c r="M517" s="440"/>
      <c r="N517" s="440"/>
      <c r="O517" s="440"/>
      <c r="P517" s="492"/>
      <c r="Q517" s="147">
        <f t="shared" si="151"/>
        <v>0</v>
      </c>
      <c r="R517" s="440"/>
      <c r="S517" s="148">
        <f t="shared" ref="S517:S531" si="152">ROUND(R517*N517,2)</f>
        <v>0</v>
      </c>
      <c r="T517" s="148" t="str">
        <f t="shared" si="146"/>
        <v xml:space="preserve"> </v>
      </c>
      <c r="U517" s="148">
        <f t="shared" si="145"/>
        <v>0</v>
      </c>
      <c r="V517" s="330"/>
      <c r="W517" s="330"/>
      <c r="X517" s="57" t="str">
        <f>IF(B517&lt;&gt;0,VLOOKUP(B517,#REF!,4,FALSE),"")</f>
        <v/>
      </c>
      <c r="Y517" s="334" t="s">
        <v>1891</v>
      </c>
      <c r="Z517" s="58"/>
      <c r="AA517" s="58">
        <f t="shared" si="149"/>
        <v>0</v>
      </c>
      <c r="AB517" s="58"/>
      <c r="AC517" s="58">
        <f t="shared" si="150"/>
        <v>0</v>
      </c>
      <c r="AD517" s="58" t="str">
        <f>IF(B517&lt;&gt;0,VLOOKUP(B517,#REF!,2,FALSE),"")</f>
        <v/>
      </c>
      <c r="AE517" s="55">
        <v>45</v>
      </c>
      <c r="AF517" s="55">
        <f t="shared" si="142"/>
        <v>45</v>
      </c>
    </row>
    <row r="518" spans="1:32" s="55" customFormat="1" ht="45">
      <c r="A518" s="21" t="s">
        <v>1071</v>
      </c>
      <c r="B518" s="20">
        <v>91863</v>
      </c>
      <c r="C518" s="19" t="s">
        <v>1692</v>
      </c>
      <c r="D518" s="21" t="s">
        <v>12</v>
      </c>
      <c r="E518" s="21" t="s">
        <v>52</v>
      </c>
      <c r="F518" s="22">
        <v>45</v>
      </c>
      <c r="G518" s="22">
        <f t="shared" si="147"/>
        <v>6.8849999999999998</v>
      </c>
      <c r="H518" s="22">
        <f t="shared" ref="H518:H525" si="153">ROUND(G518*(1+$X$13),2)</f>
        <v>8.73</v>
      </c>
      <c r="I518" s="147">
        <f t="shared" ref="I518:I525" si="154">ROUND(H518*F518,2)</f>
        <v>392.85</v>
      </c>
      <c r="J518" s="148"/>
      <c r="K518" s="148"/>
      <c r="L518" s="148"/>
      <c r="M518" s="148">
        <v>7.67</v>
      </c>
      <c r="N518" s="148">
        <v>9.73</v>
      </c>
      <c r="O518" s="148">
        <v>437.85</v>
      </c>
      <c r="P518" s="494"/>
      <c r="Q518" s="147">
        <f t="shared" si="151"/>
        <v>0</v>
      </c>
      <c r="R518" s="148"/>
      <c r="S518" s="148">
        <f t="shared" si="152"/>
        <v>0</v>
      </c>
      <c r="T518" s="148">
        <f t="shared" si="146"/>
        <v>45</v>
      </c>
      <c r="U518" s="148">
        <f t="shared" si="145"/>
        <v>437.85</v>
      </c>
      <c r="V518" s="379"/>
      <c r="W518" s="379"/>
      <c r="X518" s="58" t="e">
        <f>IF(B518&lt;&gt;0,VLOOKUP(B518,#REF!,4,FALSE),"")</f>
        <v>#REF!</v>
      </c>
      <c r="Y518" s="334" t="s">
        <v>1885</v>
      </c>
      <c r="Z518" s="58">
        <f t="shared" si="148"/>
        <v>-1.2149999999999999</v>
      </c>
      <c r="AA518" s="58">
        <f t="shared" si="149"/>
        <v>309.82499999999999</v>
      </c>
      <c r="AB518" s="58"/>
      <c r="AC518" s="58">
        <f t="shared" si="150"/>
        <v>392.85</v>
      </c>
      <c r="AD518" s="58" t="e">
        <f>IF(B518&lt;&gt;0,VLOOKUP(B518,#REF!,2,FALSE),"")</f>
        <v>#REF!</v>
      </c>
      <c r="AE518" s="55">
        <v>7</v>
      </c>
      <c r="AF518" s="55">
        <f t="shared" si="142"/>
        <v>-38</v>
      </c>
    </row>
    <row r="519" spans="1:32" s="55" customFormat="1" ht="60">
      <c r="A519" s="21" t="s">
        <v>1072</v>
      </c>
      <c r="B519" s="20">
        <v>91890</v>
      </c>
      <c r="C519" s="19" t="s">
        <v>1693</v>
      </c>
      <c r="D519" s="21" t="s">
        <v>12</v>
      </c>
      <c r="E519" s="21" t="s">
        <v>17</v>
      </c>
      <c r="F519" s="22">
        <v>7</v>
      </c>
      <c r="G519" s="22">
        <f t="shared" si="147"/>
        <v>6.375</v>
      </c>
      <c r="H519" s="22">
        <f t="shared" si="153"/>
        <v>8.08</v>
      </c>
      <c r="I519" s="147">
        <f t="shared" si="154"/>
        <v>56.56</v>
      </c>
      <c r="J519" s="148"/>
      <c r="K519" s="148"/>
      <c r="L519" s="148"/>
      <c r="M519" s="148">
        <v>7.1</v>
      </c>
      <c r="N519" s="148">
        <v>9</v>
      </c>
      <c r="O519" s="148">
        <v>63</v>
      </c>
      <c r="P519" s="494"/>
      <c r="Q519" s="147">
        <f t="shared" si="151"/>
        <v>0</v>
      </c>
      <c r="R519" s="148"/>
      <c r="S519" s="148">
        <f t="shared" si="152"/>
        <v>0</v>
      </c>
      <c r="T519" s="148">
        <f t="shared" si="146"/>
        <v>7</v>
      </c>
      <c r="U519" s="148">
        <f t="shared" si="145"/>
        <v>63</v>
      </c>
      <c r="V519" s="379"/>
      <c r="W519" s="379"/>
      <c r="X519" s="58" t="e">
        <f>IF(B519&lt;&gt;0,VLOOKUP(B519,#REF!,4,FALSE),"")</f>
        <v>#REF!</v>
      </c>
      <c r="Y519" s="334" t="s">
        <v>3222</v>
      </c>
      <c r="Z519" s="58">
        <f t="shared" si="148"/>
        <v>-1.125</v>
      </c>
      <c r="AA519" s="58">
        <f t="shared" si="149"/>
        <v>44.625</v>
      </c>
      <c r="AB519" s="58"/>
      <c r="AC519" s="58">
        <f t="shared" si="150"/>
        <v>56.56</v>
      </c>
      <c r="AD519" s="58" t="e">
        <f>IF(B519&lt;&gt;0,VLOOKUP(B519,#REF!,2,FALSE),"")</f>
        <v>#REF!</v>
      </c>
      <c r="AE519" s="55">
        <v>29</v>
      </c>
      <c r="AF519" s="55">
        <f t="shared" si="142"/>
        <v>22</v>
      </c>
    </row>
    <row r="520" spans="1:32" s="55" customFormat="1" ht="60">
      <c r="A520" s="21" t="s">
        <v>1073</v>
      </c>
      <c r="B520" s="20">
        <v>91875</v>
      </c>
      <c r="C520" s="19" t="s">
        <v>1694</v>
      </c>
      <c r="D520" s="21" t="s">
        <v>12</v>
      </c>
      <c r="E520" s="21" t="s">
        <v>17</v>
      </c>
      <c r="F520" s="22">
        <v>29</v>
      </c>
      <c r="G520" s="22">
        <f t="shared" si="147"/>
        <v>3.7654999999999998</v>
      </c>
      <c r="H520" s="22">
        <f t="shared" si="153"/>
        <v>4.78</v>
      </c>
      <c r="I520" s="147">
        <f t="shared" si="154"/>
        <v>138.62</v>
      </c>
      <c r="J520" s="148"/>
      <c r="K520" s="148"/>
      <c r="L520" s="148"/>
      <c r="M520" s="148">
        <v>4.1900000000000004</v>
      </c>
      <c r="N520" s="148">
        <v>5.31</v>
      </c>
      <c r="O520" s="148">
        <v>153.99</v>
      </c>
      <c r="P520" s="494"/>
      <c r="Q520" s="147">
        <f t="shared" si="151"/>
        <v>0</v>
      </c>
      <c r="R520" s="148"/>
      <c r="S520" s="148">
        <f t="shared" si="152"/>
        <v>0</v>
      </c>
      <c r="T520" s="148">
        <f t="shared" si="146"/>
        <v>29</v>
      </c>
      <c r="U520" s="148">
        <f t="shared" si="145"/>
        <v>153.99</v>
      </c>
      <c r="V520" s="379"/>
      <c r="W520" s="379"/>
      <c r="X520" s="58" t="e">
        <f>IF(B520&lt;&gt;0,VLOOKUP(B520,#REF!,4,FALSE),"")</f>
        <v>#REF!</v>
      </c>
      <c r="Y520" s="334" t="s">
        <v>1864</v>
      </c>
      <c r="Z520" s="58">
        <f t="shared" si="148"/>
        <v>-0.66449999999999987</v>
      </c>
      <c r="AA520" s="58">
        <f t="shared" si="149"/>
        <v>109.1995</v>
      </c>
      <c r="AB520" s="58"/>
      <c r="AC520" s="58">
        <f t="shared" si="150"/>
        <v>138.62</v>
      </c>
      <c r="AD520" s="58" t="e">
        <f>IF(B520&lt;&gt;0,VLOOKUP(B520,#REF!,2,FALSE),"")</f>
        <v>#REF!</v>
      </c>
      <c r="AE520" s="55">
        <v>37</v>
      </c>
      <c r="AF520" s="55">
        <f t="shared" si="142"/>
        <v>8</v>
      </c>
    </row>
    <row r="521" spans="1:32" s="55" customFormat="1" ht="45">
      <c r="A521" s="21" t="s">
        <v>1074</v>
      </c>
      <c r="B521" s="20">
        <v>91871</v>
      </c>
      <c r="C521" s="19" t="s">
        <v>1695</v>
      </c>
      <c r="D521" s="21" t="s">
        <v>12</v>
      </c>
      <c r="E521" s="21" t="s">
        <v>52</v>
      </c>
      <c r="F521" s="22">
        <v>37</v>
      </c>
      <c r="G521" s="22">
        <f t="shared" si="147"/>
        <v>7.3949999999999996</v>
      </c>
      <c r="H521" s="22">
        <f t="shared" si="153"/>
        <v>9.3800000000000008</v>
      </c>
      <c r="I521" s="147">
        <f t="shared" si="154"/>
        <v>347.06</v>
      </c>
      <c r="J521" s="148"/>
      <c r="K521" s="148"/>
      <c r="L521" s="148"/>
      <c r="M521" s="148">
        <v>8.24</v>
      </c>
      <c r="N521" s="148">
        <v>10.45</v>
      </c>
      <c r="O521" s="148">
        <v>386.65</v>
      </c>
      <c r="P521" s="494"/>
      <c r="Q521" s="147">
        <f t="shared" si="151"/>
        <v>0</v>
      </c>
      <c r="R521" s="148"/>
      <c r="S521" s="148">
        <f t="shared" si="152"/>
        <v>0</v>
      </c>
      <c r="T521" s="148">
        <f t="shared" si="146"/>
        <v>37</v>
      </c>
      <c r="U521" s="148">
        <f t="shared" si="145"/>
        <v>386.65</v>
      </c>
      <c r="V521" s="379"/>
      <c r="W521" s="379"/>
      <c r="X521" s="58" t="e">
        <f>IF(B521&lt;&gt;0,VLOOKUP(B521,#REF!,4,FALSE),"")</f>
        <v>#REF!</v>
      </c>
      <c r="Y521" s="334" t="s">
        <v>2647</v>
      </c>
      <c r="Z521" s="58">
        <f t="shared" si="148"/>
        <v>-1.3049999999999997</v>
      </c>
      <c r="AA521" s="58">
        <f t="shared" si="149"/>
        <v>273.61500000000001</v>
      </c>
      <c r="AB521" s="58"/>
      <c r="AC521" s="58">
        <f t="shared" si="150"/>
        <v>347.06</v>
      </c>
      <c r="AD521" s="58" t="e">
        <f>IF(B521&lt;&gt;0,VLOOKUP(B521,#REF!,2,FALSE),"")</f>
        <v>#REF!</v>
      </c>
      <c r="AE521" s="55">
        <v>14</v>
      </c>
      <c r="AF521" s="55">
        <f t="shared" si="142"/>
        <v>-23</v>
      </c>
    </row>
    <row r="522" spans="1:32" s="55" customFormat="1" ht="60">
      <c r="A522" s="21" t="s">
        <v>1075</v>
      </c>
      <c r="B522" s="20">
        <v>91914</v>
      </c>
      <c r="C522" s="19" t="s">
        <v>1696</v>
      </c>
      <c r="D522" s="21" t="s">
        <v>12</v>
      </c>
      <c r="E522" s="21" t="s">
        <v>17</v>
      </c>
      <c r="F522" s="22">
        <v>14</v>
      </c>
      <c r="G522" s="22">
        <f t="shared" si="147"/>
        <v>8.5084999999999997</v>
      </c>
      <c r="H522" s="22">
        <f t="shared" si="153"/>
        <v>10.79</v>
      </c>
      <c r="I522" s="147">
        <f t="shared" si="154"/>
        <v>151.06</v>
      </c>
      <c r="J522" s="148"/>
      <c r="K522" s="148"/>
      <c r="L522" s="148"/>
      <c r="M522" s="148">
        <v>9.48</v>
      </c>
      <c r="N522" s="148">
        <v>12.02</v>
      </c>
      <c r="O522" s="148">
        <v>168.28</v>
      </c>
      <c r="P522" s="494"/>
      <c r="Q522" s="147">
        <f t="shared" si="151"/>
        <v>0</v>
      </c>
      <c r="R522" s="148"/>
      <c r="S522" s="148">
        <f t="shared" si="152"/>
        <v>0</v>
      </c>
      <c r="T522" s="148">
        <f t="shared" si="146"/>
        <v>14</v>
      </c>
      <c r="U522" s="148">
        <f t="shared" si="145"/>
        <v>168.28</v>
      </c>
      <c r="V522" s="379"/>
      <c r="W522" s="379"/>
      <c r="X522" s="58" t="e">
        <f>IF(B522&lt;&gt;0,VLOOKUP(B522,#REF!,4,FALSE),"")</f>
        <v>#REF!</v>
      </c>
      <c r="Y522" s="334" t="s">
        <v>1907</v>
      </c>
      <c r="Z522" s="58">
        <f t="shared" si="148"/>
        <v>-1.5015000000000001</v>
      </c>
      <c r="AA522" s="58">
        <f t="shared" si="149"/>
        <v>119.119</v>
      </c>
      <c r="AB522" s="58"/>
      <c r="AC522" s="58">
        <f t="shared" si="150"/>
        <v>151.06</v>
      </c>
      <c r="AD522" s="58" t="e">
        <f>IF(B522&lt;&gt;0,VLOOKUP(B522,#REF!,2,FALSE),"")</f>
        <v>#REF!</v>
      </c>
      <c r="AE522" s="55">
        <v>41</v>
      </c>
      <c r="AF522" s="55">
        <f t="shared" si="142"/>
        <v>27</v>
      </c>
    </row>
    <row r="523" spans="1:32" s="55" customFormat="1" ht="60">
      <c r="A523" s="21" t="s">
        <v>1076</v>
      </c>
      <c r="B523" s="20">
        <v>91884</v>
      </c>
      <c r="C523" s="19" t="s">
        <v>1697</v>
      </c>
      <c r="D523" s="21" t="s">
        <v>12</v>
      </c>
      <c r="E523" s="21" t="s">
        <v>17</v>
      </c>
      <c r="F523" s="22">
        <v>41</v>
      </c>
      <c r="G523" s="22">
        <f t="shared" si="147"/>
        <v>5.1849999999999996</v>
      </c>
      <c r="H523" s="22">
        <f t="shared" si="153"/>
        <v>6.58</v>
      </c>
      <c r="I523" s="147">
        <f t="shared" si="154"/>
        <v>269.77999999999997</v>
      </c>
      <c r="J523" s="148"/>
      <c r="K523" s="148"/>
      <c r="L523" s="148"/>
      <c r="M523" s="148">
        <v>5.78</v>
      </c>
      <c r="N523" s="148">
        <v>7.33</v>
      </c>
      <c r="O523" s="148">
        <v>300.52999999999997</v>
      </c>
      <c r="P523" s="494"/>
      <c r="Q523" s="147">
        <f t="shared" si="151"/>
        <v>0</v>
      </c>
      <c r="R523" s="148"/>
      <c r="S523" s="148">
        <f t="shared" si="152"/>
        <v>0</v>
      </c>
      <c r="T523" s="148">
        <f t="shared" si="146"/>
        <v>41</v>
      </c>
      <c r="U523" s="148">
        <f t="shared" si="145"/>
        <v>300.52999999999997</v>
      </c>
      <c r="V523" s="379"/>
      <c r="W523" s="379"/>
      <c r="X523" s="58" t="e">
        <f>IF(B523&lt;&gt;0,VLOOKUP(B523,#REF!,4,FALSE),"")</f>
        <v>#REF!</v>
      </c>
      <c r="Y523" s="334" t="s">
        <v>3138</v>
      </c>
      <c r="Z523" s="58">
        <f t="shared" si="148"/>
        <v>-0.91500000000000004</v>
      </c>
      <c r="AA523" s="58">
        <f t="shared" si="149"/>
        <v>212.58499999999998</v>
      </c>
      <c r="AB523" s="58"/>
      <c r="AC523" s="58">
        <f t="shared" si="150"/>
        <v>269.78000000000003</v>
      </c>
      <c r="AD523" s="58" t="e">
        <f>IF(B523&lt;&gt;0,VLOOKUP(B523,#REF!,2,FALSE),"")</f>
        <v>#REF!</v>
      </c>
      <c r="AE523" s="55">
        <v>11</v>
      </c>
      <c r="AF523" s="55">
        <f t="shared" si="142"/>
        <v>-30</v>
      </c>
    </row>
    <row r="524" spans="1:32" s="55" customFormat="1" ht="30">
      <c r="A524" s="21" t="s">
        <v>1077</v>
      </c>
      <c r="B524" s="20">
        <v>91864</v>
      </c>
      <c r="C524" s="19" t="s">
        <v>194</v>
      </c>
      <c r="D524" s="21" t="s">
        <v>12</v>
      </c>
      <c r="E524" s="21" t="s">
        <v>52</v>
      </c>
      <c r="F524" s="22">
        <v>11</v>
      </c>
      <c r="G524" s="22">
        <f t="shared" si="147"/>
        <v>9.1204999999999998</v>
      </c>
      <c r="H524" s="22">
        <f t="shared" si="153"/>
        <v>11.57</v>
      </c>
      <c r="I524" s="147">
        <f t="shared" si="154"/>
        <v>127.27</v>
      </c>
      <c r="J524" s="148"/>
      <c r="K524" s="148"/>
      <c r="L524" s="148"/>
      <c r="M524" s="148">
        <v>10.16</v>
      </c>
      <c r="N524" s="148">
        <v>12.88</v>
      </c>
      <c r="O524" s="148">
        <v>141.68</v>
      </c>
      <c r="P524" s="494"/>
      <c r="Q524" s="147">
        <f t="shared" si="151"/>
        <v>0</v>
      </c>
      <c r="R524" s="148"/>
      <c r="S524" s="148">
        <f t="shared" si="152"/>
        <v>0</v>
      </c>
      <c r="T524" s="148">
        <f t="shared" si="146"/>
        <v>11</v>
      </c>
      <c r="U524" s="148">
        <f t="shared" si="145"/>
        <v>141.68</v>
      </c>
      <c r="V524" s="379"/>
      <c r="W524" s="379"/>
      <c r="X524" s="58" t="e">
        <f>IF(B524&lt;&gt;0,VLOOKUP(B524,#REF!,4,FALSE),"")</f>
        <v>#REF!</v>
      </c>
      <c r="Y524" s="334" t="s">
        <v>1836</v>
      </c>
      <c r="Z524" s="58">
        <f t="shared" si="148"/>
        <v>-1.6095000000000006</v>
      </c>
      <c r="AA524" s="58">
        <f t="shared" si="149"/>
        <v>100.32550000000001</v>
      </c>
      <c r="AB524" s="58"/>
      <c r="AC524" s="58">
        <f t="shared" si="150"/>
        <v>127.27000000000001</v>
      </c>
      <c r="AD524" s="58" t="e">
        <f>IF(B524&lt;&gt;0,VLOOKUP(B524,#REF!,2,FALSE),"")</f>
        <v>#REF!</v>
      </c>
      <c r="AE524" s="55">
        <v>4</v>
      </c>
      <c r="AF524" s="55">
        <f t="shared" si="142"/>
        <v>-7</v>
      </c>
    </row>
    <row r="525" spans="1:32" s="55" customFormat="1" ht="30">
      <c r="A525" s="21" t="s">
        <v>1078</v>
      </c>
      <c r="B525" s="20">
        <v>91885</v>
      </c>
      <c r="C525" s="19" t="s">
        <v>195</v>
      </c>
      <c r="D525" s="21" t="s">
        <v>12</v>
      </c>
      <c r="E525" s="21" t="s">
        <v>17</v>
      </c>
      <c r="F525" s="22">
        <v>4</v>
      </c>
      <c r="G525" s="22">
        <f t="shared" si="147"/>
        <v>6.1624999999999996</v>
      </c>
      <c r="H525" s="22">
        <f t="shared" si="153"/>
        <v>7.81</v>
      </c>
      <c r="I525" s="147">
        <f t="shared" si="154"/>
        <v>31.24</v>
      </c>
      <c r="J525" s="148"/>
      <c r="K525" s="148"/>
      <c r="L525" s="148"/>
      <c r="M525" s="148">
        <v>6.87</v>
      </c>
      <c r="N525" s="148">
        <v>8.7100000000000009</v>
      </c>
      <c r="O525" s="148">
        <v>34.840000000000003</v>
      </c>
      <c r="P525" s="494"/>
      <c r="Q525" s="147">
        <f t="shared" si="151"/>
        <v>0</v>
      </c>
      <c r="R525" s="148"/>
      <c r="S525" s="148">
        <f t="shared" si="152"/>
        <v>0</v>
      </c>
      <c r="T525" s="148">
        <f t="shared" si="146"/>
        <v>4</v>
      </c>
      <c r="U525" s="148">
        <f t="shared" si="145"/>
        <v>34.840000000000003</v>
      </c>
      <c r="V525" s="379"/>
      <c r="W525" s="379"/>
      <c r="X525" s="58" t="e">
        <f>IF(B525&lt;&gt;0,VLOOKUP(B525,#REF!,4,FALSE),"")</f>
        <v>#REF!</v>
      </c>
      <c r="Y525" s="334" t="s">
        <v>1870</v>
      </c>
      <c r="Z525" s="58">
        <f t="shared" si="148"/>
        <v>-1.0875000000000004</v>
      </c>
      <c r="AA525" s="58">
        <f t="shared" si="149"/>
        <v>24.65</v>
      </c>
      <c r="AB525" s="58"/>
      <c r="AC525" s="58">
        <f t="shared" si="150"/>
        <v>31.24</v>
      </c>
      <c r="AD525" s="58" t="e">
        <f>IF(B525&lt;&gt;0,VLOOKUP(B525,#REF!,2,FALSE),"")</f>
        <v>#REF!</v>
      </c>
      <c r="AF525" s="55">
        <f t="shared" si="142"/>
        <v>-4</v>
      </c>
    </row>
    <row r="526" spans="1:32" s="55" customFormat="1">
      <c r="A526" s="69" t="s">
        <v>1079</v>
      </c>
      <c r="B526" s="129"/>
      <c r="C526" s="229" t="s">
        <v>214</v>
      </c>
      <c r="D526" s="230"/>
      <c r="E526" s="230"/>
      <c r="F526" s="230"/>
      <c r="G526" s="22"/>
      <c r="H526" s="230"/>
      <c r="I526" s="445"/>
      <c r="J526" s="440"/>
      <c r="K526" s="440"/>
      <c r="L526" s="440"/>
      <c r="M526" s="440"/>
      <c r="N526" s="440"/>
      <c r="O526" s="440"/>
      <c r="P526" s="492"/>
      <c r="Q526" s="147">
        <f t="shared" si="151"/>
        <v>0</v>
      </c>
      <c r="R526" s="440"/>
      <c r="S526" s="148">
        <f t="shared" si="152"/>
        <v>0</v>
      </c>
      <c r="T526" s="148" t="str">
        <f t="shared" si="146"/>
        <v xml:space="preserve"> </v>
      </c>
      <c r="U526" s="148">
        <f t="shared" si="145"/>
        <v>0</v>
      </c>
      <c r="V526" s="330"/>
      <c r="W526" s="330"/>
      <c r="X526" s="57" t="str">
        <f>IF(B526&lt;&gt;0,VLOOKUP(B526,#REF!,4,FALSE),"")</f>
        <v/>
      </c>
      <c r="Y526" s="334" t="s">
        <v>1891</v>
      </c>
      <c r="Z526" s="58"/>
      <c r="AA526" s="58">
        <f t="shared" si="149"/>
        <v>0</v>
      </c>
      <c r="AB526" s="58"/>
      <c r="AC526" s="58">
        <f t="shared" si="150"/>
        <v>0</v>
      </c>
      <c r="AD526" s="58" t="str">
        <f>IF(B526&lt;&gt;0,VLOOKUP(B526,#REF!,2,FALSE),"")</f>
        <v/>
      </c>
      <c r="AE526" s="55">
        <v>90</v>
      </c>
      <c r="AF526" s="55">
        <f t="shared" si="142"/>
        <v>90</v>
      </c>
    </row>
    <row r="527" spans="1:32" s="55" customFormat="1">
      <c r="A527" s="21" t="s">
        <v>1080</v>
      </c>
      <c r="B527" s="20">
        <v>13248</v>
      </c>
      <c r="C527" s="19" t="s">
        <v>2766</v>
      </c>
      <c r="D527" s="21" t="s">
        <v>44</v>
      </c>
      <c r="E527" s="21" t="s">
        <v>52</v>
      </c>
      <c r="F527" s="22">
        <v>105</v>
      </c>
      <c r="G527" s="22">
        <f t="shared" si="147"/>
        <v>16.209499999999998</v>
      </c>
      <c r="H527" s="22">
        <f>ROUND(G527*(1+$X$13),2)</f>
        <v>20.56</v>
      </c>
      <c r="I527" s="147">
        <f>ROUND(H527*F527,2)</f>
        <v>2158.8000000000002</v>
      </c>
      <c r="J527" s="148"/>
      <c r="K527" s="148"/>
      <c r="L527" s="148"/>
      <c r="M527" s="148">
        <v>18.059999999999999</v>
      </c>
      <c r="N527" s="148">
        <v>22.9</v>
      </c>
      <c r="O527" s="148">
        <v>2404.5</v>
      </c>
      <c r="P527" s="494"/>
      <c r="Q527" s="147">
        <f t="shared" si="151"/>
        <v>0</v>
      </c>
      <c r="R527" s="148"/>
      <c r="S527" s="148">
        <f t="shared" si="152"/>
        <v>0</v>
      </c>
      <c r="T527" s="148">
        <f t="shared" si="146"/>
        <v>105</v>
      </c>
      <c r="U527" s="148">
        <f t="shared" si="145"/>
        <v>2404.5</v>
      </c>
      <c r="V527" s="379"/>
      <c r="W527" s="379"/>
      <c r="X527" s="57">
        <f>'COMPOSIÇÃO DE CUSTOS'!G2484</f>
        <v>16.21</v>
      </c>
      <c r="Y527" s="334">
        <v>19.07</v>
      </c>
      <c r="Z527" s="58">
        <f t="shared" si="148"/>
        <v>-2.8605000000000018</v>
      </c>
      <c r="AA527" s="58">
        <f t="shared" si="149"/>
        <v>1701.9974999999999</v>
      </c>
      <c r="AB527" s="58"/>
      <c r="AC527" s="58">
        <f t="shared" si="150"/>
        <v>2158.7999999999997</v>
      </c>
      <c r="AD527" s="58" t="e">
        <f>IF(B527&lt;&gt;0,VLOOKUP(B527,#REF!,2,FALSE),"")</f>
        <v>#REF!</v>
      </c>
      <c r="AE527" s="55">
        <v>90</v>
      </c>
      <c r="AF527" s="55">
        <f t="shared" si="142"/>
        <v>-15</v>
      </c>
    </row>
    <row r="528" spans="1:32">
      <c r="A528" s="21" t="s">
        <v>1081</v>
      </c>
      <c r="B528" s="20">
        <v>11633</v>
      </c>
      <c r="C528" s="19" t="s">
        <v>2767</v>
      </c>
      <c r="D528" s="21" t="s">
        <v>44</v>
      </c>
      <c r="E528" s="21" t="s">
        <v>52</v>
      </c>
      <c r="F528" s="22">
        <v>105</v>
      </c>
      <c r="G528" s="22">
        <f t="shared" si="147"/>
        <v>8.1855000000000011</v>
      </c>
      <c r="H528" s="22">
        <f>ROUND(G528*(1+$X$13),2)</f>
        <v>10.38</v>
      </c>
      <c r="I528" s="147">
        <f>ROUND(H528*F528,2)</f>
        <v>1089.9000000000001</v>
      </c>
      <c r="J528" s="148"/>
      <c r="K528" s="148"/>
      <c r="L528" s="148"/>
      <c r="M528" s="148">
        <v>9.1199999999999992</v>
      </c>
      <c r="N528" s="148">
        <v>11.57</v>
      </c>
      <c r="O528" s="148">
        <v>1214.8499999999999</v>
      </c>
      <c r="P528" s="494"/>
      <c r="Q528" s="147">
        <f t="shared" si="151"/>
        <v>0</v>
      </c>
      <c r="R528" s="148"/>
      <c r="S528" s="148">
        <f t="shared" si="152"/>
        <v>0</v>
      </c>
      <c r="T528" s="148">
        <f t="shared" si="146"/>
        <v>105</v>
      </c>
      <c r="U528" s="148">
        <f t="shared" si="145"/>
        <v>1214.8499999999999</v>
      </c>
      <c r="V528" s="379"/>
      <c r="W528" s="379"/>
      <c r="X528" s="57">
        <f>'COMPOSIÇÃO DE CUSTOS'!G2491</f>
        <v>8.19</v>
      </c>
      <c r="Y528" s="334">
        <v>9.6300000000000008</v>
      </c>
      <c r="Z528" s="58">
        <f t="shared" si="148"/>
        <v>-1.4444999999999997</v>
      </c>
      <c r="AA528" s="58">
        <f t="shared" si="149"/>
        <v>859.47750000000008</v>
      </c>
      <c r="AB528" s="58"/>
      <c r="AC528" s="58">
        <f t="shared" si="150"/>
        <v>1089.9000000000001</v>
      </c>
      <c r="AD528" s="58" t="e">
        <f>IF(B528&lt;&gt;0,VLOOKUP(B528,#REF!,2,FALSE),"")</f>
        <v>#REF!</v>
      </c>
      <c r="AF528" s="55">
        <f t="shared" si="142"/>
        <v>-105</v>
      </c>
    </row>
    <row r="529" spans="1:32">
      <c r="A529" s="69" t="s">
        <v>1087</v>
      </c>
      <c r="B529" s="129"/>
      <c r="C529" s="229" t="s">
        <v>216</v>
      </c>
      <c r="D529" s="230"/>
      <c r="E529" s="230"/>
      <c r="F529" s="230"/>
      <c r="G529" s="22"/>
      <c r="H529" s="230"/>
      <c r="I529" s="445"/>
      <c r="J529" s="440"/>
      <c r="K529" s="440"/>
      <c r="L529" s="440"/>
      <c r="M529" s="440"/>
      <c r="N529" s="440"/>
      <c r="O529" s="440"/>
      <c r="P529" s="492"/>
      <c r="Q529" s="147">
        <f t="shared" si="151"/>
        <v>0</v>
      </c>
      <c r="R529" s="440"/>
      <c r="S529" s="148">
        <f t="shared" si="152"/>
        <v>0</v>
      </c>
      <c r="T529" s="148" t="str">
        <f t="shared" si="146"/>
        <v xml:space="preserve"> </v>
      </c>
      <c r="U529" s="148">
        <f t="shared" si="145"/>
        <v>0</v>
      </c>
      <c r="V529" s="330"/>
      <c r="W529" s="330"/>
      <c r="X529" s="57" t="str">
        <f>IF(B529&lt;&gt;0,VLOOKUP(B529,#REF!,4,FALSE),"")</f>
        <v/>
      </c>
      <c r="Y529" s="334" t="s">
        <v>1891</v>
      </c>
      <c r="Z529" s="58"/>
      <c r="AA529" s="58">
        <f t="shared" si="149"/>
        <v>0</v>
      </c>
      <c r="AB529" s="58"/>
      <c r="AC529" s="58">
        <f t="shared" si="150"/>
        <v>0</v>
      </c>
      <c r="AD529" s="58" t="str">
        <f>IF(B529&lt;&gt;0,VLOOKUP(B529,#REF!,2,FALSE),"")</f>
        <v/>
      </c>
      <c r="AE529" s="2">
        <v>7</v>
      </c>
      <c r="AF529" s="55">
        <f t="shared" si="142"/>
        <v>7</v>
      </c>
    </row>
    <row r="530" spans="1:32" ht="45">
      <c r="A530" s="21" t="s">
        <v>1088</v>
      </c>
      <c r="B530" s="20">
        <v>92872</v>
      </c>
      <c r="C530" s="19" t="s">
        <v>2768</v>
      </c>
      <c r="D530" s="21" t="s">
        <v>12</v>
      </c>
      <c r="E530" s="21" t="s">
        <v>17</v>
      </c>
      <c r="F530" s="22">
        <v>7</v>
      </c>
      <c r="G530" s="22">
        <f t="shared" si="147"/>
        <v>7.8029999999999999</v>
      </c>
      <c r="H530" s="22">
        <f>ROUND(G530*(1+$X$13),2)</f>
        <v>9.89</v>
      </c>
      <c r="I530" s="147">
        <f>ROUND(H530*F530,2)</f>
        <v>69.23</v>
      </c>
      <c r="J530" s="148"/>
      <c r="K530" s="148"/>
      <c r="L530" s="148"/>
      <c r="M530" s="148">
        <v>8.69</v>
      </c>
      <c r="N530" s="148">
        <v>11.02</v>
      </c>
      <c r="O530" s="148">
        <v>77.14</v>
      </c>
      <c r="P530" s="494"/>
      <c r="Q530" s="147">
        <f t="shared" si="151"/>
        <v>0</v>
      </c>
      <c r="R530" s="148"/>
      <c r="S530" s="148">
        <f t="shared" si="152"/>
        <v>0</v>
      </c>
      <c r="T530" s="148">
        <f t="shared" si="146"/>
        <v>7</v>
      </c>
      <c r="U530" s="148">
        <f t="shared" si="145"/>
        <v>77.14</v>
      </c>
      <c r="V530" s="379"/>
      <c r="W530" s="379"/>
      <c r="X530" s="58" t="e">
        <f>IF(B530&lt;&gt;0,VLOOKUP(B530,#REF!,4,FALSE),"")</f>
        <v>#REF!</v>
      </c>
      <c r="Y530" s="334" t="s">
        <v>1890</v>
      </c>
      <c r="Z530" s="58">
        <f t="shared" si="148"/>
        <v>-1.3769999999999998</v>
      </c>
      <c r="AA530" s="58">
        <f t="shared" si="149"/>
        <v>54.621000000000002</v>
      </c>
      <c r="AB530" s="58"/>
      <c r="AC530" s="58">
        <f t="shared" si="150"/>
        <v>69.23</v>
      </c>
      <c r="AD530" s="58" t="e">
        <f>IF(B530&lt;&gt;0,VLOOKUP(B530,#REF!,2,FALSE),"")</f>
        <v>#REF!</v>
      </c>
      <c r="AE530" s="2">
        <v>7</v>
      </c>
      <c r="AF530" s="55">
        <f t="shared" si="142"/>
        <v>0</v>
      </c>
    </row>
    <row r="531" spans="1:32" ht="30">
      <c r="A531" s="21" t="s">
        <v>2769</v>
      </c>
      <c r="B531" s="20" t="s">
        <v>2760</v>
      </c>
      <c r="C531" s="19" t="s">
        <v>2761</v>
      </c>
      <c r="D531" s="21" t="s">
        <v>70</v>
      </c>
      <c r="E531" s="21" t="s">
        <v>17</v>
      </c>
      <c r="F531" s="22">
        <v>7</v>
      </c>
      <c r="G531" s="22">
        <f t="shared" si="147"/>
        <v>81.106999999999999</v>
      </c>
      <c r="H531" s="22">
        <f>ROUND(G531*(1+$X$13),2)</f>
        <v>102.85</v>
      </c>
      <c r="I531" s="147">
        <f>ROUND(H531*F531,2)</f>
        <v>719.95</v>
      </c>
      <c r="J531" s="148"/>
      <c r="K531" s="148"/>
      <c r="L531" s="148"/>
      <c r="M531" s="148">
        <v>90.35</v>
      </c>
      <c r="N531" s="148">
        <v>114.57</v>
      </c>
      <c r="O531" s="148">
        <v>801.99</v>
      </c>
      <c r="P531" s="494"/>
      <c r="Q531" s="147">
        <f>ROUND(P531*N531,2)</f>
        <v>0</v>
      </c>
      <c r="R531" s="148"/>
      <c r="S531" s="148">
        <f t="shared" si="152"/>
        <v>0</v>
      </c>
      <c r="T531" s="148">
        <f t="shared" si="146"/>
        <v>7</v>
      </c>
      <c r="U531" s="148">
        <f t="shared" si="145"/>
        <v>801.99</v>
      </c>
      <c r="V531" s="379"/>
      <c r="W531" s="379"/>
      <c r="X531" s="57">
        <f>'COMPOSIÇÃO DE CUSTOS'!G2477</f>
        <v>81.11</v>
      </c>
      <c r="Y531" s="334">
        <v>95.42</v>
      </c>
      <c r="Z531" s="58">
        <f t="shared" si="148"/>
        <v>-14.313000000000002</v>
      </c>
      <c r="AA531" s="58">
        <f t="shared" si="149"/>
        <v>567.74900000000002</v>
      </c>
      <c r="AB531" s="58"/>
      <c r="AC531" s="58">
        <f t="shared" si="150"/>
        <v>719.94999999999993</v>
      </c>
      <c r="AD531" s="58" t="e">
        <f>IF(B531&lt;&gt;0,VLOOKUP(B531,#REF!,2,FALSE),"")</f>
        <v>#REF!</v>
      </c>
      <c r="AF531" s="55">
        <f t="shared" ref="AF531:AF594" si="155">AE531-F531</f>
        <v>-7</v>
      </c>
    </row>
    <row r="532" spans="1:32">
      <c r="A532" s="21"/>
      <c r="B532" s="20"/>
      <c r="C532" s="19"/>
      <c r="D532" s="21"/>
      <c r="E532" s="21"/>
      <c r="F532" s="22"/>
      <c r="G532" s="22"/>
      <c r="H532" s="22"/>
      <c r="I532" s="147"/>
      <c r="J532" s="148"/>
      <c r="K532" s="148"/>
      <c r="L532" s="148"/>
      <c r="M532" s="148"/>
      <c r="N532" s="148"/>
      <c r="O532" s="148"/>
      <c r="P532" s="494"/>
      <c r="Q532" s="147"/>
      <c r="R532" s="148"/>
      <c r="S532" s="148"/>
      <c r="T532" s="148" t="str">
        <f t="shared" si="146"/>
        <v xml:space="preserve"> </v>
      </c>
      <c r="U532" s="148"/>
      <c r="V532" s="379"/>
      <c r="W532" s="379"/>
      <c r="X532" s="58" t="str">
        <f>IF(B532&lt;&gt;0,VLOOKUP(B532,#REF!,4,FALSE),"")</f>
        <v/>
      </c>
      <c r="Y532" s="334" t="s">
        <v>1891</v>
      </c>
      <c r="Z532" s="58"/>
      <c r="AA532" s="58">
        <f t="shared" si="149"/>
        <v>0</v>
      </c>
      <c r="AB532" s="58"/>
      <c r="AC532" s="58">
        <f t="shared" si="150"/>
        <v>0</v>
      </c>
      <c r="AD532" s="58" t="str">
        <f>IF(B532&lt;&gt;0,VLOOKUP(B532,#REF!,2,FALSE),"")</f>
        <v/>
      </c>
      <c r="AF532" s="55">
        <f t="shared" si="155"/>
        <v>0</v>
      </c>
    </row>
    <row r="533" spans="1:32">
      <c r="A533" s="69" t="s">
        <v>1091</v>
      </c>
      <c r="B533" s="129"/>
      <c r="C533" s="229" t="s">
        <v>230</v>
      </c>
      <c r="D533" s="230"/>
      <c r="E533" s="230"/>
      <c r="F533" s="230"/>
      <c r="G533" s="22"/>
      <c r="H533" s="230"/>
      <c r="I533" s="445">
        <f>ROUND(SUM(I535:I566),2)</f>
        <v>27802.01</v>
      </c>
      <c r="J533" s="440"/>
      <c r="K533" s="440"/>
      <c r="L533" s="440"/>
      <c r="M533" s="440"/>
      <c r="N533" s="440"/>
      <c r="O533" s="440">
        <v>32485.85</v>
      </c>
      <c r="P533" s="492"/>
      <c r="Q533" s="445">
        <f>ROUND(SUM(Q535:Q566),2)</f>
        <v>0</v>
      </c>
      <c r="R533" s="440"/>
      <c r="S533" s="440">
        <f>ROUND(SUM(S535:S566),2)</f>
        <v>0</v>
      </c>
      <c r="T533" s="148" t="str">
        <f t="shared" si="146"/>
        <v xml:space="preserve"> </v>
      </c>
      <c r="U533" s="440">
        <f t="shared" si="145"/>
        <v>32485.85</v>
      </c>
      <c r="V533" s="330"/>
      <c r="W533" s="330"/>
      <c r="X533" s="58" t="str">
        <f>IF(B533&lt;&gt;0,VLOOKUP(B533,#REF!,4,FALSE),"")</f>
        <v/>
      </c>
      <c r="Y533" s="334" t="s">
        <v>1891</v>
      </c>
      <c r="Z533" s="58"/>
      <c r="AA533" s="58">
        <f t="shared" si="149"/>
        <v>0</v>
      </c>
      <c r="AB533" s="58"/>
      <c r="AC533" s="58">
        <f t="shared" si="150"/>
        <v>0</v>
      </c>
      <c r="AD533" s="58" t="str">
        <f>IF(B533&lt;&gt;0,VLOOKUP(B533,#REF!,2,FALSE),"")</f>
        <v/>
      </c>
      <c r="AF533" s="55">
        <f t="shared" si="155"/>
        <v>0</v>
      </c>
    </row>
    <row r="534" spans="1:32" s="55" customFormat="1" ht="28.5">
      <c r="A534" s="69" t="s">
        <v>1092</v>
      </c>
      <c r="B534" s="129"/>
      <c r="C534" s="229" t="s">
        <v>231</v>
      </c>
      <c r="D534" s="230"/>
      <c r="E534" s="230"/>
      <c r="F534" s="230"/>
      <c r="G534" s="22"/>
      <c r="H534" s="230"/>
      <c r="I534" s="445"/>
      <c r="J534" s="440"/>
      <c r="K534" s="440"/>
      <c r="L534" s="440"/>
      <c r="M534" s="440"/>
      <c r="N534" s="440"/>
      <c r="O534" s="440"/>
      <c r="P534" s="492"/>
      <c r="Q534" s="445"/>
      <c r="R534" s="440"/>
      <c r="S534" s="440"/>
      <c r="T534" s="148" t="str">
        <f t="shared" si="146"/>
        <v xml:space="preserve"> </v>
      </c>
      <c r="U534" s="148"/>
      <c r="V534" s="330"/>
      <c r="W534" s="330"/>
      <c r="X534" s="57" t="str">
        <f>IF(B534&lt;&gt;0,VLOOKUP(B534,#REF!,4,FALSE),"")</f>
        <v/>
      </c>
      <c r="Y534" s="334" t="s">
        <v>1891</v>
      </c>
      <c r="Z534" s="58"/>
      <c r="AA534" s="58">
        <f t="shared" si="149"/>
        <v>0</v>
      </c>
      <c r="AB534" s="58"/>
      <c r="AC534" s="58">
        <f t="shared" si="150"/>
        <v>0</v>
      </c>
      <c r="AD534" s="58" t="str">
        <f>IF(B534&lt;&gt;0,VLOOKUP(B534,#REF!,2,FALSE),"")</f>
        <v/>
      </c>
      <c r="AE534" s="55">
        <v>11</v>
      </c>
      <c r="AF534" s="55">
        <f t="shared" si="155"/>
        <v>11</v>
      </c>
    </row>
    <row r="535" spans="1:32" s="55" customFormat="1">
      <c r="A535" s="21" t="s">
        <v>1093</v>
      </c>
      <c r="B535" s="20" t="s">
        <v>2297</v>
      </c>
      <c r="C535" s="19" t="s">
        <v>2663</v>
      </c>
      <c r="D535" s="21" t="s">
        <v>1914</v>
      </c>
      <c r="E535" s="21" t="s">
        <v>17</v>
      </c>
      <c r="F535" s="22">
        <v>11</v>
      </c>
      <c r="G535" s="22">
        <f t="shared" si="147"/>
        <v>567.74900000000002</v>
      </c>
      <c r="H535" s="22">
        <f>ROUND(G535*(1+$X$13),2)</f>
        <v>719.96</v>
      </c>
      <c r="I535" s="147">
        <f>ROUND(H535*F535,2)</f>
        <v>7919.56</v>
      </c>
      <c r="J535" s="148"/>
      <c r="K535" s="148"/>
      <c r="L535" s="148"/>
      <c r="M535" s="148">
        <v>632.48</v>
      </c>
      <c r="N535" s="148">
        <v>802.05</v>
      </c>
      <c r="O535" s="148">
        <v>8822.5499999999993</v>
      </c>
      <c r="P535" s="494"/>
      <c r="Q535" s="147">
        <f t="shared" ref="Q535:Q565" si="156">ROUND(P535*N535,2)</f>
        <v>0</v>
      </c>
      <c r="R535" s="148"/>
      <c r="S535" s="148">
        <f>ROUND(R535*N535,2)</f>
        <v>0</v>
      </c>
      <c r="T535" s="148">
        <f t="shared" si="146"/>
        <v>11</v>
      </c>
      <c r="U535" s="148">
        <f t="shared" si="145"/>
        <v>8822.5499999999993</v>
      </c>
      <c r="V535" s="379"/>
      <c r="W535" s="379"/>
      <c r="X535" s="57">
        <f>'COMPOSIÇÃO DE CUSTOS'!G1321</f>
        <v>567.75</v>
      </c>
      <c r="Y535" s="334">
        <v>667.94</v>
      </c>
      <c r="Z535" s="58">
        <f t="shared" si="148"/>
        <v>-100.19100000000003</v>
      </c>
      <c r="AA535" s="58">
        <f t="shared" si="149"/>
        <v>6245.2390000000005</v>
      </c>
      <c r="AB535" s="58"/>
      <c r="AC535" s="58">
        <f t="shared" si="150"/>
        <v>7919.56</v>
      </c>
      <c r="AD535" s="58" t="e">
        <f>IF(B535&lt;&gt;0,VLOOKUP(B535,#REF!,2,FALSE),"")</f>
        <v>#REF!</v>
      </c>
      <c r="AE535" s="55">
        <v>2</v>
      </c>
      <c r="AF535" s="55">
        <f t="shared" si="155"/>
        <v>-9</v>
      </c>
    </row>
    <row r="536" spans="1:32" s="55" customFormat="1" ht="30">
      <c r="A536" s="21" t="s">
        <v>2770</v>
      </c>
      <c r="B536" s="20" t="s">
        <v>2299</v>
      </c>
      <c r="C536" s="19" t="s">
        <v>2493</v>
      </c>
      <c r="D536" s="21" t="s">
        <v>1914</v>
      </c>
      <c r="E536" s="21" t="s">
        <v>17</v>
      </c>
      <c r="F536" s="22">
        <v>2</v>
      </c>
      <c r="G536" s="22">
        <f t="shared" si="147"/>
        <v>2298.7314999999999</v>
      </c>
      <c r="H536" s="22">
        <f>ROUND(G536*(1+$X$13),2)</f>
        <v>2915.02</v>
      </c>
      <c r="I536" s="147">
        <f>ROUND(H536*F536,2)</f>
        <v>5830.04</v>
      </c>
      <c r="J536" s="148"/>
      <c r="K536" s="148"/>
      <c r="L536" s="148"/>
      <c r="M536" s="148">
        <v>2560.81</v>
      </c>
      <c r="N536" s="148">
        <v>3247.36</v>
      </c>
      <c r="O536" s="148">
        <v>6494.72</v>
      </c>
      <c r="P536" s="494"/>
      <c r="Q536" s="147">
        <f t="shared" si="156"/>
        <v>0</v>
      </c>
      <c r="R536" s="148"/>
      <c r="S536" s="148">
        <f t="shared" ref="S536:S566" si="157">ROUND(R536*N536,2)</f>
        <v>0</v>
      </c>
      <c r="T536" s="148">
        <f t="shared" si="146"/>
        <v>2</v>
      </c>
      <c r="U536" s="148">
        <f t="shared" si="145"/>
        <v>6494.72</v>
      </c>
      <c r="V536" s="379"/>
      <c r="W536" s="379"/>
      <c r="X536" s="57">
        <f>'COMPOSIÇÃO DE CUSTOS'!G1328</f>
        <v>2298.73</v>
      </c>
      <c r="Y536" s="334">
        <v>2704.39</v>
      </c>
      <c r="Z536" s="58">
        <f t="shared" si="148"/>
        <v>-405.6585</v>
      </c>
      <c r="AA536" s="58">
        <f t="shared" si="149"/>
        <v>4597.4629999999997</v>
      </c>
      <c r="AB536" s="58"/>
      <c r="AC536" s="58">
        <f t="shared" si="150"/>
        <v>5830.04</v>
      </c>
      <c r="AD536" s="58" t="e">
        <f>IF(B536&lt;&gt;0,VLOOKUP(B536,#REF!,2,FALSE),"")</f>
        <v>#REF!</v>
      </c>
      <c r="AE536" s="55">
        <v>1</v>
      </c>
      <c r="AF536" s="55">
        <f t="shared" si="155"/>
        <v>-1</v>
      </c>
    </row>
    <row r="537" spans="1:32" s="55" customFormat="1">
      <c r="A537" s="21" t="s">
        <v>2771</v>
      </c>
      <c r="B537" s="20">
        <v>59624</v>
      </c>
      <c r="C537" s="19" t="s">
        <v>2302</v>
      </c>
      <c r="D537" s="21" t="s">
        <v>1914</v>
      </c>
      <c r="E537" s="21" t="s">
        <v>17</v>
      </c>
      <c r="F537" s="22">
        <v>1</v>
      </c>
      <c r="G537" s="22">
        <f t="shared" si="147"/>
        <v>517.31000000000006</v>
      </c>
      <c r="H537" s="22">
        <f>ROUND(G537*(1+$X$13),2)</f>
        <v>656</v>
      </c>
      <c r="I537" s="147">
        <f>ROUND(H537*F537,2)</f>
        <v>656</v>
      </c>
      <c r="J537" s="148"/>
      <c r="K537" s="148"/>
      <c r="L537" s="148"/>
      <c r="M537" s="148">
        <v>576.29</v>
      </c>
      <c r="N537" s="148">
        <v>730.79</v>
      </c>
      <c r="O537" s="148">
        <v>730.79</v>
      </c>
      <c r="P537" s="494"/>
      <c r="Q537" s="147">
        <f t="shared" si="156"/>
        <v>0</v>
      </c>
      <c r="R537" s="148"/>
      <c r="S537" s="148">
        <f t="shared" si="157"/>
        <v>0</v>
      </c>
      <c r="T537" s="148">
        <f t="shared" si="146"/>
        <v>1</v>
      </c>
      <c r="U537" s="148">
        <f t="shared" si="145"/>
        <v>730.79</v>
      </c>
      <c r="V537" s="379"/>
      <c r="W537" s="379"/>
      <c r="X537" s="57">
        <f>'COMPOSIÇÃO DE CUSTOS'!G1335</f>
        <v>517.30999999999995</v>
      </c>
      <c r="Y537" s="334">
        <v>608.6</v>
      </c>
      <c r="Z537" s="58">
        <f t="shared" si="148"/>
        <v>-91.289999999999964</v>
      </c>
      <c r="AA537" s="58">
        <f t="shared" si="149"/>
        <v>517.31000000000006</v>
      </c>
      <c r="AB537" s="58"/>
      <c r="AC537" s="58">
        <f t="shared" si="150"/>
        <v>656</v>
      </c>
      <c r="AD537" s="58" t="e">
        <f>IF(B537&lt;&gt;0,VLOOKUP(B537,#REF!,2,FALSE),"")</f>
        <v>#REF!</v>
      </c>
      <c r="AE537" s="55">
        <v>5</v>
      </c>
      <c r="AF537" s="55">
        <f t="shared" si="155"/>
        <v>4</v>
      </c>
    </row>
    <row r="538" spans="1:32" s="55" customFormat="1">
      <c r="A538" s="21" t="s">
        <v>2772</v>
      </c>
      <c r="B538" s="20" t="s">
        <v>2304</v>
      </c>
      <c r="C538" s="19" t="s">
        <v>232</v>
      </c>
      <c r="D538" s="21" t="s">
        <v>1914</v>
      </c>
      <c r="E538" s="21" t="s">
        <v>17</v>
      </c>
      <c r="F538" s="22">
        <v>5</v>
      </c>
      <c r="G538" s="22">
        <f t="shared" si="147"/>
        <v>92.820000000000007</v>
      </c>
      <c r="H538" s="22">
        <f>ROUND(G538*(1+$X$13),2)</f>
        <v>117.71</v>
      </c>
      <c r="I538" s="147">
        <f>ROUND(H538*F538,2)</f>
        <v>588.54999999999995</v>
      </c>
      <c r="J538" s="148"/>
      <c r="K538" s="148"/>
      <c r="L538" s="148"/>
      <c r="M538" s="148">
        <v>103.4</v>
      </c>
      <c r="N538" s="148">
        <v>131.12</v>
      </c>
      <c r="O538" s="148">
        <v>655.6</v>
      </c>
      <c r="P538" s="494"/>
      <c r="Q538" s="147">
        <f t="shared" si="156"/>
        <v>0</v>
      </c>
      <c r="R538" s="148"/>
      <c r="S538" s="148">
        <f t="shared" si="157"/>
        <v>0</v>
      </c>
      <c r="T538" s="148">
        <f t="shared" si="146"/>
        <v>5</v>
      </c>
      <c r="U538" s="148">
        <f t="shared" si="145"/>
        <v>655.6</v>
      </c>
      <c r="V538" s="379"/>
      <c r="W538" s="379"/>
      <c r="X538" s="57">
        <f>'COMPOSIÇÃO DE CUSTOS'!G1342</f>
        <v>92.82</v>
      </c>
      <c r="Y538" s="334">
        <v>109.2</v>
      </c>
      <c r="Z538" s="58">
        <f t="shared" si="148"/>
        <v>-16.379999999999995</v>
      </c>
      <c r="AA538" s="58">
        <f t="shared" si="149"/>
        <v>464.1</v>
      </c>
      <c r="AB538" s="58"/>
      <c r="AC538" s="58">
        <f t="shared" si="150"/>
        <v>588.54999999999995</v>
      </c>
      <c r="AD538" s="58" t="e">
        <f>IF(B538&lt;&gt;0,VLOOKUP(B538,#REF!,2,FALSE),"")</f>
        <v>#REF!</v>
      </c>
      <c r="AE538" s="55">
        <v>1</v>
      </c>
      <c r="AF538" s="55">
        <f t="shared" si="155"/>
        <v>-4</v>
      </c>
    </row>
    <row r="539" spans="1:32" s="55" customFormat="1" ht="30">
      <c r="A539" s="21" t="s">
        <v>2773</v>
      </c>
      <c r="B539" s="20">
        <v>8016</v>
      </c>
      <c r="C539" s="19" t="s">
        <v>233</v>
      </c>
      <c r="D539" s="21" t="s">
        <v>44</v>
      </c>
      <c r="E539" s="21" t="s">
        <v>17</v>
      </c>
      <c r="F539" s="22">
        <v>1</v>
      </c>
      <c r="G539" s="22">
        <f t="shared" si="147"/>
        <v>1886.7449999999999</v>
      </c>
      <c r="H539" s="22">
        <f>ROUND(G539*(1+$X$13),2)</f>
        <v>2392.58</v>
      </c>
      <c r="I539" s="147">
        <f>ROUND(H539*F539,2)</f>
        <v>2392.58</v>
      </c>
      <c r="J539" s="148"/>
      <c r="K539" s="148"/>
      <c r="L539" s="148"/>
      <c r="M539" s="148">
        <v>2101.85</v>
      </c>
      <c r="N539" s="148">
        <v>2665.36</v>
      </c>
      <c r="O539" s="148">
        <v>2665.36</v>
      </c>
      <c r="P539" s="494"/>
      <c r="Q539" s="147">
        <f t="shared" si="156"/>
        <v>0</v>
      </c>
      <c r="R539" s="148"/>
      <c r="S539" s="148">
        <f t="shared" si="157"/>
        <v>0</v>
      </c>
      <c r="T539" s="148">
        <f t="shared" si="146"/>
        <v>1</v>
      </c>
      <c r="U539" s="148">
        <f t="shared" si="145"/>
        <v>2665.36</v>
      </c>
      <c r="V539" s="379"/>
      <c r="W539" s="379"/>
      <c r="X539" s="57">
        <f>'COMPOSIÇÃO DE CUSTOS'!G1346</f>
        <v>1886.75</v>
      </c>
      <c r="Y539" s="334">
        <v>2219.6999999999998</v>
      </c>
      <c r="Z539" s="58">
        <f t="shared" si="148"/>
        <v>-332.95499999999993</v>
      </c>
      <c r="AA539" s="58">
        <f t="shared" si="149"/>
        <v>1886.7449999999999</v>
      </c>
      <c r="AB539" s="58"/>
      <c r="AC539" s="58">
        <f t="shared" si="150"/>
        <v>2392.58</v>
      </c>
      <c r="AD539" s="58" t="e">
        <f>IF(B539&lt;&gt;0,VLOOKUP(B539,#REF!,2,FALSE),"")</f>
        <v>#REF!</v>
      </c>
      <c r="AF539" s="55">
        <f t="shared" si="155"/>
        <v>-1</v>
      </c>
    </row>
    <row r="540" spans="1:32" s="55" customFormat="1">
      <c r="A540" s="69" t="s">
        <v>2774</v>
      </c>
      <c r="B540" s="129"/>
      <c r="C540" s="229" t="s">
        <v>219</v>
      </c>
      <c r="D540" s="230"/>
      <c r="E540" s="230"/>
      <c r="F540" s="230"/>
      <c r="G540" s="22"/>
      <c r="H540" s="230"/>
      <c r="I540" s="445"/>
      <c r="J540" s="440"/>
      <c r="K540" s="440"/>
      <c r="L540" s="440"/>
      <c r="M540" s="440"/>
      <c r="N540" s="440"/>
      <c r="O540" s="440"/>
      <c r="P540" s="492"/>
      <c r="Q540" s="147">
        <f t="shared" si="156"/>
        <v>0</v>
      </c>
      <c r="R540" s="440"/>
      <c r="S540" s="148">
        <f t="shared" si="157"/>
        <v>0</v>
      </c>
      <c r="T540" s="148" t="str">
        <f t="shared" si="146"/>
        <v xml:space="preserve"> </v>
      </c>
      <c r="U540" s="148">
        <f t="shared" si="145"/>
        <v>0</v>
      </c>
      <c r="V540" s="330"/>
      <c r="W540" s="330"/>
      <c r="X540" s="58" t="str">
        <f>IF(B540&lt;&gt;0,VLOOKUP(B540,#REF!,4,FALSE),"")</f>
        <v/>
      </c>
      <c r="Y540" s="334" t="s">
        <v>1891</v>
      </c>
      <c r="Z540" s="58"/>
      <c r="AA540" s="58">
        <f t="shared" si="149"/>
        <v>0</v>
      </c>
      <c r="AB540" s="58"/>
      <c r="AC540" s="58">
        <f t="shared" si="150"/>
        <v>0</v>
      </c>
      <c r="AD540" s="58" t="str">
        <f>IF(B540&lt;&gt;0,VLOOKUP(B540,#REF!,2,FALSE),"")</f>
        <v/>
      </c>
      <c r="AE540" s="55">
        <v>1</v>
      </c>
      <c r="AF540" s="55">
        <f t="shared" si="155"/>
        <v>1</v>
      </c>
    </row>
    <row r="541" spans="1:32" s="55" customFormat="1" ht="30">
      <c r="A541" s="21" t="s">
        <v>2775</v>
      </c>
      <c r="B541" s="20">
        <v>11419</v>
      </c>
      <c r="C541" s="19" t="s">
        <v>220</v>
      </c>
      <c r="D541" s="21" t="s">
        <v>44</v>
      </c>
      <c r="E541" s="21" t="s">
        <v>17</v>
      </c>
      <c r="F541" s="22">
        <v>1</v>
      </c>
      <c r="G541" s="22">
        <f t="shared" si="147"/>
        <v>17.977499999999999</v>
      </c>
      <c r="H541" s="22">
        <f t="shared" ref="H541:H546" si="158">ROUND(G541*(1+$X$13),2)</f>
        <v>22.8</v>
      </c>
      <c r="I541" s="147">
        <f t="shared" ref="I541:I546" si="159">ROUND(H541*F541,2)</f>
        <v>22.8</v>
      </c>
      <c r="J541" s="148"/>
      <c r="K541" s="148"/>
      <c r="L541" s="148"/>
      <c r="M541" s="148">
        <v>20.03</v>
      </c>
      <c r="N541" s="148">
        <v>25.4</v>
      </c>
      <c r="O541" s="148">
        <v>25.4</v>
      </c>
      <c r="P541" s="494"/>
      <c r="Q541" s="147">
        <f t="shared" si="156"/>
        <v>0</v>
      </c>
      <c r="R541" s="148"/>
      <c r="S541" s="148">
        <f t="shared" si="157"/>
        <v>0</v>
      </c>
      <c r="T541" s="148">
        <f t="shared" si="146"/>
        <v>1</v>
      </c>
      <c r="U541" s="148">
        <f t="shared" si="145"/>
        <v>25.4</v>
      </c>
      <c r="V541" s="379"/>
      <c r="W541" s="379"/>
      <c r="X541" s="57">
        <f>'COMPOSIÇÃO DE CUSTOS'!G1933</f>
        <v>21.15</v>
      </c>
      <c r="Y541" s="334">
        <v>21.15</v>
      </c>
      <c r="Z541" s="58">
        <f t="shared" si="148"/>
        <v>-3.1724999999999994</v>
      </c>
      <c r="AA541" s="58">
        <f t="shared" si="149"/>
        <v>17.977499999999999</v>
      </c>
      <c r="AB541" s="58"/>
      <c r="AC541" s="58">
        <f t="shared" si="150"/>
        <v>22.8</v>
      </c>
      <c r="AD541" s="58" t="e">
        <f>IF(B541&lt;&gt;0,VLOOKUP(B541,#REF!,2,FALSE),"")</f>
        <v>#REF!</v>
      </c>
      <c r="AE541" s="55">
        <v>1</v>
      </c>
      <c r="AF541" s="55">
        <f t="shared" si="155"/>
        <v>0</v>
      </c>
    </row>
    <row r="542" spans="1:32" s="55" customFormat="1" ht="45">
      <c r="A542" s="21" t="s">
        <v>2776</v>
      </c>
      <c r="B542" s="20">
        <v>8362</v>
      </c>
      <c r="C542" s="19" t="s">
        <v>222</v>
      </c>
      <c r="D542" s="21" t="s">
        <v>44</v>
      </c>
      <c r="E542" s="21" t="s">
        <v>17</v>
      </c>
      <c r="F542" s="22">
        <v>1</v>
      </c>
      <c r="G542" s="22">
        <f t="shared" si="147"/>
        <v>16.3965</v>
      </c>
      <c r="H542" s="22">
        <f t="shared" si="158"/>
        <v>20.79</v>
      </c>
      <c r="I542" s="147">
        <f t="shared" si="159"/>
        <v>20.79</v>
      </c>
      <c r="J542" s="148"/>
      <c r="K542" s="148"/>
      <c r="L542" s="148"/>
      <c r="M542" s="148">
        <v>18.27</v>
      </c>
      <c r="N542" s="148">
        <v>23.17</v>
      </c>
      <c r="O542" s="148">
        <v>23.17</v>
      </c>
      <c r="P542" s="494"/>
      <c r="Q542" s="147">
        <f t="shared" si="156"/>
        <v>0</v>
      </c>
      <c r="R542" s="148"/>
      <c r="S542" s="148">
        <f t="shared" si="157"/>
        <v>0</v>
      </c>
      <c r="T542" s="148">
        <f t="shared" si="146"/>
        <v>1</v>
      </c>
      <c r="U542" s="148">
        <f t="shared" si="145"/>
        <v>23.17</v>
      </c>
      <c r="V542" s="379"/>
      <c r="W542" s="379"/>
      <c r="X542" s="57">
        <f>'COMPOSIÇÃO DE CUSTOS'!G1997</f>
        <v>16.399999999999999</v>
      </c>
      <c r="Y542" s="334">
        <v>19.29</v>
      </c>
      <c r="Z542" s="58">
        <f t="shared" si="148"/>
        <v>-2.8934999999999995</v>
      </c>
      <c r="AA542" s="58">
        <f t="shared" si="149"/>
        <v>16.3965</v>
      </c>
      <c r="AB542" s="58"/>
      <c r="AC542" s="58">
        <f t="shared" si="150"/>
        <v>20.79</v>
      </c>
      <c r="AD542" s="58" t="e">
        <f>IF(B542&lt;&gt;0,VLOOKUP(B542,#REF!,2,FALSE),"")</f>
        <v>#REF!</v>
      </c>
      <c r="AE542" s="55">
        <v>1</v>
      </c>
      <c r="AF542" s="55">
        <f t="shared" si="155"/>
        <v>0</v>
      </c>
    </row>
    <row r="543" spans="1:32" s="55" customFormat="1" ht="30">
      <c r="A543" s="21" t="s">
        <v>2777</v>
      </c>
      <c r="B543" s="138">
        <v>98302</v>
      </c>
      <c r="C543" s="135" t="s">
        <v>3087</v>
      </c>
      <c r="D543" s="21" t="s">
        <v>12</v>
      </c>
      <c r="E543" s="21" t="s">
        <v>17</v>
      </c>
      <c r="F543" s="22">
        <v>1</v>
      </c>
      <c r="G543" s="22">
        <f t="shared" si="147"/>
        <v>463.1395</v>
      </c>
      <c r="H543" s="22">
        <f t="shared" si="158"/>
        <v>587.30999999999995</v>
      </c>
      <c r="I543" s="147">
        <f t="shared" si="159"/>
        <v>587.30999999999995</v>
      </c>
      <c r="J543" s="148"/>
      <c r="K543" s="148"/>
      <c r="L543" s="148"/>
      <c r="M543" s="148">
        <v>515.94000000000005</v>
      </c>
      <c r="N543" s="148">
        <v>654.26</v>
      </c>
      <c r="O543" s="148">
        <v>654.26</v>
      </c>
      <c r="P543" s="494"/>
      <c r="Q543" s="147">
        <f t="shared" si="156"/>
        <v>0</v>
      </c>
      <c r="R543" s="148"/>
      <c r="S543" s="148">
        <f t="shared" si="157"/>
        <v>0</v>
      </c>
      <c r="T543" s="148">
        <f t="shared" si="146"/>
        <v>1</v>
      </c>
      <c r="U543" s="148">
        <f t="shared" si="145"/>
        <v>654.26</v>
      </c>
      <c r="V543" s="379"/>
      <c r="W543" s="379"/>
      <c r="X543" s="57" t="e">
        <f>IF(B543&lt;&gt;0,VLOOKUP(B543,#REF!,4,FALSE),"")</f>
        <v>#REF!</v>
      </c>
      <c r="Y543" s="334" t="s">
        <v>3165</v>
      </c>
      <c r="Z543" s="58">
        <f t="shared" si="148"/>
        <v>-81.730500000000006</v>
      </c>
      <c r="AA543" s="58">
        <f t="shared" si="149"/>
        <v>463.1395</v>
      </c>
      <c r="AB543" s="58"/>
      <c r="AC543" s="58">
        <f t="shared" si="150"/>
        <v>587.30999999999995</v>
      </c>
      <c r="AD543" s="58" t="e">
        <f>IF(B543&lt;&gt;0,VLOOKUP(B543,#REF!,2,FALSE),"")</f>
        <v>#REF!</v>
      </c>
      <c r="AE543" s="55">
        <v>1</v>
      </c>
      <c r="AF543" s="55">
        <f t="shared" si="155"/>
        <v>0</v>
      </c>
    </row>
    <row r="544" spans="1:32" s="55" customFormat="1" ht="45">
      <c r="A544" s="21" t="s">
        <v>2778</v>
      </c>
      <c r="B544" s="138" t="s">
        <v>2494</v>
      </c>
      <c r="C544" s="135" t="s">
        <v>2018</v>
      </c>
      <c r="D544" s="21" t="s">
        <v>1914</v>
      </c>
      <c r="E544" s="21" t="s">
        <v>17</v>
      </c>
      <c r="F544" s="22">
        <v>1</v>
      </c>
      <c r="G544" s="22">
        <f t="shared" si="147"/>
        <v>3039.1324999999997</v>
      </c>
      <c r="H544" s="22">
        <f t="shared" si="158"/>
        <v>3853.92</v>
      </c>
      <c r="I544" s="147">
        <f t="shared" si="159"/>
        <v>3853.92</v>
      </c>
      <c r="J544" s="148"/>
      <c r="K544" s="148"/>
      <c r="L544" s="148"/>
      <c r="M544" s="148">
        <v>3385.62</v>
      </c>
      <c r="N544" s="148">
        <v>4293.3</v>
      </c>
      <c r="O544" s="148">
        <v>4293.3</v>
      </c>
      <c r="P544" s="494"/>
      <c r="Q544" s="147">
        <f t="shared" si="156"/>
        <v>0</v>
      </c>
      <c r="R544" s="148"/>
      <c r="S544" s="148">
        <f t="shared" si="157"/>
        <v>0</v>
      </c>
      <c r="T544" s="148">
        <f t="shared" si="146"/>
        <v>1</v>
      </c>
      <c r="U544" s="148">
        <f t="shared" si="145"/>
        <v>4293.3</v>
      </c>
      <c r="V544" s="379"/>
      <c r="W544" s="379"/>
      <c r="X544" s="57">
        <f>'COMPOSIÇÃO DE CUSTOS'!G2229</f>
        <v>3039.14</v>
      </c>
      <c r="Y544" s="334">
        <v>3575.45</v>
      </c>
      <c r="Z544" s="58">
        <f t="shared" si="148"/>
        <v>-536.31750000000011</v>
      </c>
      <c r="AA544" s="58">
        <f t="shared" si="149"/>
        <v>3039.1324999999997</v>
      </c>
      <c r="AB544" s="58"/>
      <c r="AC544" s="58">
        <f t="shared" si="150"/>
        <v>3853.92</v>
      </c>
      <c r="AD544" s="58" t="e">
        <f>IF(B544&lt;&gt;0,VLOOKUP(B544,#REF!,2,FALSE),"")</f>
        <v>#REF!</v>
      </c>
      <c r="AE544" s="55">
        <v>13</v>
      </c>
      <c r="AF544" s="55">
        <f t="shared" si="155"/>
        <v>12</v>
      </c>
    </row>
    <row r="545" spans="1:32" s="55" customFormat="1" ht="30">
      <c r="A545" s="21" t="s">
        <v>2779</v>
      </c>
      <c r="B545" s="134">
        <v>758</v>
      </c>
      <c r="C545" s="135" t="s">
        <v>234</v>
      </c>
      <c r="D545" s="21" t="s">
        <v>44</v>
      </c>
      <c r="E545" s="21" t="s">
        <v>17</v>
      </c>
      <c r="F545" s="22">
        <v>13</v>
      </c>
      <c r="G545" s="22">
        <f t="shared" si="147"/>
        <v>4.4540000000000006</v>
      </c>
      <c r="H545" s="22">
        <f t="shared" si="158"/>
        <v>5.65</v>
      </c>
      <c r="I545" s="147">
        <f t="shared" si="159"/>
        <v>73.45</v>
      </c>
      <c r="J545" s="148"/>
      <c r="K545" s="148"/>
      <c r="L545" s="148"/>
      <c r="M545" s="148">
        <v>4.96</v>
      </c>
      <c r="N545" s="148">
        <v>6.29</v>
      </c>
      <c r="O545" s="148">
        <v>81.77</v>
      </c>
      <c r="P545" s="494"/>
      <c r="Q545" s="147">
        <f t="shared" si="156"/>
        <v>0</v>
      </c>
      <c r="R545" s="148"/>
      <c r="S545" s="148">
        <f t="shared" si="157"/>
        <v>0</v>
      </c>
      <c r="T545" s="148">
        <f t="shared" si="146"/>
        <v>13</v>
      </c>
      <c r="U545" s="148">
        <f t="shared" ref="U545:U608" si="160">L545+Q545-S545+O545</f>
        <v>81.77</v>
      </c>
      <c r="V545" s="379"/>
      <c r="W545" s="379"/>
      <c r="X545" s="57">
        <f>'COMPOSIÇÃO DE CUSTOS'!G1974</f>
        <v>4.45</v>
      </c>
      <c r="Y545" s="334">
        <v>5.24</v>
      </c>
      <c r="Z545" s="58">
        <f t="shared" si="148"/>
        <v>-0.78599999999999959</v>
      </c>
      <c r="AA545" s="58">
        <f t="shared" si="149"/>
        <v>57.902000000000008</v>
      </c>
      <c r="AB545" s="58"/>
      <c r="AC545" s="58">
        <f t="shared" si="150"/>
        <v>73.45</v>
      </c>
      <c r="AD545" s="58" t="e">
        <f>IF(B545&lt;&gt;0,VLOOKUP(B545,#REF!,2,FALSE),"")</f>
        <v>#REF!</v>
      </c>
      <c r="AE545" s="55">
        <v>1</v>
      </c>
      <c r="AF545" s="55">
        <f t="shared" si="155"/>
        <v>-12</v>
      </c>
    </row>
    <row r="546" spans="1:32" s="55" customFormat="1">
      <c r="A546" s="21" t="s">
        <v>2780</v>
      </c>
      <c r="B546" s="138">
        <v>9218</v>
      </c>
      <c r="C546" s="139" t="s">
        <v>2036</v>
      </c>
      <c r="D546" s="21" t="s">
        <v>44</v>
      </c>
      <c r="E546" s="21" t="s">
        <v>17</v>
      </c>
      <c r="F546" s="22">
        <v>1</v>
      </c>
      <c r="G546" s="22">
        <f t="shared" si="147"/>
        <v>1893.8765000000001</v>
      </c>
      <c r="H546" s="22">
        <f t="shared" si="158"/>
        <v>2401.62</v>
      </c>
      <c r="I546" s="147">
        <f t="shared" si="159"/>
        <v>2401.62</v>
      </c>
      <c r="J546" s="148"/>
      <c r="K546" s="148"/>
      <c r="L546" s="148"/>
      <c r="M546" s="148">
        <v>2109.79</v>
      </c>
      <c r="N546" s="148">
        <v>2675.42</v>
      </c>
      <c r="O546" s="148">
        <v>2675.42</v>
      </c>
      <c r="P546" s="494"/>
      <c r="Q546" s="147">
        <f t="shared" si="156"/>
        <v>0</v>
      </c>
      <c r="R546" s="148"/>
      <c r="S546" s="148">
        <f t="shared" si="157"/>
        <v>0</v>
      </c>
      <c r="T546" s="148">
        <f t="shared" si="146"/>
        <v>1</v>
      </c>
      <c r="U546" s="148">
        <f t="shared" si="160"/>
        <v>2675.42</v>
      </c>
      <c r="V546" s="379"/>
      <c r="W546" s="379"/>
      <c r="X546" s="57">
        <f>'COMPOSIÇÃO DE CUSTOS'!G2251</f>
        <v>1893.88</v>
      </c>
      <c r="Y546" s="334">
        <v>2228.09</v>
      </c>
      <c r="Z546" s="58">
        <f t="shared" si="148"/>
        <v>-334.21350000000007</v>
      </c>
      <c r="AA546" s="58">
        <f t="shared" si="149"/>
        <v>1893.8765000000001</v>
      </c>
      <c r="AB546" s="58"/>
      <c r="AC546" s="58">
        <f t="shared" si="150"/>
        <v>2401.62</v>
      </c>
      <c r="AD546" s="58" t="e">
        <f>IF(B546&lt;&gt;0,VLOOKUP(B546,#REF!,2,FALSE),"")</f>
        <v>#REF!</v>
      </c>
      <c r="AF546" s="55">
        <f t="shared" si="155"/>
        <v>-1</v>
      </c>
    </row>
    <row r="547" spans="1:32" s="55" customFormat="1">
      <c r="A547" s="69" t="s">
        <v>2781</v>
      </c>
      <c r="B547" s="129"/>
      <c r="C547" s="229" t="s">
        <v>224</v>
      </c>
      <c r="D547" s="230"/>
      <c r="E547" s="230"/>
      <c r="F547" s="230"/>
      <c r="G547" s="22"/>
      <c r="H547" s="230"/>
      <c r="I547" s="445"/>
      <c r="J547" s="440"/>
      <c r="K547" s="440"/>
      <c r="L547" s="440"/>
      <c r="M547" s="440"/>
      <c r="N547" s="440"/>
      <c r="O547" s="440"/>
      <c r="P547" s="492"/>
      <c r="Q547" s="147">
        <f t="shared" si="156"/>
        <v>0</v>
      </c>
      <c r="R547" s="440"/>
      <c r="S547" s="148">
        <f t="shared" si="157"/>
        <v>0</v>
      </c>
      <c r="T547" s="148" t="str">
        <f t="shared" ref="T547:T610" si="161">IF(F547&gt;0,F547+P547-R547," ")</f>
        <v xml:space="preserve"> </v>
      </c>
      <c r="U547" s="148">
        <f t="shared" si="160"/>
        <v>0</v>
      </c>
      <c r="V547" s="330"/>
      <c r="W547" s="330"/>
      <c r="X547" s="58" t="str">
        <f>IF(B547&lt;&gt;0,VLOOKUP(B547,#REF!,4,FALSE),"")</f>
        <v/>
      </c>
      <c r="Y547" s="334" t="s">
        <v>1891</v>
      </c>
      <c r="Z547" s="58"/>
      <c r="AA547" s="58">
        <f t="shared" si="149"/>
        <v>0</v>
      </c>
      <c r="AB547" s="58"/>
      <c r="AC547" s="58">
        <f t="shared" si="150"/>
        <v>0</v>
      </c>
      <c r="AD547" s="58" t="str">
        <f>IF(B547&lt;&gt;0,VLOOKUP(B547,#REF!,2,FALSE),"")</f>
        <v/>
      </c>
      <c r="AE547" s="55">
        <v>72</v>
      </c>
      <c r="AF547" s="55">
        <f t="shared" si="155"/>
        <v>72</v>
      </c>
    </row>
    <row r="548" spans="1:32" s="55" customFormat="1" ht="45">
      <c r="A548" s="21" t="s">
        <v>2782</v>
      </c>
      <c r="B548" s="20">
        <v>91863</v>
      </c>
      <c r="C548" s="19" t="s">
        <v>1692</v>
      </c>
      <c r="D548" s="21" t="s">
        <v>12</v>
      </c>
      <c r="E548" s="21" t="s">
        <v>52</v>
      </c>
      <c r="F548" s="22">
        <v>72</v>
      </c>
      <c r="G548" s="22">
        <f t="shared" si="147"/>
        <v>6.8849999999999998</v>
      </c>
      <c r="H548" s="22">
        <f t="shared" ref="H548:H561" si="162">ROUND(G548*(1+$X$13),2)</f>
        <v>8.73</v>
      </c>
      <c r="I548" s="147">
        <f t="shared" ref="I548:I561" si="163">ROUND(H548*F548,2)</f>
        <v>628.55999999999995</v>
      </c>
      <c r="J548" s="148"/>
      <c r="K548" s="148"/>
      <c r="L548" s="148"/>
      <c r="M548" s="148">
        <v>7.67</v>
      </c>
      <c r="N548" s="148">
        <v>9.73</v>
      </c>
      <c r="O548" s="148">
        <v>700.56</v>
      </c>
      <c r="P548" s="494"/>
      <c r="Q548" s="147">
        <f t="shared" si="156"/>
        <v>0</v>
      </c>
      <c r="R548" s="148"/>
      <c r="S548" s="148">
        <f t="shared" si="157"/>
        <v>0</v>
      </c>
      <c r="T548" s="148">
        <f t="shared" si="161"/>
        <v>72</v>
      </c>
      <c r="U548" s="148">
        <f t="shared" si="160"/>
        <v>700.56</v>
      </c>
      <c r="V548" s="379"/>
      <c r="W548" s="379"/>
      <c r="X548" s="58" t="e">
        <f>IF(B548&lt;&gt;0,VLOOKUP(B548,#REF!,4,FALSE),"")</f>
        <v>#REF!</v>
      </c>
      <c r="Y548" s="334" t="s">
        <v>1885</v>
      </c>
      <c r="Z548" s="58">
        <f t="shared" si="148"/>
        <v>-1.2149999999999999</v>
      </c>
      <c r="AA548" s="58">
        <f t="shared" si="149"/>
        <v>495.71999999999997</v>
      </c>
      <c r="AB548" s="58"/>
      <c r="AC548" s="58">
        <f t="shared" si="150"/>
        <v>628.56000000000006</v>
      </c>
      <c r="AD548" s="58" t="e">
        <f>IF(B548&lt;&gt;0,VLOOKUP(B548,#REF!,2,FALSE),"")</f>
        <v>#REF!</v>
      </c>
      <c r="AE548" s="55">
        <v>5</v>
      </c>
      <c r="AF548" s="55">
        <f t="shared" si="155"/>
        <v>-67</v>
      </c>
    </row>
    <row r="549" spans="1:32" s="55" customFormat="1" ht="60">
      <c r="A549" s="21" t="s">
        <v>2783</v>
      </c>
      <c r="B549" s="20">
        <v>91890</v>
      </c>
      <c r="C549" s="19" t="s">
        <v>1693</v>
      </c>
      <c r="D549" s="21" t="s">
        <v>12</v>
      </c>
      <c r="E549" s="21" t="s">
        <v>17</v>
      </c>
      <c r="F549" s="22">
        <v>5</v>
      </c>
      <c r="G549" s="22">
        <f t="shared" si="147"/>
        <v>6.375</v>
      </c>
      <c r="H549" s="22">
        <f t="shared" si="162"/>
        <v>8.08</v>
      </c>
      <c r="I549" s="147">
        <f t="shared" si="163"/>
        <v>40.4</v>
      </c>
      <c r="J549" s="148"/>
      <c r="K549" s="148"/>
      <c r="L549" s="148"/>
      <c r="M549" s="148">
        <v>7.1</v>
      </c>
      <c r="N549" s="148">
        <v>9</v>
      </c>
      <c r="O549" s="148">
        <v>45</v>
      </c>
      <c r="P549" s="494"/>
      <c r="Q549" s="147">
        <f t="shared" si="156"/>
        <v>0</v>
      </c>
      <c r="R549" s="148"/>
      <c r="S549" s="148">
        <f t="shared" si="157"/>
        <v>0</v>
      </c>
      <c r="T549" s="148">
        <f t="shared" si="161"/>
        <v>5</v>
      </c>
      <c r="U549" s="148">
        <f t="shared" si="160"/>
        <v>45</v>
      </c>
      <c r="V549" s="379"/>
      <c r="W549" s="379"/>
      <c r="X549" s="58" t="e">
        <f>IF(B549&lt;&gt;0,VLOOKUP(B549,#REF!,4,FALSE),"")</f>
        <v>#REF!</v>
      </c>
      <c r="Y549" s="334" t="s">
        <v>3222</v>
      </c>
      <c r="Z549" s="58">
        <f t="shared" si="148"/>
        <v>-1.125</v>
      </c>
      <c r="AA549" s="58">
        <f t="shared" si="149"/>
        <v>31.875</v>
      </c>
      <c r="AB549" s="58"/>
      <c r="AC549" s="58">
        <f t="shared" si="150"/>
        <v>40.4</v>
      </c>
      <c r="AD549" s="58" t="e">
        <f>IF(B549&lt;&gt;0,VLOOKUP(B549,#REF!,2,FALSE),"")</f>
        <v>#REF!</v>
      </c>
      <c r="AE549" s="55">
        <v>34</v>
      </c>
      <c r="AF549" s="55">
        <f t="shared" si="155"/>
        <v>29</v>
      </c>
    </row>
    <row r="550" spans="1:32" s="55" customFormat="1" ht="60">
      <c r="A550" s="21" t="s">
        <v>2784</v>
      </c>
      <c r="B550" s="20">
        <v>91875</v>
      </c>
      <c r="C550" s="19" t="s">
        <v>1694</v>
      </c>
      <c r="D550" s="21" t="s">
        <v>12</v>
      </c>
      <c r="E550" s="21" t="s">
        <v>17</v>
      </c>
      <c r="F550" s="22">
        <v>34</v>
      </c>
      <c r="G550" s="22">
        <f t="shared" si="147"/>
        <v>3.7654999999999998</v>
      </c>
      <c r="H550" s="22">
        <f t="shared" si="162"/>
        <v>4.78</v>
      </c>
      <c r="I550" s="147">
        <f t="shared" si="163"/>
        <v>162.52000000000001</v>
      </c>
      <c r="J550" s="148"/>
      <c r="K550" s="148"/>
      <c r="L550" s="148"/>
      <c r="M550" s="148">
        <v>4.1900000000000004</v>
      </c>
      <c r="N550" s="148">
        <v>5.31</v>
      </c>
      <c r="O550" s="148">
        <v>180.54</v>
      </c>
      <c r="P550" s="494"/>
      <c r="Q550" s="147">
        <f t="shared" si="156"/>
        <v>0</v>
      </c>
      <c r="R550" s="148"/>
      <c r="S550" s="148">
        <f t="shared" si="157"/>
        <v>0</v>
      </c>
      <c r="T550" s="148">
        <f t="shared" si="161"/>
        <v>34</v>
      </c>
      <c r="U550" s="148">
        <f t="shared" si="160"/>
        <v>180.54</v>
      </c>
      <c r="V550" s="379"/>
      <c r="W550" s="379"/>
      <c r="X550" s="58" t="e">
        <f>IF(B550&lt;&gt;0,VLOOKUP(B550,#REF!,4,FALSE),"")</f>
        <v>#REF!</v>
      </c>
      <c r="Y550" s="334" t="s">
        <v>1864</v>
      </c>
      <c r="Z550" s="58">
        <f t="shared" si="148"/>
        <v>-0.66449999999999987</v>
      </c>
      <c r="AA550" s="58">
        <f t="shared" si="149"/>
        <v>128.02699999999999</v>
      </c>
      <c r="AB550" s="58"/>
      <c r="AC550" s="58">
        <f t="shared" si="150"/>
        <v>162.52000000000001</v>
      </c>
      <c r="AD550" s="58" t="e">
        <f>IF(B550&lt;&gt;0,VLOOKUP(B550,#REF!,2,FALSE),"")</f>
        <v>#REF!</v>
      </c>
      <c r="AE550" s="55">
        <v>32</v>
      </c>
      <c r="AF550" s="55">
        <f t="shared" si="155"/>
        <v>-2</v>
      </c>
    </row>
    <row r="551" spans="1:32" s="55" customFormat="1" ht="45">
      <c r="A551" s="21" t="s">
        <v>2785</v>
      </c>
      <c r="B551" s="20">
        <v>91871</v>
      </c>
      <c r="C551" s="19" t="s">
        <v>1695</v>
      </c>
      <c r="D551" s="21" t="s">
        <v>12</v>
      </c>
      <c r="E551" s="21" t="s">
        <v>52</v>
      </c>
      <c r="F551" s="22">
        <v>32</v>
      </c>
      <c r="G551" s="22">
        <f t="shared" si="147"/>
        <v>7.3949999999999996</v>
      </c>
      <c r="H551" s="22">
        <f t="shared" si="162"/>
        <v>9.3800000000000008</v>
      </c>
      <c r="I551" s="147">
        <f t="shared" si="163"/>
        <v>300.16000000000003</v>
      </c>
      <c r="J551" s="148"/>
      <c r="K551" s="148"/>
      <c r="L551" s="148"/>
      <c r="M551" s="148">
        <v>8.24</v>
      </c>
      <c r="N551" s="148">
        <v>10.45</v>
      </c>
      <c r="O551" s="148">
        <v>334.4</v>
      </c>
      <c r="P551" s="494"/>
      <c r="Q551" s="147">
        <f t="shared" si="156"/>
        <v>0</v>
      </c>
      <c r="R551" s="148"/>
      <c r="S551" s="148">
        <f t="shared" si="157"/>
        <v>0</v>
      </c>
      <c r="T551" s="148">
        <f t="shared" si="161"/>
        <v>32</v>
      </c>
      <c r="U551" s="148">
        <f t="shared" si="160"/>
        <v>334.4</v>
      </c>
      <c r="V551" s="379"/>
      <c r="W551" s="379"/>
      <c r="X551" s="58" t="e">
        <f>IF(B551&lt;&gt;0,VLOOKUP(B551,#REF!,4,FALSE),"")</f>
        <v>#REF!</v>
      </c>
      <c r="Y551" s="334" t="s">
        <v>2647</v>
      </c>
      <c r="Z551" s="58">
        <f t="shared" si="148"/>
        <v>-1.3049999999999997</v>
      </c>
      <c r="AA551" s="58">
        <f t="shared" si="149"/>
        <v>236.64</v>
      </c>
      <c r="AB551" s="58"/>
      <c r="AC551" s="58">
        <f t="shared" si="150"/>
        <v>300.16000000000003</v>
      </c>
      <c r="AD551" s="58" t="e">
        <f>IF(B551&lt;&gt;0,VLOOKUP(B551,#REF!,2,FALSE),"")</f>
        <v>#REF!</v>
      </c>
      <c r="AE551" s="55">
        <v>14</v>
      </c>
      <c r="AF551" s="55">
        <f t="shared" si="155"/>
        <v>-18</v>
      </c>
    </row>
    <row r="552" spans="1:32" s="55" customFormat="1" ht="60">
      <c r="A552" s="21" t="s">
        <v>2786</v>
      </c>
      <c r="B552" s="20">
        <v>91914</v>
      </c>
      <c r="C552" s="19" t="s">
        <v>1696</v>
      </c>
      <c r="D552" s="21" t="s">
        <v>12</v>
      </c>
      <c r="E552" s="21" t="s">
        <v>17</v>
      </c>
      <c r="F552" s="22">
        <v>14</v>
      </c>
      <c r="G552" s="22">
        <f t="shared" si="147"/>
        <v>8.5084999999999997</v>
      </c>
      <c r="H552" s="22">
        <f t="shared" si="162"/>
        <v>10.79</v>
      </c>
      <c r="I552" s="147">
        <f t="shared" si="163"/>
        <v>151.06</v>
      </c>
      <c r="J552" s="148"/>
      <c r="K552" s="148"/>
      <c r="L552" s="148"/>
      <c r="M552" s="148">
        <v>9.48</v>
      </c>
      <c r="N552" s="148">
        <v>12.02</v>
      </c>
      <c r="O552" s="148">
        <v>168.28</v>
      </c>
      <c r="P552" s="494"/>
      <c r="Q552" s="147">
        <f t="shared" si="156"/>
        <v>0</v>
      </c>
      <c r="R552" s="148"/>
      <c r="S552" s="148">
        <f t="shared" si="157"/>
        <v>0</v>
      </c>
      <c r="T552" s="148">
        <f t="shared" si="161"/>
        <v>14</v>
      </c>
      <c r="U552" s="148">
        <f t="shared" si="160"/>
        <v>168.28</v>
      </c>
      <c r="V552" s="379"/>
      <c r="W552" s="379"/>
      <c r="X552" s="58" t="e">
        <f>IF(B552&lt;&gt;0,VLOOKUP(B552,#REF!,4,FALSE),"")</f>
        <v>#REF!</v>
      </c>
      <c r="Y552" s="334" t="s">
        <v>1907</v>
      </c>
      <c r="Z552" s="58">
        <f t="shared" si="148"/>
        <v>-1.5015000000000001</v>
      </c>
      <c r="AA552" s="58">
        <f t="shared" si="149"/>
        <v>119.119</v>
      </c>
      <c r="AB552" s="58"/>
      <c r="AC552" s="58">
        <f t="shared" si="150"/>
        <v>151.06</v>
      </c>
      <c r="AD552" s="58" t="e">
        <f>IF(B552&lt;&gt;0,VLOOKUP(B552,#REF!,2,FALSE),"")</f>
        <v>#REF!</v>
      </c>
      <c r="AE552" s="55">
        <v>39</v>
      </c>
      <c r="AF552" s="55">
        <f t="shared" si="155"/>
        <v>25</v>
      </c>
    </row>
    <row r="553" spans="1:32" s="55" customFormat="1" ht="60">
      <c r="A553" s="21" t="s">
        <v>2787</v>
      </c>
      <c r="B553" s="20">
        <v>91884</v>
      </c>
      <c r="C553" s="19" t="s">
        <v>1697</v>
      </c>
      <c r="D553" s="21" t="s">
        <v>12</v>
      </c>
      <c r="E553" s="21" t="s">
        <v>17</v>
      </c>
      <c r="F553" s="22">
        <v>39</v>
      </c>
      <c r="G553" s="22">
        <f t="shared" si="147"/>
        <v>5.1849999999999996</v>
      </c>
      <c r="H553" s="22">
        <f t="shared" si="162"/>
        <v>6.58</v>
      </c>
      <c r="I553" s="147">
        <f t="shared" si="163"/>
        <v>256.62</v>
      </c>
      <c r="J553" s="148"/>
      <c r="K553" s="148"/>
      <c r="L553" s="148"/>
      <c r="M553" s="148">
        <v>5.78</v>
      </c>
      <c r="N553" s="148">
        <v>7.33</v>
      </c>
      <c r="O553" s="148">
        <v>285.87</v>
      </c>
      <c r="P553" s="494"/>
      <c r="Q553" s="147">
        <f t="shared" si="156"/>
        <v>0</v>
      </c>
      <c r="R553" s="148"/>
      <c r="S553" s="148">
        <f t="shared" si="157"/>
        <v>0</v>
      </c>
      <c r="T553" s="148">
        <f t="shared" si="161"/>
        <v>39</v>
      </c>
      <c r="U553" s="148">
        <f t="shared" si="160"/>
        <v>285.87</v>
      </c>
      <c r="V553" s="379"/>
      <c r="W553" s="379"/>
      <c r="X553" s="58" t="e">
        <f>IF(B553&lt;&gt;0,VLOOKUP(B553,#REF!,4,FALSE),"")</f>
        <v>#REF!</v>
      </c>
      <c r="Y553" s="334" t="s">
        <v>3138</v>
      </c>
      <c r="Z553" s="58">
        <f t="shared" si="148"/>
        <v>-0.91500000000000004</v>
      </c>
      <c r="AA553" s="58">
        <f t="shared" si="149"/>
        <v>202.21499999999997</v>
      </c>
      <c r="AB553" s="58"/>
      <c r="AC553" s="58">
        <f t="shared" si="150"/>
        <v>256.62</v>
      </c>
      <c r="AD553" s="58" t="e">
        <f>IF(B553&lt;&gt;0,VLOOKUP(B553,#REF!,2,FALSE),"")</f>
        <v>#REF!</v>
      </c>
      <c r="AE553" s="55">
        <v>4</v>
      </c>
      <c r="AF553" s="55">
        <f t="shared" si="155"/>
        <v>-35</v>
      </c>
    </row>
    <row r="554" spans="1:32" s="55" customFormat="1" ht="45">
      <c r="A554" s="21" t="s">
        <v>2788</v>
      </c>
      <c r="B554" s="20">
        <v>91865</v>
      </c>
      <c r="C554" s="19" t="s">
        <v>1702</v>
      </c>
      <c r="D554" s="21" t="s">
        <v>12</v>
      </c>
      <c r="E554" s="21" t="s">
        <v>52</v>
      </c>
      <c r="F554" s="22">
        <v>4</v>
      </c>
      <c r="G554" s="22">
        <f t="shared" si="147"/>
        <v>11.322000000000001</v>
      </c>
      <c r="H554" s="22">
        <f t="shared" si="162"/>
        <v>14.36</v>
      </c>
      <c r="I554" s="147">
        <f t="shared" si="163"/>
        <v>57.44</v>
      </c>
      <c r="J554" s="148"/>
      <c r="K554" s="148"/>
      <c r="L554" s="148"/>
      <c r="M554" s="148">
        <v>12.61</v>
      </c>
      <c r="N554" s="148">
        <v>15.99</v>
      </c>
      <c r="O554" s="148">
        <v>63.96</v>
      </c>
      <c r="P554" s="494"/>
      <c r="Q554" s="147">
        <f t="shared" si="156"/>
        <v>0</v>
      </c>
      <c r="R554" s="148"/>
      <c r="S554" s="148">
        <f t="shared" si="157"/>
        <v>0</v>
      </c>
      <c r="T554" s="148">
        <f t="shared" si="161"/>
        <v>4</v>
      </c>
      <c r="U554" s="148">
        <f t="shared" si="160"/>
        <v>63.96</v>
      </c>
      <c r="V554" s="379"/>
      <c r="W554" s="379"/>
      <c r="X554" s="58" t="e">
        <f>IF(B554&lt;&gt;0,VLOOKUP(B554,#REF!,4,FALSE),"")</f>
        <v>#REF!</v>
      </c>
      <c r="Y554" s="334" t="s">
        <v>3102</v>
      </c>
      <c r="Z554" s="58">
        <f t="shared" si="148"/>
        <v>-1.9979999999999993</v>
      </c>
      <c r="AA554" s="58">
        <f t="shared" si="149"/>
        <v>45.288000000000004</v>
      </c>
      <c r="AB554" s="58"/>
      <c r="AC554" s="58">
        <f t="shared" si="150"/>
        <v>57.44</v>
      </c>
      <c r="AD554" s="58" t="e">
        <f>IF(B554&lt;&gt;0,VLOOKUP(B554,#REF!,2,FALSE),"")</f>
        <v>#REF!</v>
      </c>
      <c r="AE554" s="55">
        <v>1</v>
      </c>
      <c r="AF554" s="55">
        <f t="shared" si="155"/>
        <v>-3</v>
      </c>
    </row>
    <row r="555" spans="1:32" ht="71.25" customHeight="1">
      <c r="A555" s="21" t="s">
        <v>2789</v>
      </c>
      <c r="B555" s="20">
        <v>91896</v>
      </c>
      <c r="C555" s="19" t="s">
        <v>1703</v>
      </c>
      <c r="D555" s="21" t="s">
        <v>12</v>
      </c>
      <c r="E555" s="21" t="s">
        <v>17</v>
      </c>
      <c r="F555" s="22">
        <v>1</v>
      </c>
      <c r="G555" s="22">
        <f t="shared" si="147"/>
        <v>10.6335</v>
      </c>
      <c r="H555" s="22">
        <f t="shared" si="162"/>
        <v>13.48</v>
      </c>
      <c r="I555" s="147">
        <f t="shared" si="163"/>
        <v>13.48</v>
      </c>
      <c r="J555" s="148"/>
      <c r="K555" s="148"/>
      <c r="L555" s="148"/>
      <c r="M555" s="148">
        <v>11.85</v>
      </c>
      <c r="N555" s="148">
        <v>15.03</v>
      </c>
      <c r="O555" s="148">
        <v>15.03</v>
      </c>
      <c r="P555" s="494"/>
      <c r="Q555" s="147">
        <f t="shared" si="156"/>
        <v>0</v>
      </c>
      <c r="R555" s="148"/>
      <c r="S555" s="148">
        <f t="shared" si="157"/>
        <v>0</v>
      </c>
      <c r="T555" s="148">
        <f t="shared" si="161"/>
        <v>1</v>
      </c>
      <c r="U555" s="148">
        <f t="shared" si="160"/>
        <v>15.03</v>
      </c>
      <c r="V555" s="379"/>
      <c r="W555" s="379"/>
      <c r="X555" s="58" t="e">
        <f>IF(B555&lt;&gt;0,VLOOKUP(B555,#REF!,4,FALSE),"")</f>
        <v>#REF!</v>
      </c>
      <c r="Y555" s="334" t="s">
        <v>3032</v>
      </c>
      <c r="Z555" s="58">
        <f t="shared" si="148"/>
        <v>-1.8765000000000001</v>
      </c>
      <c r="AA555" s="58">
        <f t="shared" si="149"/>
        <v>10.6335</v>
      </c>
      <c r="AB555" s="58"/>
      <c r="AC555" s="58">
        <f t="shared" si="150"/>
        <v>13.48</v>
      </c>
      <c r="AD555" s="58" t="e">
        <f>IF(B555&lt;&gt;0,VLOOKUP(B555,#REF!,2,FALSE),"")</f>
        <v>#REF!</v>
      </c>
      <c r="AE555" s="2">
        <v>4</v>
      </c>
      <c r="AF555" s="55">
        <f t="shared" si="155"/>
        <v>3</v>
      </c>
    </row>
    <row r="556" spans="1:32" ht="60">
      <c r="A556" s="21" t="s">
        <v>2790</v>
      </c>
      <c r="B556" s="20">
        <v>91877</v>
      </c>
      <c r="C556" s="19" t="s">
        <v>1704</v>
      </c>
      <c r="D556" s="21" t="s">
        <v>12</v>
      </c>
      <c r="E556" s="21" t="s">
        <v>17</v>
      </c>
      <c r="F556" s="22">
        <v>4</v>
      </c>
      <c r="G556" s="22">
        <f t="shared" ref="G556:G618" si="164">Y556-(Y556*$Z$14)</f>
        <v>6.681</v>
      </c>
      <c r="H556" s="22">
        <f t="shared" si="162"/>
        <v>8.4700000000000006</v>
      </c>
      <c r="I556" s="147">
        <f t="shared" si="163"/>
        <v>33.880000000000003</v>
      </c>
      <c r="J556" s="148"/>
      <c r="K556" s="148"/>
      <c r="L556" s="148"/>
      <c r="M556" s="148">
        <v>7.44</v>
      </c>
      <c r="N556" s="148">
        <v>9.43</v>
      </c>
      <c r="O556" s="148">
        <v>37.72</v>
      </c>
      <c r="P556" s="494"/>
      <c r="Q556" s="147">
        <f t="shared" si="156"/>
        <v>0</v>
      </c>
      <c r="R556" s="148"/>
      <c r="S556" s="148">
        <f t="shared" si="157"/>
        <v>0</v>
      </c>
      <c r="T556" s="148">
        <f t="shared" si="161"/>
        <v>4</v>
      </c>
      <c r="U556" s="148">
        <f t="shared" si="160"/>
        <v>37.72</v>
      </c>
      <c r="V556" s="379"/>
      <c r="W556" s="379"/>
      <c r="X556" s="58" t="e">
        <f>IF(B556&lt;&gt;0,VLOOKUP(B556,#REF!,4,FALSE),"")</f>
        <v>#REF!</v>
      </c>
      <c r="Y556" s="334" t="s">
        <v>3034</v>
      </c>
      <c r="Z556" s="58">
        <f t="shared" ref="Z556:Z618" si="165">G556-Y556</f>
        <v>-1.1790000000000003</v>
      </c>
      <c r="AA556" s="58">
        <f t="shared" ref="AA556:AA619" si="166">F556*G556</f>
        <v>26.724</v>
      </c>
      <c r="AB556" s="58"/>
      <c r="AC556" s="58">
        <f t="shared" ref="AC556:AC619" si="167">F556*H556</f>
        <v>33.880000000000003</v>
      </c>
      <c r="AD556" s="58" t="e">
        <f>IF(B556&lt;&gt;0,VLOOKUP(B556,#REF!,2,FALSE),"")</f>
        <v>#REF!</v>
      </c>
      <c r="AE556" s="2">
        <v>2</v>
      </c>
      <c r="AF556" s="55">
        <f t="shared" si="155"/>
        <v>-2</v>
      </c>
    </row>
    <row r="557" spans="1:32" ht="45">
      <c r="A557" s="21" t="s">
        <v>2791</v>
      </c>
      <c r="B557" s="20">
        <v>91873</v>
      </c>
      <c r="C557" s="19" t="s">
        <v>1665</v>
      </c>
      <c r="D557" s="21" t="s">
        <v>12</v>
      </c>
      <c r="E557" s="21" t="s">
        <v>52</v>
      </c>
      <c r="F557" s="22">
        <v>2</v>
      </c>
      <c r="G557" s="22">
        <f t="shared" si="164"/>
        <v>11.8065</v>
      </c>
      <c r="H557" s="22">
        <f t="shared" si="162"/>
        <v>14.97</v>
      </c>
      <c r="I557" s="147">
        <f t="shared" si="163"/>
        <v>29.94</v>
      </c>
      <c r="J557" s="148"/>
      <c r="K557" s="148"/>
      <c r="L557" s="148"/>
      <c r="M557" s="148">
        <v>13.15</v>
      </c>
      <c r="N557" s="148">
        <v>16.68</v>
      </c>
      <c r="O557" s="148">
        <v>33.36</v>
      </c>
      <c r="P557" s="494"/>
      <c r="Q557" s="147">
        <f t="shared" si="156"/>
        <v>0</v>
      </c>
      <c r="R557" s="148"/>
      <c r="S557" s="148">
        <f t="shared" si="157"/>
        <v>0</v>
      </c>
      <c r="T557" s="148">
        <f t="shared" si="161"/>
        <v>2</v>
      </c>
      <c r="U557" s="148">
        <f t="shared" si="160"/>
        <v>33.36</v>
      </c>
      <c r="V557" s="379"/>
      <c r="W557" s="379"/>
      <c r="X557" s="58" t="e">
        <f>IF(B557&lt;&gt;0,VLOOKUP(B557,#REF!,4,FALSE),"")</f>
        <v>#REF!</v>
      </c>
      <c r="Y557" s="334" t="s">
        <v>3154</v>
      </c>
      <c r="Z557" s="58">
        <f t="shared" si="165"/>
        <v>-2.0835000000000008</v>
      </c>
      <c r="AA557" s="58">
        <f t="shared" si="166"/>
        <v>23.613</v>
      </c>
      <c r="AB557" s="58"/>
      <c r="AC557" s="58">
        <f t="shared" si="167"/>
        <v>29.94</v>
      </c>
      <c r="AD557" s="58" t="e">
        <f>IF(B557&lt;&gt;0,VLOOKUP(B557,#REF!,2,FALSE),"")</f>
        <v>#REF!</v>
      </c>
      <c r="AE557" s="2">
        <v>1</v>
      </c>
      <c r="AF557" s="55">
        <f t="shared" si="155"/>
        <v>-1</v>
      </c>
    </row>
    <row r="558" spans="1:32" ht="15" customHeight="1">
      <c r="A558" s="21" t="s">
        <v>2792</v>
      </c>
      <c r="B558" s="20">
        <v>91920</v>
      </c>
      <c r="C558" s="19" t="s">
        <v>1666</v>
      </c>
      <c r="D558" s="21" t="s">
        <v>12</v>
      </c>
      <c r="E558" s="21" t="s">
        <v>17</v>
      </c>
      <c r="F558" s="22">
        <v>1</v>
      </c>
      <c r="G558" s="22">
        <f t="shared" si="164"/>
        <v>11.942500000000001</v>
      </c>
      <c r="H558" s="22">
        <f t="shared" si="162"/>
        <v>15.14</v>
      </c>
      <c r="I558" s="147">
        <f t="shared" si="163"/>
        <v>15.14</v>
      </c>
      <c r="J558" s="148"/>
      <c r="K558" s="148"/>
      <c r="L558" s="148"/>
      <c r="M558" s="148">
        <v>13.3</v>
      </c>
      <c r="N558" s="148">
        <v>16.87</v>
      </c>
      <c r="O558" s="148">
        <v>16.87</v>
      </c>
      <c r="P558" s="494"/>
      <c r="Q558" s="147">
        <f t="shared" si="156"/>
        <v>0</v>
      </c>
      <c r="R558" s="148"/>
      <c r="S558" s="148">
        <f t="shared" si="157"/>
        <v>0</v>
      </c>
      <c r="T558" s="148">
        <f t="shared" si="161"/>
        <v>1</v>
      </c>
      <c r="U558" s="148">
        <f t="shared" si="160"/>
        <v>16.87</v>
      </c>
      <c r="V558" s="379"/>
      <c r="W558" s="379"/>
      <c r="X558" s="58" t="e">
        <f>IF(B558&lt;&gt;0,VLOOKUP(B558,#REF!,4,FALSE),"")</f>
        <v>#REF!</v>
      </c>
      <c r="Y558" s="334" t="s">
        <v>3207</v>
      </c>
      <c r="Z558" s="58">
        <f t="shared" si="165"/>
        <v>-2.1074999999999999</v>
      </c>
      <c r="AA558" s="58">
        <f t="shared" si="166"/>
        <v>11.942500000000001</v>
      </c>
      <c r="AB558" s="58"/>
      <c r="AC558" s="58">
        <f t="shared" si="167"/>
        <v>15.14</v>
      </c>
      <c r="AD558" s="58" t="e">
        <f>IF(B558&lt;&gt;0,VLOOKUP(B558,#REF!,2,FALSE),"")</f>
        <v>#REF!</v>
      </c>
      <c r="AE558" s="2">
        <v>3</v>
      </c>
      <c r="AF558" s="55">
        <f t="shared" si="155"/>
        <v>2</v>
      </c>
    </row>
    <row r="559" spans="1:32" s="55" customFormat="1" ht="60">
      <c r="A559" s="21" t="s">
        <v>2793</v>
      </c>
      <c r="B559" s="20">
        <v>91886</v>
      </c>
      <c r="C559" s="19" t="s">
        <v>1667</v>
      </c>
      <c r="D559" s="21" t="s">
        <v>12</v>
      </c>
      <c r="E559" s="21" t="s">
        <v>17</v>
      </c>
      <c r="F559" s="22">
        <v>3</v>
      </c>
      <c r="G559" s="22">
        <f t="shared" si="164"/>
        <v>7.5565000000000007</v>
      </c>
      <c r="H559" s="22">
        <f t="shared" si="162"/>
        <v>9.58</v>
      </c>
      <c r="I559" s="147">
        <f t="shared" si="163"/>
        <v>28.74</v>
      </c>
      <c r="J559" s="148"/>
      <c r="K559" s="148"/>
      <c r="L559" s="148"/>
      <c r="M559" s="148">
        <v>8.42</v>
      </c>
      <c r="N559" s="148">
        <v>10.68</v>
      </c>
      <c r="O559" s="148">
        <v>32.04</v>
      </c>
      <c r="P559" s="494"/>
      <c r="Q559" s="147">
        <f t="shared" si="156"/>
        <v>0</v>
      </c>
      <c r="R559" s="148"/>
      <c r="S559" s="148">
        <f t="shared" si="157"/>
        <v>0</v>
      </c>
      <c r="T559" s="148">
        <f t="shared" si="161"/>
        <v>3</v>
      </c>
      <c r="U559" s="148">
        <f t="shared" si="160"/>
        <v>32.04</v>
      </c>
      <c r="V559" s="379"/>
      <c r="W559" s="379"/>
      <c r="X559" s="58" t="e">
        <f>IF(B559&lt;&gt;0,VLOOKUP(B559,#REF!,4,FALSE),"")</f>
        <v>#REF!</v>
      </c>
      <c r="Y559" s="334" t="s">
        <v>1906</v>
      </c>
      <c r="Z559" s="58">
        <f t="shared" si="165"/>
        <v>-1.3334999999999999</v>
      </c>
      <c r="AA559" s="58">
        <f t="shared" si="166"/>
        <v>22.669500000000003</v>
      </c>
      <c r="AB559" s="58"/>
      <c r="AC559" s="58">
        <f t="shared" si="167"/>
        <v>28.740000000000002</v>
      </c>
      <c r="AD559" s="58" t="e">
        <f>IF(B559&lt;&gt;0,VLOOKUP(B559,#REF!,2,FALSE),"")</f>
        <v>#REF!</v>
      </c>
      <c r="AE559" s="55">
        <v>1</v>
      </c>
      <c r="AF559" s="55">
        <f t="shared" si="155"/>
        <v>-2</v>
      </c>
    </row>
    <row r="560" spans="1:32" s="55" customFormat="1" ht="30">
      <c r="A560" s="21" t="s">
        <v>2794</v>
      </c>
      <c r="B560" s="20">
        <v>725</v>
      </c>
      <c r="C560" s="19" t="s">
        <v>207</v>
      </c>
      <c r="D560" s="21" t="s">
        <v>44</v>
      </c>
      <c r="E560" s="21" t="s">
        <v>17</v>
      </c>
      <c r="F560" s="22">
        <v>1</v>
      </c>
      <c r="G560" s="22">
        <f t="shared" si="164"/>
        <v>5.5419999999999998</v>
      </c>
      <c r="H560" s="22">
        <f t="shared" si="162"/>
        <v>7.03</v>
      </c>
      <c r="I560" s="147">
        <f t="shared" si="163"/>
        <v>7.03</v>
      </c>
      <c r="J560" s="148"/>
      <c r="K560" s="148"/>
      <c r="L560" s="148"/>
      <c r="M560" s="148">
        <v>6.17</v>
      </c>
      <c r="N560" s="148">
        <v>7.82</v>
      </c>
      <c r="O560" s="148">
        <v>7.82</v>
      </c>
      <c r="P560" s="494"/>
      <c r="Q560" s="147">
        <f t="shared" si="156"/>
        <v>0</v>
      </c>
      <c r="R560" s="148"/>
      <c r="S560" s="148">
        <f t="shared" si="157"/>
        <v>0</v>
      </c>
      <c r="T560" s="148">
        <f t="shared" si="161"/>
        <v>1</v>
      </c>
      <c r="U560" s="148">
        <f t="shared" si="160"/>
        <v>7.82</v>
      </c>
      <c r="V560" s="379"/>
      <c r="W560" s="379"/>
      <c r="X560" s="57">
        <f>'COMPOSIÇÃO DE CUSTOS'!G1172</f>
        <v>5.55</v>
      </c>
      <c r="Y560" s="334">
        <v>6.52</v>
      </c>
      <c r="Z560" s="58">
        <f t="shared" si="165"/>
        <v>-0.97799999999999976</v>
      </c>
      <c r="AA560" s="58">
        <f t="shared" si="166"/>
        <v>5.5419999999999998</v>
      </c>
      <c r="AB560" s="58"/>
      <c r="AC560" s="58">
        <f t="shared" si="167"/>
        <v>7.03</v>
      </c>
      <c r="AD560" s="58" t="e">
        <f>IF(B560&lt;&gt;0,VLOOKUP(B560,#REF!,2,FALSE),"")</f>
        <v>#REF!</v>
      </c>
      <c r="AE560" s="55">
        <v>9</v>
      </c>
      <c r="AF560" s="55">
        <f t="shared" si="155"/>
        <v>8</v>
      </c>
    </row>
    <row r="561" spans="1:32" s="55" customFormat="1" ht="30">
      <c r="A561" s="21" t="s">
        <v>2795</v>
      </c>
      <c r="B561" s="20">
        <v>723</v>
      </c>
      <c r="C561" s="19" t="s">
        <v>1765</v>
      </c>
      <c r="D561" s="21" t="s">
        <v>44</v>
      </c>
      <c r="E561" s="21" t="s">
        <v>17</v>
      </c>
      <c r="F561" s="22">
        <v>9</v>
      </c>
      <c r="G561" s="22">
        <f t="shared" si="164"/>
        <v>3.4085000000000001</v>
      </c>
      <c r="H561" s="22">
        <f t="shared" si="162"/>
        <v>4.32</v>
      </c>
      <c r="I561" s="147">
        <f t="shared" si="163"/>
        <v>38.880000000000003</v>
      </c>
      <c r="J561" s="148"/>
      <c r="K561" s="148"/>
      <c r="L561" s="148"/>
      <c r="M561" s="148">
        <v>3.8</v>
      </c>
      <c r="N561" s="148">
        <v>4.82</v>
      </c>
      <c r="O561" s="148">
        <v>43.38</v>
      </c>
      <c r="P561" s="494"/>
      <c r="Q561" s="147">
        <f t="shared" si="156"/>
        <v>0</v>
      </c>
      <c r="R561" s="148"/>
      <c r="S561" s="148">
        <f t="shared" si="157"/>
        <v>0</v>
      </c>
      <c r="T561" s="148">
        <f t="shared" si="161"/>
        <v>9</v>
      </c>
      <c r="U561" s="148">
        <f t="shared" si="160"/>
        <v>43.38</v>
      </c>
      <c r="V561" s="379"/>
      <c r="W561" s="379"/>
      <c r="X561" s="57">
        <f>'COMPOSIÇÃO DE CUSTOS'!G1307</f>
        <v>3.41</v>
      </c>
      <c r="Y561" s="334">
        <v>4.01</v>
      </c>
      <c r="Z561" s="58">
        <f t="shared" si="165"/>
        <v>-0.6014999999999997</v>
      </c>
      <c r="AA561" s="58">
        <f t="shared" si="166"/>
        <v>30.676500000000001</v>
      </c>
      <c r="AB561" s="58"/>
      <c r="AC561" s="58">
        <f t="shared" si="167"/>
        <v>38.880000000000003</v>
      </c>
      <c r="AD561" s="58" t="e">
        <f>IF(B561&lt;&gt;0,VLOOKUP(B561,#REF!,2,FALSE),"")</f>
        <v>#REF!</v>
      </c>
      <c r="AF561" s="55">
        <f t="shared" si="155"/>
        <v>-9</v>
      </c>
    </row>
    <row r="562" spans="1:32" s="55" customFormat="1">
      <c r="A562" s="69" t="s">
        <v>2796</v>
      </c>
      <c r="B562" s="129"/>
      <c r="C562" s="229" t="s">
        <v>214</v>
      </c>
      <c r="D562" s="230"/>
      <c r="E562" s="230"/>
      <c r="F562" s="230"/>
      <c r="G562" s="22"/>
      <c r="H562" s="230"/>
      <c r="I562" s="445"/>
      <c r="J562" s="440"/>
      <c r="K562" s="440"/>
      <c r="L562" s="440"/>
      <c r="M562" s="440"/>
      <c r="N562" s="440"/>
      <c r="O562" s="440"/>
      <c r="P562" s="492"/>
      <c r="Q562" s="147">
        <f t="shared" si="156"/>
        <v>0</v>
      </c>
      <c r="R562" s="440"/>
      <c r="S562" s="148">
        <f t="shared" si="157"/>
        <v>0</v>
      </c>
      <c r="T562" s="148" t="str">
        <f t="shared" si="161"/>
        <v xml:space="preserve"> </v>
      </c>
      <c r="U562" s="148">
        <f t="shared" si="160"/>
        <v>0</v>
      </c>
      <c r="V562" s="330"/>
      <c r="W562" s="330"/>
      <c r="X562" s="58" t="str">
        <f>IF(B562&lt;&gt;0,VLOOKUP(B562,#REF!,4,FALSE),"")</f>
        <v/>
      </c>
      <c r="Y562" s="334" t="s">
        <v>1891</v>
      </c>
      <c r="Z562" s="58"/>
      <c r="AA562" s="58">
        <f t="shared" si="166"/>
        <v>0</v>
      </c>
      <c r="AB562" s="58"/>
      <c r="AC562" s="58">
        <f t="shared" si="167"/>
        <v>0</v>
      </c>
      <c r="AD562" s="58" t="str">
        <f>IF(B562&lt;&gt;0,VLOOKUP(B562,#REF!,2,FALSE),"")</f>
        <v/>
      </c>
      <c r="AE562" s="55">
        <v>678</v>
      </c>
      <c r="AF562" s="55">
        <f t="shared" si="155"/>
        <v>678</v>
      </c>
    </row>
    <row r="563" spans="1:32" s="55" customFormat="1" ht="45">
      <c r="A563" s="21" t="s">
        <v>2797</v>
      </c>
      <c r="B563" s="20">
        <v>98297</v>
      </c>
      <c r="C563" s="19" t="s">
        <v>2504</v>
      </c>
      <c r="D563" s="21" t="s">
        <v>12</v>
      </c>
      <c r="E563" s="21" t="s">
        <v>52</v>
      </c>
      <c r="F563" s="22">
        <v>678</v>
      </c>
      <c r="G563" s="22">
        <f t="shared" si="164"/>
        <v>1.7765</v>
      </c>
      <c r="H563" s="22">
        <f>ROUND(G563*(1+$X$13),2)</f>
        <v>2.25</v>
      </c>
      <c r="I563" s="147">
        <f>ROUND(H563*F563,2)</f>
        <v>1525.5</v>
      </c>
      <c r="J563" s="148"/>
      <c r="K563" s="148"/>
      <c r="L563" s="148"/>
      <c r="M563" s="148">
        <v>3.74</v>
      </c>
      <c r="N563" s="148">
        <v>4.74</v>
      </c>
      <c r="O563" s="148">
        <v>3213.72</v>
      </c>
      <c r="P563" s="494"/>
      <c r="Q563" s="147">
        <f t="shared" si="156"/>
        <v>0</v>
      </c>
      <c r="R563" s="148"/>
      <c r="S563" s="148">
        <f t="shared" si="157"/>
        <v>0</v>
      </c>
      <c r="T563" s="148">
        <f t="shared" si="161"/>
        <v>678</v>
      </c>
      <c r="U563" s="148">
        <f t="shared" si="160"/>
        <v>3213.72</v>
      </c>
      <c r="V563" s="379"/>
      <c r="W563" s="379"/>
      <c r="X563" s="58" t="e">
        <f>IF(B563&lt;&gt;0,VLOOKUP(B563,#REF!,4,FALSE),"")</f>
        <v>#REF!</v>
      </c>
      <c r="Y563" s="334" t="s">
        <v>2642</v>
      </c>
      <c r="Z563" s="58">
        <f t="shared" si="165"/>
        <v>-0.31349999999999989</v>
      </c>
      <c r="AA563" s="58">
        <f t="shared" si="166"/>
        <v>1204.4669999999999</v>
      </c>
      <c r="AB563" s="58"/>
      <c r="AC563" s="58">
        <f t="shared" si="167"/>
        <v>1525.5</v>
      </c>
      <c r="AD563" s="58" t="e">
        <f>IF(B563&lt;&gt;0,VLOOKUP(B563,#REF!,2,FALSE),"")</f>
        <v>#REF!</v>
      </c>
      <c r="AF563" s="55">
        <f t="shared" si="155"/>
        <v>-678</v>
      </c>
    </row>
    <row r="564" spans="1:32" s="55" customFormat="1" ht="22.5" customHeight="1">
      <c r="A564" s="69" t="s">
        <v>2798</v>
      </c>
      <c r="B564" s="129"/>
      <c r="C564" s="229" t="s">
        <v>216</v>
      </c>
      <c r="D564" s="230"/>
      <c r="E564" s="230"/>
      <c r="F564" s="230"/>
      <c r="G564" s="22"/>
      <c r="H564" s="230"/>
      <c r="I564" s="445"/>
      <c r="J564" s="440"/>
      <c r="K564" s="440"/>
      <c r="L564" s="440"/>
      <c r="M564" s="440"/>
      <c r="N564" s="440"/>
      <c r="O564" s="440"/>
      <c r="P564" s="492"/>
      <c r="Q564" s="147">
        <f t="shared" si="156"/>
        <v>0</v>
      </c>
      <c r="R564" s="440"/>
      <c r="S564" s="148">
        <f t="shared" si="157"/>
        <v>0</v>
      </c>
      <c r="T564" s="148" t="str">
        <f t="shared" si="161"/>
        <v xml:space="preserve"> </v>
      </c>
      <c r="U564" s="148">
        <f t="shared" si="160"/>
        <v>0</v>
      </c>
      <c r="V564" s="330"/>
      <c r="W564" s="330"/>
      <c r="X564" s="58" t="str">
        <f>IF(B564&lt;&gt;0,VLOOKUP(B564,#REF!,4,FALSE),"")</f>
        <v/>
      </c>
      <c r="Y564" s="334" t="s">
        <v>1891</v>
      </c>
      <c r="Z564" s="58"/>
      <c r="AA564" s="58">
        <f t="shared" si="166"/>
        <v>0</v>
      </c>
      <c r="AB564" s="58"/>
      <c r="AC564" s="58">
        <f t="shared" si="167"/>
        <v>0</v>
      </c>
      <c r="AD564" s="58" t="str">
        <f>IF(B564&lt;&gt;0,VLOOKUP(B564,#REF!,2,FALSE),"")</f>
        <v/>
      </c>
      <c r="AE564" s="55">
        <v>2</v>
      </c>
      <c r="AF564" s="55">
        <f t="shared" si="155"/>
        <v>2</v>
      </c>
    </row>
    <row r="565" spans="1:32" s="55" customFormat="1" ht="45">
      <c r="A565" s="21" t="s">
        <v>2799</v>
      </c>
      <c r="B565" s="20">
        <v>95795</v>
      </c>
      <c r="C565" s="19" t="s">
        <v>1707</v>
      </c>
      <c r="D565" s="21" t="s">
        <v>12</v>
      </c>
      <c r="E565" s="21" t="s">
        <v>17</v>
      </c>
      <c r="F565" s="22">
        <v>2</v>
      </c>
      <c r="G565" s="22">
        <f t="shared" si="164"/>
        <v>21.488</v>
      </c>
      <c r="H565" s="22">
        <f>ROUND(G565*(1+$X$13),2)</f>
        <v>27.25</v>
      </c>
      <c r="I565" s="147">
        <f>ROUND(H565*F565,2)</f>
        <v>54.5</v>
      </c>
      <c r="J565" s="148"/>
      <c r="K565" s="148"/>
      <c r="L565" s="148"/>
      <c r="M565" s="148">
        <v>23.94</v>
      </c>
      <c r="N565" s="148">
        <v>30.36</v>
      </c>
      <c r="O565" s="148">
        <v>60.72</v>
      </c>
      <c r="P565" s="494"/>
      <c r="Q565" s="147">
        <f t="shared" si="156"/>
        <v>0</v>
      </c>
      <c r="R565" s="148"/>
      <c r="S565" s="148">
        <f t="shared" si="157"/>
        <v>0</v>
      </c>
      <c r="T565" s="148">
        <f t="shared" si="161"/>
        <v>2</v>
      </c>
      <c r="U565" s="148">
        <f t="shared" si="160"/>
        <v>60.72</v>
      </c>
      <c r="V565" s="379"/>
      <c r="W565" s="379"/>
      <c r="X565" s="57" t="e">
        <f>IF(B565&lt;&gt;0,VLOOKUP(B565,#REF!,4,FALSE),"")</f>
        <v>#REF!</v>
      </c>
      <c r="Y565" s="334" t="s">
        <v>3235</v>
      </c>
      <c r="Z565" s="58">
        <f t="shared" si="165"/>
        <v>-3.7920000000000016</v>
      </c>
      <c r="AA565" s="58">
        <f t="shared" si="166"/>
        <v>42.975999999999999</v>
      </c>
      <c r="AB565" s="58"/>
      <c r="AC565" s="58">
        <f t="shared" si="167"/>
        <v>54.5</v>
      </c>
      <c r="AD565" s="58" t="e">
        <f>IF(B565&lt;&gt;0,VLOOKUP(B565,#REF!,2,FALSE),"")</f>
        <v>#REF!</v>
      </c>
      <c r="AE565" s="55">
        <v>2</v>
      </c>
      <c r="AF565" s="55">
        <f t="shared" si="155"/>
        <v>0</v>
      </c>
    </row>
    <row r="566" spans="1:32" s="55" customFormat="1" ht="15" customHeight="1">
      <c r="A566" s="21" t="s">
        <v>2800</v>
      </c>
      <c r="B566" s="20" t="s">
        <v>2284</v>
      </c>
      <c r="C566" s="19" t="s">
        <v>228</v>
      </c>
      <c r="D566" s="21" t="s">
        <v>70</v>
      </c>
      <c r="E566" s="21" t="s">
        <v>17</v>
      </c>
      <c r="F566" s="22">
        <v>2</v>
      </c>
      <c r="G566" s="22">
        <f t="shared" si="164"/>
        <v>43.978999999999999</v>
      </c>
      <c r="H566" s="22">
        <f>ROUND(G566*(1+$X$13),2)</f>
        <v>55.77</v>
      </c>
      <c r="I566" s="147">
        <f>ROUND(H566*F566,2)</f>
        <v>111.54</v>
      </c>
      <c r="J566" s="148"/>
      <c r="K566" s="148"/>
      <c r="L566" s="148"/>
      <c r="M566" s="148">
        <v>48.99</v>
      </c>
      <c r="N566" s="148">
        <v>62.12</v>
      </c>
      <c r="O566" s="148">
        <v>124.24</v>
      </c>
      <c r="P566" s="494"/>
      <c r="Q566" s="147">
        <f>ROUND(P566*N566,2)</f>
        <v>0</v>
      </c>
      <c r="R566" s="148"/>
      <c r="S566" s="148">
        <f t="shared" si="157"/>
        <v>0</v>
      </c>
      <c r="T566" s="148">
        <f t="shared" si="161"/>
        <v>2</v>
      </c>
      <c r="U566" s="148">
        <f t="shared" si="160"/>
        <v>124.24</v>
      </c>
      <c r="V566" s="379"/>
      <c r="W566" s="379"/>
      <c r="X566" s="57">
        <f>'COMPOSIÇÃO DE CUSTOS'!G1314</f>
        <v>43.97</v>
      </c>
      <c r="Y566" s="334">
        <v>51.74</v>
      </c>
      <c r="Z566" s="58">
        <f t="shared" si="165"/>
        <v>-7.7610000000000028</v>
      </c>
      <c r="AA566" s="58">
        <f t="shared" si="166"/>
        <v>87.957999999999998</v>
      </c>
      <c r="AB566" s="58"/>
      <c r="AC566" s="58">
        <f t="shared" si="167"/>
        <v>111.54</v>
      </c>
      <c r="AD566" s="58" t="e">
        <f>IF(B566&lt;&gt;0,VLOOKUP(B566,#REF!,2,FALSE),"")</f>
        <v>#REF!</v>
      </c>
      <c r="AF566" s="55">
        <f t="shared" si="155"/>
        <v>-2</v>
      </c>
    </row>
    <row r="567" spans="1:32" s="55" customFormat="1">
      <c r="A567" s="21"/>
      <c r="B567" s="20"/>
      <c r="C567" s="19"/>
      <c r="D567" s="21"/>
      <c r="E567" s="21"/>
      <c r="F567" s="22"/>
      <c r="G567" s="22"/>
      <c r="H567" s="22"/>
      <c r="I567" s="147"/>
      <c r="J567" s="148"/>
      <c r="K567" s="148"/>
      <c r="L567" s="148"/>
      <c r="M567" s="148"/>
      <c r="N567" s="148"/>
      <c r="O567" s="148"/>
      <c r="P567" s="494"/>
      <c r="Q567" s="147"/>
      <c r="R567" s="148"/>
      <c r="S567" s="148"/>
      <c r="T567" s="148" t="str">
        <f t="shared" si="161"/>
        <v xml:space="preserve"> </v>
      </c>
      <c r="U567" s="148">
        <f t="shared" si="160"/>
        <v>0</v>
      </c>
      <c r="V567" s="379"/>
      <c r="W567" s="379"/>
      <c r="X567" s="57" t="str">
        <f>IF(B567&lt;&gt;0,VLOOKUP(B567,#REF!,4,FALSE),"")</f>
        <v/>
      </c>
      <c r="Y567" s="334" t="s">
        <v>1891</v>
      </c>
      <c r="Z567" s="58"/>
      <c r="AA567" s="58">
        <f t="shared" si="166"/>
        <v>0</v>
      </c>
      <c r="AB567" s="58"/>
      <c r="AC567" s="58">
        <f t="shared" si="167"/>
        <v>0</v>
      </c>
      <c r="AD567" s="58" t="str">
        <f>IF(B567&lt;&gt;0,VLOOKUP(B567,#REF!,2,FALSE),"")</f>
        <v/>
      </c>
      <c r="AF567" s="55">
        <f t="shared" si="155"/>
        <v>0</v>
      </c>
    </row>
    <row r="568" spans="1:32" s="55" customFormat="1">
      <c r="A568" s="69" t="s">
        <v>1094</v>
      </c>
      <c r="B568" s="129"/>
      <c r="C568" s="229" t="s">
        <v>236</v>
      </c>
      <c r="D568" s="230"/>
      <c r="E568" s="230"/>
      <c r="F568" s="230"/>
      <c r="G568" s="22"/>
      <c r="H568" s="230"/>
      <c r="I568" s="445">
        <f>ROUND(SUM(I569:I570),2)</f>
        <v>88315.15</v>
      </c>
      <c r="J568" s="440"/>
      <c r="K568" s="440"/>
      <c r="L568" s="440"/>
      <c r="M568" s="440"/>
      <c r="N568" s="440"/>
      <c r="O568" s="440">
        <v>62906.89</v>
      </c>
      <c r="P568" s="492"/>
      <c r="Q568" s="445">
        <f>ROUND(SUM(Q569:Q570),2)</f>
        <v>0</v>
      </c>
      <c r="R568" s="440"/>
      <c r="S568" s="440">
        <f>ROUND(SUM(S569:S570),2)</f>
        <v>0</v>
      </c>
      <c r="T568" s="148" t="str">
        <f t="shared" si="161"/>
        <v xml:space="preserve"> </v>
      </c>
      <c r="U568" s="148">
        <f t="shared" si="160"/>
        <v>62906.89</v>
      </c>
      <c r="V568" s="330"/>
      <c r="W568" s="330"/>
      <c r="X568" s="57" t="str">
        <f>IF(B568&lt;&gt;0,VLOOKUP(B568,#REF!,4,FALSE),"")</f>
        <v/>
      </c>
      <c r="Y568" s="334" t="s">
        <v>1891</v>
      </c>
      <c r="Z568" s="58"/>
      <c r="AA568" s="58">
        <f t="shared" si="166"/>
        <v>0</v>
      </c>
      <c r="AB568" s="58"/>
      <c r="AC568" s="58">
        <f t="shared" si="167"/>
        <v>0</v>
      </c>
      <c r="AD568" s="58" t="str">
        <f>IF(B568&lt;&gt;0,VLOOKUP(B568,#REF!,2,FALSE),"")</f>
        <v/>
      </c>
      <c r="AE568" s="55">
        <v>2</v>
      </c>
      <c r="AF568" s="55">
        <f t="shared" si="155"/>
        <v>2</v>
      </c>
    </row>
    <row r="569" spans="1:32" s="55" customFormat="1" ht="30">
      <c r="A569" s="235" t="s">
        <v>2801</v>
      </c>
      <c r="B569" s="20">
        <v>1843</v>
      </c>
      <c r="C569" s="19" t="s">
        <v>2427</v>
      </c>
      <c r="D569" s="21" t="s">
        <v>44</v>
      </c>
      <c r="E569" s="21" t="s">
        <v>17</v>
      </c>
      <c r="F569" s="22">
        <v>2</v>
      </c>
      <c r="G569" s="22">
        <f t="shared" si="164"/>
        <v>8421.6130000000012</v>
      </c>
      <c r="H569" s="22">
        <f>ROUND(G569*(1+$X$13),2)</f>
        <v>10679.45</v>
      </c>
      <c r="I569" s="147">
        <f>ROUND(H569*F569,2)</f>
        <v>21358.9</v>
      </c>
      <c r="J569" s="148"/>
      <c r="K569" s="148"/>
      <c r="L569" s="148"/>
      <c r="M569" s="148">
        <v>12353.6</v>
      </c>
      <c r="N569" s="148">
        <v>15665.6</v>
      </c>
      <c r="O569" s="148">
        <v>31331.200000000001</v>
      </c>
      <c r="P569" s="494"/>
      <c r="Q569" s="147">
        <f>ROUND(P569*N569,2)</f>
        <v>0</v>
      </c>
      <c r="R569" s="148"/>
      <c r="S569" s="148">
        <f>ROUND(R569*N569,2)</f>
        <v>0</v>
      </c>
      <c r="T569" s="148">
        <f t="shared" si="161"/>
        <v>2</v>
      </c>
      <c r="U569" s="148">
        <f t="shared" si="160"/>
        <v>31331.200000000001</v>
      </c>
      <c r="V569" s="379"/>
      <c r="W569" s="379"/>
      <c r="X569" s="57">
        <f>'COMPOSIÇÃO DE CUSTOS'!G2160</f>
        <v>8421.61</v>
      </c>
      <c r="Y569" s="334">
        <v>9907.7800000000007</v>
      </c>
      <c r="Z569" s="58">
        <f t="shared" si="165"/>
        <v>-1486.1669999999995</v>
      </c>
      <c r="AA569" s="58">
        <f t="shared" si="166"/>
        <v>16843.226000000002</v>
      </c>
      <c r="AB569" s="58"/>
      <c r="AC569" s="58">
        <f t="shared" si="167"/>
        <v>21358.9</v>
      </c>
      <c r="AD569" s="58" t="e">
        <f>IF(B569&lt;&gt;0,VLOOKUP(B569,#REF!,2,FALSE),"")</f>
        <v>#REF!</v>
      </c>
      <c r="AE569" s="55">
        <v>3</v>
      </c>
      <c r="AF569" s="55">
        <f t="shared" si="155"/>
        <v>1</v>
      </c>
    </row>
    <row r="570" spans="1:32" s="55" customFormat="1" ht="75">
      <c r="A570" s="235" t="s">
        <v>2802</v>
      </c>
      <c r="B570" s="20">
        <v>11064</v>
      </c>
      <c r="C570" s="19" t="s">
        <v>2208</v>
      </c>
      <c r="D570" s="21" t="s">
        <v>44</v>
      </c>
      <c r="E570" s="21" t="s">
        <v>17</v>
      </c>
      <c r="F570" s="22">
        <v>3</v>
      </c>
      <c r="G570" s="22">
        <f t="shared" si="164"/>
        <v>17600.151000000002</v>
      </c>
      <c r="H570" s="22">
        <f>ROUND(G570*(1+$X$13),2)</f>
        <v>22318.75</v>
      </c>
      <c r="I570" s="147">
        <f>ROUND(H570*F570,2)</f>
        <v>66956.25</v>
      </c>
      <c r="J570" s="148"/>
      <c r="K570" s="148"/>
      <c r="L570" s="148"/>
      <c r="M570" s="148">
        <v>8300</v>
      </c>
      <c r="N570" s="148">
        <v>10525.23</v>
      </c>
      <c r="O570" s="148">
        <v>31575.69</v>
      </c>
      <c r="P570" s="494"/>
      <c r="Q570" s="147">
        <f>ROUND(P570*N570,2)</f>
        <v>0</v>
      </c>
      <c r="R570" s="148"/>
      <c r="S570" s="148">
        <f>ROUND(R570*N570,2)</f>
        <v>0</v>
      </c>
      <c r="T570" s="148">
        <f t="shared" si="161"/>
        <v>3</v>
      </c>
      <c r="U570" s="148">
        <f t="shared" si="160"/>
        <v>31575.69</v>
      </c>
      <c r="V570" s="379"/>
      <c r="W570" s="379"/>
      <c r="X570" s="57">
        <f>'COMPOSIÇÃO DE CUSTOS'!G2165</f>
        <v>17600.150000000001</v>
      </c>
      <c r="Y570" s="334">
        <v>20706.060000000001</v>
      </c>
      <c r="Z570" s="58">
        <f t="shared" si="165"/>
        <v>-3105.9089999999997</v>
      </c>
      <c r="AA570" s="58">
        <f t="shared" si="166"/>
        <v>52800.453000000009</v>
      </c>
      <c r="AB570" s="58"/>
      <c r="AC570" s="58">
        <f t="shared" si="167"/>
        <v>66956.25</v>
      </c>
      <c r="AD570" s="58" t="e">
        <f>IF(B570&lt;&gt;0,VLOOKUP(B570,#REF!,2,FALSE),"")</f>
        <v>#REF!</v>
      </c>
      <c r="AF570" s="55">
        <f t="shared" si="155"/>
        <v>-3</v>
      </c>
    </row>
    <row r="571" spans="1:32" s="55" customFormat="1">
      <c r="A571" s="21"/>
      <c r="B571" s="20"/>
      <c r="C571" s="19"/>
      <c r="D571" s="21"/>
      <c r="E571" s="21"/>
      <c r="F571" s="22"/>
      <c r="G571" s="22"/>
      <c r="H571" s="22"/>
      <c r="I571" s="147"/>
      <c r="J571" s="148"/>
      <c r="K571" s="148"/>
      <c r="L571" s="148"/>
      <c r="M571" s="148"/>
      <c r="N571" s="148"/>
      <c r="O571" s="148"/>
      <c r="P571" s="494"/>
      <c r="Q571" s="147"/>
      <c r="R571" s="148"/>
      <c r="S571" s="148"/>
      <c r="T571" s="148" t="str">
        <f t="shared" si="161"/>
        <v xml:space="preserve"> </v>
      </c>
      <c r="U571" s="148"/>
      <c r="V571" s="379"/>
      <c r="W571" s="379"/>
      <c r="X571" s="58" t="str">
        <f>IF(B571&lt;&gt;0,VLOOKUP(B571,#REF!,4,FALSE),"")</f>
        <v/>
      </c>
      <c r="Y571" s="334" t="s">
        <v>1891</v>
      </c>
      <c r="Z571" s="58"/>
      <c r="AA571" s="58">
        <f t="shared" si="166"/>
        <v>0</v>
      </c>
      <c r="AB571" s="58"/>
      <c r="AC571" s="58">
        <f t="shared" si="167"/>
        <v>0</v>
      </c>
      <c r="AD571" s="58" t="str">
        <f>IF(B571&lt;&gt;0,VLOOKUP(B571,#REF!,2,FALSE),"")</f>
        <v/>
      </c>
      <c r="AF571" s="55">
        <f t="shared" si="155"/>
        <v>0</v>
      </c>
    </row>
    <row r="572" spans="1:32" ht="26.25" customHeight="1">
      <c r="A572" s="69" t="s">
        <v>1131</v>
      </c>
      <c r="B572" s="129"/>
      <c r="C572" s="229" t="s">
        <v>237</v>
      </c>
      <c r="D572" s="230"/>
      <c r="E572" s="230"/>
      <c r="F572" s="230"/>
      <c r="G572" s="22"/>
      <c r="H572" s="230"/>
      <c r="I572" s="445">
        <f>ROUND(SUM(I574:I612),2)</f>
        <v>35981.67</v>
      </c>
      <c r="J572" s="440"/>
      <c r="K572" s="440"/>
      <c r="L572" s="440"/>
      <c r="M572" s="440"/>
      <c r="N572" s="440"/>
      <c r="O572" s="440">
        <v>43996.93</v>
      </c>
      <c r="P572" s="492"/>
      <c r="Q572" s="445">
        <f>ROUND(SUM(Q574:Q612),2)</f>
        <v>1097.7</v>
      </c>
      <c r="R572" s="440"/>
      <c r="S572" s="440">
        <f>ROUND(SUM(S574:S612),2)</f>
        <v>0</v>
      </c>
      <c r="T572" s="148" t="str">
        <f t="shared" si="161"/>
        <v xml:space="preserve"> </v>
      </c>
      <c r="U572" s="440">
        <f t="shared" si="160"/>
        <v>45094.63</v>
      </c>
      <c r="V572" s="330"/>
      <c r="W572" s="330"/>
      <c r="X572" s="57" t="str">
        <f>IF(B572&lt;&gt;0,VLOOKUP(B572,#REF!,4,FALSE),"")</f>
        <v/>
      </c>
      <c r="Y572" s="334" t="s">
        <v>1891</v>
      </c>
      <c r="Z572" s="58"/>
      <c r="AA572" s="58">
        <f t="shared" si="166"/>
        <v>0</v>
      </c>
      <c r="AB572" s="58"/>
      <c r="AC572" s="58">
        <f t="shared" si="167"/>
        <v>0</v>
      </c>
      <c r="AD572" s="58" t="str">
        <f>IF(B572&lt;&gt;0,VLOOKUP(B572,#REF!,2,FALSE),"")</f>
        <v/>
      </c>
      <c r="AF572" s="55">
        <f t="shared" si="155"/>
        <v>0</v>
      </c>
    </row>
    <row r="573" spans="1:32" s="38" customFormat="1">
      <c r="A573" s="69" t="s">
        <v>1132</v>
      </c>
      <c r="B573" s="129"/>
      <c r="C573" s="229" t="s">
        <v>193</v>
      </c>
      <c r="D573" s="230"/>
      <c r="E573" s="230"/>
      <c r="F573" s="230"/>
      <c r="G573" s="22"/>
      <c r="H573" s="230"/>
      <c r="I573" s="445"/>
      <c r="J573" s="440"/>
      <c r="K573" s="440"/>
      <c r="L573" s="440"/>
      <c r="M573" s="440"/>
      <c r="N573" s="440"/>
      <c r="O573" s="440"/>
      <c r="P573" s="492"/>
      <c r="Q573" s="445"/>
      <c r="R573" s="440"/>
      <c r="S573" s="440"/>
      <c r="T573" s="148" t="str">
        <f t="shared" si="161"/>
        <v xml:space="preserve"> </v>
      </c>
      <c r="U573" s="148"/>
      <c r="V573" s="330"/>
      <c r="W573" s="330"/>
      <c r="X573" s="57" t="str">
        <f>IF(B573&lt;&gt;0,VLOOKUP(B573,#REF!,4,FALSE),"")</f>
        <v/>
      </c>
      <c r="Y573" s="334" t="s">
        <v>1891</v>
      </c>
      <c r="Z573" s="58"/>
      <c r="AA573" s="58">
        <f t="shared" si="166"/>
        <v>0</v>
      </c>
      <c r="AB573" s="58"/>
      <c r="AC573" s="58">
        <f t="shared" si="167"/>
        <v>0</v>
      </c>
      <c r="AD573" s="58" t="str">
        <f>IF(B573&lt;&gt;0,VLOOKUP(B573,#REF!,2,FALSE),"")</f>
        <v/>
      </c>
      <c r="AE573" s="38">
        <v>107</v>
      </c>
      <c r="AF573" s="55">
        <f t="shared" si="155"/>
        <v>107</v>
      </c>
    </row>
    <row r="574" spans="1:32" s="55" customFormat="1" ht="48.75" customHeight="1">
      <c r="A574" s="21" t="s">
        <v>1133</v>
      </c>
      <c r="B574" s="20">
        <v>91863</v>
      </c>
      <c r="C574" s="19" t="s">
        <v>1692</v>
      </c>
      <c r="D574" s="21" t="s">
        <v>12</v>
      </c>
      <c r="E574" s="21" t="s">
        <v>52</v>
      </c>
      <c r="F574" s="22">
        <v>107</v>
      </c>
      <c r="G574" s="22">
        <f t="shared" si="164"/>
        <v>6.8849999999999998</v>
      </c>
      <c r="H574" s="22">
        <f t="shared" ref="H574:H593" si="168">ROUND(G574*(1+$X$13),2)</f>
        <v>8.73</v>
      </c>
      <c r="I574" s="147">
        <f t="shared" ref="I574:I593" si="169">ROUND(H574*F574,2)</f>
        <v>934.11</v>
      </c>
      <c r="J574" s="148"/>
      <c r="K574" s="148"/>
      <c r="L574" s="148"/>
      <c r="M574" s="148">
        <v>7.67</v>
      </c>
      <c r="N574" s="148">
        <v>9.73</v>
      </c>
      <c r="O574" s="148">
        <v>1041.1099999999999</v>
      </c>
      <c r="P574" s="494"/>
      <c r="Q574" s="147">
        <f t="shared" ref="Q574:Q611" si="170">ROUND(P574*N574,2)</f>
        <v>0</v>
      </c>
      <c r="R574" s="148"/>
      <c r="S574" s="148">
        <f>ROUND(R574*N574,2)</f>
        <v>0</v>
      </c>
      <c r="T574" s="148">
        <f t="shared" si="161"/>
        <v>107</v>
      </c>
      <c r="U574" s="148">
        <f t="shared" si="160"/>
        <v>1041.1099999999999</v>
      </c>
      <c r="V574" s="379"/>
      <c r="W574" s="379"/>
      <c r="X574" s="57" t="e">
        <f>IF(B574&lt;&gt;0,VLOOKUP(B574,#REF!,4,FALSE),"")</f>
        <v>#REF!</v>
      </c>
      <c r="Y574" s="334" t="s">
        <v>1885</v>
      </c>
      <c r="Z574" s="58">
        <f t="shared" si="165"/>
        <v>-1.2149999999999999</v>
      </c>
      <c r="AA574" s="58">
        <f t="shared" si="166"/>
        <v>736.69499999999994</v>
      </c>
      <c r="AB574" s="58"/>
      <c r="AC574" s="58">
        <f t="shared" si="167"/>
        <v>934.11</v>
      </c>
      <c r="AD574" s="58" t="e">
        <f>IF(B574&lt;&gt;0,VLOOKUP(B574,#REF!,2,FALSE),"")</f>
        <v>#REF!</v>
      </c>
      <c r="AE574" s="55">
        <v>9</v>
      </c>
      <c r="AF574" s="55">
        <f t="shared" si="155"/>
        <v>-98</v>
      </c>
    </row>
    <row r="575" spans="1:32" s="55" customFormat="1" ht="60">
      <c r="A575" s="21" t="s">
        <v>2803</v>
      </c>
      <c r="B575" s="20">
        <v>91890</v>
      </c>
      <c r="C575" s="19" t="s">
        <v>1693</v>
      </c>
      <c r="D575" s="21" t="s">
        <v>12</v>
      </c>
      <c r="E575" s="21" t="s">
        <v>17</v>
      </c>
      <c r="F575" s="22">
        <v>9</v>
      </c>
      <c r="G575" s="22">
        <f t="shared" si="164"/>
        <v>6.375</v>
      </c>
      <c r="H575" s="22">
        <f t="shared" si="168"/>
        <v>8.08</v>
      </c>
      <c r="I575" s="147">
        <f t="shared" si="169"/>
        <v>72.72</v>
      </c>
      <c r="J575" s="148"/>
      <c r="K575" s="148"/>
      <c r="L575" s="148"/>
      <c r="M575" s="148">
        <v>7.1</v>
      </c>
      <c r="N575" s="148">
        <v>9</v>
      </c>
      <c r="O575" s="148">
        <v>81</v>
      </c>
      <c r="P575" s="494"/>
      <c r="Q575" s="147">
        <f t="shared" si="170"/>
        <v>0</v>
      </c>
      <c r="R575" s="148"/>
      <c r="S575" s="148">
        <f t="shared" ref="S575:S612" si="171">ROUND(R575*N575,2)</f>
        <v>0</v>
      </c>
      <c r="T575" s="148">
        <f t="shared" si="161"/>
        <v>9</v>
      </c>
      <c r="U575" s="148">
        <f t="shared" si="160"/>
        <v>81</v>
      </c>
      <c r="V575" s="379"/>
      <c r="W575" s="379"/>
      <c r="X575" s="57" t="e">
        <f>IF(B575&lt;&gt;0,VLOOKUP(B575,#REF!,4,FALSE),"")</f>
        <v>#REF!</v>
      </c>
      <c r="Y575" s="334" t="s">
        <v>3222</v>
      </c>
      <c r="Z575" s="58">
        <f t="shared" si="165"/>
        <v>-1.125</v>
      </c>
      <c r="AA575" s="58">
        <f t="shared" si="166"/>
        <v>57.375</v>
      </c>
      <c r="AB575" s="58"/>
      <c r="AC575" s="58">
        <f t="shared" si="167"/>
        <v>72.72</v>
      </c>
      <c r="AD575" s="58" t="e">
        <f>IF(B575&lt;&gt;0,VLOOKUP(B575,#REF!,2,FALSE),"")</f>
        <v>#REF!</v>
      </c>
      <c r="AE575" s="55">
        <v>54</v>
      </c>
      <c r="AF575" s="55">
        <f t="shared" si="155"/>
        <v>45</v>
      </c>
    </row>
    <row r="576" spans="1:32" s="55" customFormat="1" ht="60">
      <c r="A576" s="21" t="s">
        <v>2804</v>
      </c>
      <c r="B576" s="20">
        <v>91875</v>
      </c>
      <c r="C576" s="19" t="s">
        <v>1694</v>
      </c>
      <c r="D576" s="21" t="s">
        <v>12</v>
      </c>
      <c r="E576" s="21" t="s">
        <v>17</v>
      </c>
      <c r="F576" s="22">
        <v>54</v>
      </c>
      <c r="G576" s="22">
        <f t="shared" si="164"/>
        <v>3.7654999999999998</v>
      </c>
      <c r="H576" s="22">
        <f t="shared" si="168"/>
        <v>4.78</v>
      </c>
      <c r="I576" s="147">
        <f t="shared" si="169"/>
        <v>258.12</v>
      </c>
      <c r="J576" s="148"/>
      <c r="K576" s="148"/>
      <c r="L576" s="148"/>
      <c r="M576" s="148">
        <v>4.1900000000000004</v>
      </c>
      <c r="N576" s="148">
        <v>5.31</v>
      </c>
      <c r="O576" s="148">
        <v>286.74</v>
      </c>
      <c r="P576" s="494"/>
      <c r="Q576" s="147">
        <f t="shared" si="170"/>
        <v>0</v>
      </c>
      <c r="R576" s="148"/>
      <c r="S576" s="148">
        <f t="shared" si="171"/>
        <v>0</v>
      </c>
      <c r="T576" s="148">
        <f t="shared" si="161"/>
        <v>54</v>
      </c>
      <c r="U576" s="148">
        <f t="shared" si="160"/>
        <v>286.74</v>
      </c>
      <c r="V576" s="379"/>
      <c r="W576" s="379"/>
      <c r="X576" s="57" t="e">
        <f>IF(B576&lt;&gt;0,VLOOKUP(B576,#REF!,4,FALSE),"")</f>
        <v>#REF!</v>
      </c>
      <c r="Y576" s="334" t="s">
        <v>1864</v>
      </c>
      <c r="Z576" s="58">
        <f t="shared" si="165"/>
        <v>-0.66449999999999987</v>
      </c>
      <c r="AA576" s="58">
        <f t="shared" si="166"/>
        <v>203.33699999999999</v>
      </c>
      <c r="AB576" s="58"/>
      <c r="AC576" s="58">
        <f t="shared" si="167"/>
        <v>258.12</v>
      </c>
      <c r="AD576" s="58" t="e">
        <f>IF(B576&lt;&gt;0,VLOOKUP(B576,#REF!,2,FALSE),"")</f>
        <v>#REF!</v>
      </c>
      <c r="AE576" s="55">
        <v>104</v>
      </c>
      <c r="AF576" s="55">
        <f t="shared" si="155"/>
        <v>50</v>
      </c>
    </row>
    <row r="577" spans="1:32" s="55" customFormat="1" ht="45">
      <c r="A577" s="21" t="s">
        <v>2805</v>
      </c>
      <c r="B577" s="20">
        <v>91871</v>
      </c>
      <c r="C577" s="19" t="s">
        <v>1695</v>
      </c>
      <c r="D577" s="21" t="s">
        <v>12</v>
      </c>
      <c r="E577" s="21" t="s">
        <v>52</v>
      </c>
      <c r="F577" s="22">
        <v>104</v>
      </c>
      <c r="G577" s="22">
        <f t="shared" si="164"/>
        <v>7.3949999999999996</v>
      </c>
      <c r="H577" s="22">
        <f t="shared" si="168"/>
        <v>9.3800000000000008</v>
      </c>
      <c r="I577" s="147">
        <f t="shared" si="169"/>
        <v>975.52</v>
      </c>
      <c r="J577" s="148"/>
      <c r="K577" s="148"/>
      <c r="L577" s="148"/>
      <c r="M577" s="148">
        <v>8.24</v>
      </c>
      <c r="N577" s="148">
        <v>10.45</v>
      </c>
      <c r="O577" s="148">
        <v>1086.8</v>
      </c>
      <c r="P577" s="494"/>
      <c r="Q577" s="147">
        <f t="shared" si="170"/>
        <v>0</v>
      </c>
      <c r="R577" s="148"/>
      <c r="S577" s="148">
        <f t="shared" si="171"/>
        <v>0</v>
      </c>
      <c r="T577" s="148">
        <f t="shared" si="161"/>
        <v>104</v>
      </c>
      <c r="U577" s="148">
        <f t="shared" si="160"/>
        <v>1086.8</v>
      </c>
      <c r="V577" s="379"/>
      <c r="W577" s="379"/>
      <c r="X577" s="57" t="e">
        <f>IF(B577&lt;&gt;0,VLOOKUP(B577,#REF!,4,FALSE),"")</f>
        <v>#REF!</v>
      </c>
      <c r="Y577" s="334" t="s">
        <v>2647</v>
      </c>
      <c r="Z577" s="58">
        <f t="shared" si="165"/>
        <v>-1.3049999999999997</v>
      </c>
      <c r="AA577" s="58">
        <f t="shared" si="166"/>
        <v>769.07999999999993</v>
      </c>
      <c r="AB577" s="58"/>
      <c r="AC577" s="58">
        <f t="shared" si="167"/>
        <v>975.5200000000001</v>
      </c>
      <c r="AD577" s="58" t="e">
        <f>IF(B577&lt;&gt;0,VLOOKUP(B577,#REF!,2,FALSE),"")</f>
        <v>#REF!</v>
      </c>
      <c r="AE577" s="55">
        <v>21</v>
      </c>
      <c r="AF577" s="55">
        <f t="shared" si="155"/>
        <v>-83</v>
      </c>
    </row>
    <row r="578" spans="1:32" s="55" customFormat="1" ht="60">
      <c r="A578" s="21" t="s">
        <v>2806</v>
      </c>
      <c r="B578" s="20">
        <v>91914</v>
      </c>
      <c r="C578" s="19" t="s">
        <v>1696</v>
      </c>
      <c r="D578" s="21" t="s">
        <v>12</v>
      </c>
      <c r="E578" s="21" t="s">
        <v>17</v>
      </c>
      <c r="F578" s="22">
        <v>21</v>
      </c>
      <c r="G578" s="22">
        <f t="shared" si="164"/>
        <v>8.5084999999999997</v>
      </c>
      <c r="H578" s="22">
        <f t="shared" si="168"/>
        <v>10.79</v>
      </c>
      <c r="I578" s="147">
        <f t="shared" si="169"/>
        <v>226.59</v>
      </c>
      <c r="J578" s="148"/>
      <c r="K578" s="148"/>
      <c r="L578" s="148"/>
      <c r="M578" s="148">
        <v>9.48</v>
      </c>
      <c r="N578" s="148">
        <v>12.02</v>
      </c>
      <c r="O578" s="148">
        <v>252.42</v>
      </c>
      <c r="P578" s="494"/>
      <c r="Q578" s="147">
        <f t="shared" si="170"/>
        <v>0</v>
      </c>
      <c r="R578" s="148"/>
      <c r="S578" s="148">
        <f t="shared" si="171"/>
        <v>0</v>
      </c>
      <c r="T578" s="148">
        <f t="shared" si="161"/>
        <v>21</v>
      </c>
      <c r="U578" s="148">
        <f t="shared" si="160"/>
        <v>252.42</v>
      </c>
      <c r="V578" s="379"/>
      <c r="W578" s="379"/>
      <c r="X578" s="57" t="e">
        <f>IF(B578&lt;&gt;0,VLOOKUP(B578,#REF!,4,FALSE),"")</f>
        <v>#REF!</v>
      </c>
      <c r="Y578" s="334" t="s">
        <v>1907</v>
      </c>
      <c r="Z578" s="58">
        <f t="shared" si="165"/>
        <v>-1.5015000000000001</v>
      </c>
      <c r="AA578" s="58">
        <f t="shared" si="166"/>
        <v>178.67849999999999</v>
      </c>
      <c r="AB578" s="58"/>
      <c r="AC578" s="58">
        <f t="shared" si="167"/>
        <v>226.58999999999997</v>
      </c>
      <c r="AD578" s="58" t="e">
        <f>IF(B578&lt;&gt;0,VLOOKUP(B578,#REF!,2,FALSE),"")</f>
        <v>#REF!</v>
      </c>
      <c r="AE578" s="55">
        <v>77</v>
      </c>
      <c r="AF578" s="55">
        <f t="shared" si="155"/>
        <v>56</v>
      </c>
    </row>
    <row r="579" spans="1:32" s="55" customFormat="1" ht="60">
      <c r="A579" s="21" t="s">
        <v>2807</v>
      </c>
      <c r="B579" s="20">
        <v>91884</v>
      </c>
      <c r="C579" s="19" t="s">
        <v>1697</v>
      </c>
      <c r="D579" s="21" t="s">
        <v>12</v>
      </c>
      <c r="E579" s="21" t="s">
        <v>17</v>
      </c>
      <c r="F579" s="22">
        <v>77</v>
      </c>
      <c r="G579" s="22">
        <f t="shared" si="164"/>
        <v>5.1849999999999996</v>
      </c>
      <c r="H579" s="22">
        <f t="shared" si="168"/>
        <v>6.58</v>
      </c>
      <c r="I579" s="147">
        <f t="shared" si="169"/>
        <v>506.66</v>
      </c>
      <c r="J579" s="148"/>
      <c r="K579" s="148"/>
      <c r="L579" s="148"/>
      <c r="M579" s="148">
        <v>5.78</v>
      </c>
      <c r="N579" s="148">
        <v>7.33</v>
      </c>
      <c r="O579" s="148">
        <v>564.41</v>
      </c>
      <c r="P579" s="494"/>
      <c r="Q579" s="147">
        <f t="shared" si="170"/>
        <v>0</v>
      </c>
      <c r="R579" s="148"/>
      <c r="S579" s="148">
        <f t="shared" si="171"/>
        <v>0</v>
      </c>
      <c r="T579" s="148">
        <f t="shared" si="161"/>
        <v>77</v>
      </c>
      <c r="U579" s="148">
        <f t="shared" si="160"/>
        <v>564.41</v>
      </c>
      <c r="V579" s="379"/>
      <c r="W579" s="379"/>
      <c r="X579" s="57" t="e">
        <f>IF(B579&lt;&gt;0,VLOOKUP(B579,#REF!,4,FALSE),"")</f>
        <v>#REF!</v>
      </c>
      <c r="Y579" s="334" t="s">
        <v>3138</v>
      </c>
      <c r="Z579" s="58">
        <f t="shared" si="165"/>
        <v>-0.91500000000000004</v>
      </c>
      <c r="AA579" s="58">
        <f t="shared" si="166"/>
        <v>399.24499999999995</v>
      </c>
      <c r="AB579" s="58"/>
      <c r="AC579" s="58">
        <f t="shared" si="167"/>
        <v>506.66</v>
      </c>
      <c r="AD579" s="58" t="e">
        <f>IF(B579&lt;&gt;0,VLOOKUP(B579,#REF!,2,FALSE),"")</f>
        <v>#REF!</v>
      </c>
      <c r="AE579" s="55">
        <v>31</v>
      </c>
      <c r="AF579" s="55">
        <f t="shared" si="155"/>
        <v>-46</v>
      </c>
    </row>
    <row r="580" spans="1:32" s="55" customFormat="1" ht="15" customHeight="1">
      <c r="A580" s="21" t="s">
        <v>2808</v>
      </c>
      <c r="B580" s="20">
        <v>723</v>
      </c>
      <c r="C580" s="19" t="s">
        <v>1765</v>
      </c>
      <c r="D580" s="21" t="s">
        <v>44</v>
      </c>
      <c r="E580" s="21" t="s">
        <v>17</v>
      </c>
      <c r="F580" s="22">
        <v>31</v>
      </c>
      <c r="G580" s="22">
        <f t="shared" si="164"/>
        <v>3.4085000000000001</v>
      </c>
      <c r="H580" s="22">
        <f t="shared" si="168"/>
        <v>4.32</v>
      </c>
      <c r="I580" s="147">
        <f t="shared" si="169"/>
        <v>133.91999999999999</v>
      </c>
      <c r="J580" s="148"/>
      <c r="K580" s="148"/>
      <c r="L580" s="148"/>
      <c r="M580" s="148">
        <v>3.8</v>
      </c>
      <c r="N580" s="148">
        <v>4.82</v>
      </c>
      <c r="O580" s="148">
        <v>149.41999999999999</v>
      </c>
      <c r="P580" s="494"/>
      <c r="Q580" s="147">
        <f t="shared" si="170"/>
        <v>0</v>
      </c>
      <c r="R580" s="148"/>
      <c r="S580" s="148">
        <f t="shared" si="171"/>
        <v>0</v>
      </c>
      <c r="T580" s="148">
        <f t="shared" si="161"/>
        <v>31</v>
      </c>
      <c r="U580" s="148">
        <f t="shared" si="160"/>
        <v>149.41999999999999</v>
      </c>
      <c r="V580" s="379"/>
      <c r="W580" s="379"/>
      <c r="X580" s="57">
        <f>'COMPOSIÇÃO DE CUSTOS'!G1307</f>
        <v>3.41</v>
      </c>
      <c r="Y580" s="334">
        <v>4.01</v>
      </c>
      <c r="Z580" s="58">
        <f t="shared" si="165"/>
        <v>-0.6014999999999997</v>
      </c>
      <c r="AA580" s="58">
        <f t="shared" si="166"/>
        <v>105.6635</v>
      </c>
      <c r="AB580" s="58"/>
      <c r="AC580" s="58">
        <f t="shared" si="167"/>
        <v>133.92000000000002</v>
      </c>
      <c r="AD580" s="58" t="e">
        <f>IF(B580&lt;&gt;0,VLOOKUP(B580,#REF!,2,FALSE),"")</f>
        <v>#REF!</v>
      </c>
      <c r="AE580" s="55">
        <v>12</v>
      </c>
      <c r="AF580" s="55">
        <f t="shared" si="155"/>
        <v>-19</v>
      </c>
    </row>
    <row r="581" spans="1:32" s="55" customFormat="1" ht="30">
      <c r="A581" s="21" t="s">
        <v>2809</v>
      </c>
      <c r="B581" s="20">
        <v>91864</v>
      </c>
      <c r="C581" s="19" t="s">
        <v>194</v>
      </c>
      <c r="D581" s="21" t="s">
        <v>12</v>
      </c>
      <c r="E581" s="21" t="s">
        <v>52</v>
      </c>
      <c r="F581" s="22">
        <v>12</v>
      </c>
      <c r="G581" s="22">
        <f t="shared" si="164"/>
        <v>9.1204999999999998</v>
      </c>
      <c r="H581" s="22">
        <f t="shared" si="168"/>
        <v>11.57</v>
      </c>
      <c r="I581" s="147">
        <f t="shared" si="169"/>
        <v>138.84</v>
      </c>
      <c r="J581" s="148"/>
      <c r="K581" s="148"/>
      <c r="L581" s="148"/>
      <c r="M581" s="148">
        <v>10.16</v>
      </c>
      <c r="N581" s="148">
        <v>12.88</v>
      </c>
      <c r="O581" s="148">
        <v>154.56</v>
      </c>
      <c r="P581" s="494"/>
      <c r="Q581" s="147">
        <f t="shared" si="170"/>
        <v>0</v>
      </c>
      <c r="R581" s="148"/>
      <c r="S581" s="148">
        <f t="shared" si="171"/>
        <v>0</v>
      </c>
      <c r="T581" s="148">
        <f t="shared" si="161"/>
        <v>12</v>
      </c>
      <c r="U581" s="148">
        <f t="shared" si="160"/>
        <v>154.56</v>
      </c>
      <c r="V581" s="379"/>
      <c r="W581" s="379"/>
      <c r="X581" s="57" t="e">
        <f>IF(B581&lt;&gt;0,VLOOKUP(B581,#REF!,4,FALSE),"")</f>
        <v>#REF!</v>
      </c>
      <c r="Y581" s="334" t="s">
        <v>1836</v>
      </c>
      <c r="Z581" s="58">
        <f t="shared" si="165"/>
        <v>-1.6095000000000006</v>
      </c>
      <c r="AA581" s="58">
        <f t="shared" si="166"/>
        <v>109.446</v>
      </c>
      <c r="AB581" s="58"/>
      <c r="AC581" s="58">
        <f t="shared" si="167"/>
        <v>138.84</v>
      </c>
      <c r="AD581" s="58" t="e">
        <f>IF(B581&lt;&gt;0,VLOOKUP(B581,#REF!,2,FALSE),"")</f>
        <v>#REF!</v>
      </c>
      <c r="AE581" s="55">
        <v>4</v>
      </c>
      <c r="AF581" s="55">
        <f t="shared" si="155"/>
        <v>-8</v>
      </c>
    </row>
    <row r="582" spans="1:32" s="55" customFormat="1" ht="30">
      <c r="A582" s="21" t="s">
        <v>2810</v>
      </c>
      <c r="B582" s="20">
        <v>91885</v>
      </c>
      <c r="C582" s="19" t="s">
        <v>195</v>
      </c>
      <c r="D582" s="21" t="s">
        <v>12</v>
      </c>
      <c r="E582" s="21" t="s">
        <v>17</v>
      </c>
      <c r="F582" s="22">
        <v>4</v>
      </c>
      <c r="G582" s="22">
        <f t="shared" si="164"/>
        <v>6.1624999999999996</v>
      </c>
      <c r="H582" s="22">
        <f t="shared" si="168"/>
        <v>7.81</v>
      </c>
      <c r="I582" s="147">
        <f t="shared" si="169"/>
        <v>31.24</v>
      </c>
      <c r="J582" s="148"/>
      <c r="K582" s="148"/>
      <c r="L582" s="148"/>
      <c r="M582" s="148">
        <v>6.87</v>
      </c>
      <c r="N582" s="148">
        <v>8.7100000000000009</v>
      </c>
      <c r="O582" s="148">
        <v>34.840000000000003</v>
      </c>
      <c r="P582" s="494"/>
      <c r="Q582" s="147">
        <f t="shared" si="170"/>
        <v>0</v>
      </c>
      <c r="R582" s="148"/>
      <c r="S582" s="148">
        <f t="shared" si="171"/>
        <v>0</v>
      </c>
      <c r="T582" s="148">
        <f t="shared" si="161"/>
        <v>4</v>
      </c>
      <c r="U582" s="148">
        <f t="shared" si="160"/>
        <v>34.840000000000003</v>
      </c>
      <c r="V582" s="379"/>
      <c r="W582" s="379"/>
      <c r="X582" s="57" t="e">
        <f>IF(B582&lt;&gt;0,VLOOKUP(B582,#REF!,4,FALSE),"")</f>
        <v>#REF!</v>
      </c>
      <c r="Y582" s="334" t="s">
        <v>1870</v>
      </c>
      <c r="Z582" s="58">
        <f t="shared" si="165"/>
        <v>-1.0875000000000004</v>
      </c>
      <c r="AA582" s="58">
        <f t="shared" si="166"/>
        <v>24.65</v>
      </c>
      <c r="AB582" s="58"/>
      <c r="AC582" s="58">
        <f t="shared" si="167"/>
        <v>31.24</v>
      </c>
      <c r="AD582" s="58" t="e">
        <f>IF(B582&lt;&gt;0,VLOOKUP(B582,#REF!,2,FALSE),"")</f>
        <v>#REF!</v>
      </c>
      <c r="AE582" s="55">
        <v>12</v>
      </c>
      <c r="AF582" s="55">
        <f t="shared" si="155"/>
        <v>8</v>
      </c>
    </row>
    <row r="583" spans="1:32" s="55" customFormat="1" ht="30">
      <c r="A583" s="21" t="s">
        <v>2811</v>
      </c>
      <c r="B583" s="20">
        <v>765</v>
      </c>
      <c r="C583" s="19" t="s">
        <v>1767</v>
      </c>
      <c r="D583" s="21" t="s">
        <v>44</v>
      </c>
      <c r="E583" s="21" t="s">
        <v>17</v>
      </c>
      <c r="F583" s="22">
        <v>12</v>
      </c>
      <c r="G583" s="22">
        <f t="shared" si="164"/>
        <v>47.5745</v>
      </c>
      <c r="H583" s="22">
        <f t="shared" si="168"/>
        <v>60.33</v>
      </c>
      <c r="I583" s="147">
        <f t="shared" si="169"/>
        <v>723.96</v>
      </c>
      <c r="J583" s="148"/>
      <c r="K583" s="148"/>
      <c r="L583" s="148"/>
      <c r="M583" s="148">
        <v>53</v>
      </c>
      <c r="N583" s="148">
        <v>67.209999999999994</v>
      </c>
      <c r="O583" s="148">
        <v>806.52</v>
      </c>
      <c r="P583" s="494"/>
      <c r="Q583" s="147">
        <f t="shared" si="170"/>
        <v>0</v>
      </c>
      <c r="R583" s="148"/>
      <c r="S583" s="148">
        <f t="shared" si="171"/>
        <v>0</v>
      </c>
      <c r="T583" s="148">
        <f t="shared" si="161"/>
        <v>12</v>
      </c>
      <c r="U583" s="148">
        <f t="shared" si="160"/>
        <v>806.52</v>
      </c>
      <c r="V583" s="379"/>
      <c r="W583" s="379"/>
      <c r="X583" s="57">
        <f>'COMPOSIÇÃO DE CUSTOS'!G2512</f>
        <v>47.57</v>
      </c>
      <c r="Y583" s="334">
        <v>55.97</v>
      </c>
      <c r="Z583" s="58">
        <f t="shared" si="165"/>
        <v>-8.3954999999999984</v>
      </c>
      <c r="AA583" s="58">
        <f t="shared" si="166"/>
        <v>570.89400000000001</v>
      </c>
      <c r="AB583" s="58"/>
      <c r="AC583" s="58">
        <f t="shared" si="167"/>
        <v>723.96</v>
      </c>
      <c r="AD583" s="58" t="e">
        <f>IF(B583&lt;&gt;0,VLOOKUP(B583,#REF!,2,FALSE),"")</f>
        <v>#REF!</v>
      </c>
      <c r="AE583" s="55">
        <v>2</v>
      </c>
      <c r="AF583" s="55">
        <f t="shared" si="155"/>
        <v>-10</v>
      </c>
    </row>
    <row r="584" spans="1:32" s="55" customFormat="1" ht="30">
      <c r="A584" s="21" t="s">
        <v>2812</v>
      </c>
      <c r="B584" s="20">
        <v>8689</v>
      </c>
      <c r="C584" s="19" t="s">
        <v>2813</v>
      </c>
      <c r="D584" s="21" t="s">
        <v>44</v>
      </c>
      <c r="E584" s="21" t="s">
        <v>17</v>
      </c>
      <c r="F584" s="22">
        <v>2</v>
      </c>
      <c r="G584" s="22">
        <f t="shared" si="164"/>
        <v>16.4815</v>
      </c>
      <c r="H584" s="22">
        <f t="shared" si="168"/>
        <v>20.9</v>
      </c>
      <c r="I584" s="147">
        <f t="shared" si="169"/>
        <v>41.8</v>
      </c>
      <c r="J584" s="148"/>
      <c r="K584" s="148"/>
      <c r="L584" s="148"/>
      <c r="M584" s="148">
        <v>18.36</v>
      </c>
      <c r="N584" s="148">
        <v>23.28</v>
      </c>
      <c r="O584" s="148">
        <v>46.56</v>
      </c>
      <c r="P584" s="494"/>
      <c r="Q584" s="147">
        <f t="shared" si="170"/>
        <v>0</v>
      </c>
      <c r="R584" s="148"/>
      <c r="S584" s="148">
        <f t="shared" si="171"/>
        <v>0</v>
      </c>
      <c r="T584" s="148">
        <f t="shared" si="161"/>
        <v>2</v>
      </c>
      <c r="U584" s="148">
        <f t="shared" si="160"/>
        <v>46.56</v>
      </c>
      <c r="V584" s="379"/>
      <c r="W584" s="379"/>
      <c r="X584" s="57">
        <f>'COMPOSIÇÃO DE CUSTOS'!G2505</f>
        <v>16.48</v>
      </c>
      <c r="Y584" s="334">
        <v>19.39</v>
      </c>
      <c r="Z584" s="58">
        <f t="shared" si="165"/>
        <v>-2.9085000000000001</v>
      </c>
      <c r="AA584" s="58">
        <f t="shared" si="166"/>
        <v>32.963000000000001</v>
      </c>
      <c r="AB584" s="58"/>
      <c r="AC584" s="58">
        <f t="shared" si="167"/>
        <v>41.8</v>
      </c>
      <c r="AD584" s="58" t="e">
        <f>IF(B584&lt;&gt;0,VLOOKUP(B584,#REF!,2,FALSE),"")</f>
        <v>#REF!</v>
      </c>
      <c r="AE584" s="55">
        <v>4</v>
      </c>
      <c r="AF584" s="55">
        <f t="shared" si="155"/>
        <v>2</v>
      </c>
    </row>
    <row r="585" spans="1:32" s="55" customFormat="1" ht="30">
      <c r="A585" s="21" t="s">
        <v>2814</v>
      </c>
      <c r="B585" s="20">
        <v>749</v>
      </c>
      <c r="C585" s="19" t="s">
        <v>198</v>
      </c>
      <c r="D585" s="21" t="s">
        <v>44</v>
      </c>
      <c r="E585" s="21" t="s">
        <v>17</v>
      </c>
      <c r="F585" s="22">
        <v>4</v>
      </c>
      <c r="G585" s="22">
        <f t="shared" si="164"/>
        <v>55.385999999999996</v>
      </c>
      <c r="H585" s="22">
        <f t="shared" si="168"/>
        <v>70.23</v>
      </c>
      <c r="I585" s="147">
        <f t="shared" si="169"/>
        <v>280.92</v>
      </c>
      <c r="J585" s="148"/>
      <c r="K585" s="148"/>
      <c r="L585" s="148"/>
      <c r="M585" s="148">
        <v>61.7</v>
      </c>
      <c r="N585" s="148">
        <v>78.239999999999995</v>
      </c>
      <c r="O585" s="148">
        <v>312.95999999999998</v>
      </c>
      <c r="P585" s="494"/>
      <c r="Q585" s="147">
        <f t="shared" si="170"/>
        <v>0</v>
      </c>
      <c r="R585" s="148"/>
      <c r="S585" s="148">
        <f t="shared" si="171"/>
        <v>0</v>
      </c>
      <c r="T585" s="148">
        <f t="shared" si="161"/>
        <v>4</v>
      </c>
      <c r="U585" s="148">
        <f t="shared" si="160"/>
        <v>312.95999999999998</v>
      </c>
      <c r="V585" s="379"/>
      <c r="W585" s="379"/>
      <c r="X585" s="57">
        <f>'COMPOSIÇÃO DE CUSTOS'!G1032</f>
        <v>55.39</v>
      </c>
      <c r="Y585" s="334">
        <v>65.16</v>
      </c>
      <c r="Z585" s="58">
        <f t="shared" si="165"/>
        <v>-9.7740000000000009</v>
      </c>
      <c r="AA585" s="58">
        <f t="shared" si="166"/>
        <v>221.54399999999998</v>
      </c>
      <c r="AB585" s="58"/>
      <c r="AC585" s="58">
        <f t="shared" si="167"/>
        <v>280.92</v>
      </c>
      <c r="AD585" s="58" t="e">
        <f>IF(B585&lt;&gt;0,VLOOKUP(B585,#REF!,2,FALSE),"")</f>
        <v>#REF!</v>
      </c>
      <c r="AE585" s="55">
        <v>17</v>
      </c>
      <c r="AF585" s="55">
        <f t="shared" si="155"/>
        <v>13</v>
      </c>
    </row>
    <row r="586" spans="1:32" s="55" customFormat="1" ht="30">
      <c r="A586" s="21" t="s">
        <v>2815</v>
      </c>
      <c r="B586" s="20">
        <v>748</v>
      </c>
      <c r="C586" s="19" t="s">
        <v>201</v>
      </c>
      <c r="D586" s="21" t="s">
        <v>44</v>
      </c>
      <c r="E586" s="21" t="s">
        <v>17</v>
      </c>
      <c r="F586" s="22">
        <v>17</v>
      </c>
      <c r="G586" s="22">
        <f t="shared" si="164"/>
        <v>70.473500000000001</v>
      </c>
      <c r="H586" s="22">
        <f t="shared" si="168"/>
        <v>89.37</v>
      </c>
      <c r="I586" s="147">
        <f t="shared" si="169"/>
        <v>1519.29</v>
      </c>
      <c r="J586" s="148"/>
      <c r="K586" s="148"/>
      <c r="L586" s="148"/>
      <c r="M586" s="148">
        <v>78.510000000000005</v>
      </c>
      <c r="N586" s="148">
        <v>99.56</v>
      </c>
      <c r="O586" s="148">
        <v>1692.52</v>
      </c>
      <c r="P586" s="494"/>
      <c r="Q586" s="147">
        <f t="shared" si="170"/>
        <v>0</v>
      </c>
      <c r="R586" s="148"/>
      <c r="S586" s="148">
        <f t="shared" si="171"/>
        <v>0</v>
      </c>
      <c r="T586" s="148">
        <f t="shared" si="161"/>
        <v>17</v>
      </c>
      <c r="U586" s="148">
        <f t="shared" si="160"/>
        <v>1692.52</v>
      </c>
      <c r="V586" s="379"/>
      <c r="W586" s="379"/>
      <c r="X586" s="57">
        <f>'COMPOSIÇÃO DE CUSTOS'!G1053</f>
        <v>70.47</v>
      </c>
      <c r="Y586" s="334">
        <v>82.91</v>
      </c>
      <c r="Z586" s="58">
        <f t="shared" si="165"/>
        <v>-12.436499999999995</v>
      </c>
      <c r="AA586" s="58">
        <f t="shared" si="166"/>
        <v>1198.0495000000001</v>
      </c>
      <c r="AB586" s="58"/>
      <c r="AC586" s="58">
        <f t="shared" si="167"/>
        <v>1519.29</v>
      </c>
      <c r="AD586" s="58" t="e">
        <f>IF(B586&lt;&gt;0,VLOOKUP(B586,#REF!,2,FALSE),"")</f>
        <v>#REF!</v>
      </c>
      <c r="AE586" s="55">
        <v>1</v>
      </c>
      <c r="AF586" s="55">
        <f t="shared" si="155"/>
        <v>-16</v>
      </c>
    </row>
    <row r="587" spans="1:32" s="55" customFormat="1" ht="36" customHeight="1">
      <c r="A587" s="21" t="s">
        <v>2816</v>
      </c>
      <c r="B587" s="20">
        <v>11548</v>
      </c>
      <c r="C587" s="19" t="s">
        <v>1755</v>
      </c>
      <c r="D587" s="21" t="s">
        <v>44</v>
      </c>
      <c r="E587" s="21" t="s">
        <v>17</v>
      </c>
      <c r="F587" s="22">
        <v>1</v>
      </c>
      <c r="G587" s="22">
        <f t="shared" si="164"/>
        <v>39.967000000000006</v>
      </c>
      <c r="H587" s="22">
        <f t="shared" si="168"/>
        <v>50.68</v>
      </c>
      <c r="I587" s="147">
        <f t="shared" si="169"/>
        <v>50.68</v>
      </c>
      <c r="J587" s="148"/>
      <c r="K587" s="148"/>
      <c r="L587" s="148"/>
      <c r="M587" s="148">
        <v>44.52</v>
      </c>
      <c r="N587" s="148">
        <v>56.46</v>
      </c>
      <c r="O587" s="148">
        <v>56.46</v>
      </c>
      <c r="P587" s="494"/>
      <c r="Q587" s="147">
        <f t="shared" si="170"/>
        <v>0</v>
      </c>
      <c r="R587" s="148"/>
      <c r="S587" s="148">
        <f t="shared" si="171"/>
        <v>0</v>
      </c>
      <c r="T587" s="148">
        <f t="shared" si="161"/>
        <v>1</v>
      </c>
      <c r="U587" s="148">
        <f t="shared" si="160"/>
        <v>56.46</v>
      </c>
      <c r="V587" s="379"/>
      <c r="W587" s="379"/>
      <c r="X587" s="57">
        <f>'COMPOSIÇÃO DE CUSTOS'!G1067</f>
        <v>39.96</v>
      </c>
      <c r="Y587" s="334">
        <v>47.02</v>
      </c>
      <c r="Z587" s="58">
        <f t="shared" si="165"/>
        <v>-7.0529999999999973</v>
      </c>
      <c r="AA587" s="58">
        <f t="shared" si="166"/>
        <v>39.967000000000006</v>
      </c>
      <c r="AB587" s="58"/>
      <c r="AC587" s="58">
        <f t="shared" si="167"/>
        <v>50.68</v>
      </c>
      <c r="AD587" s="58" t="e">
        <f>IF(B587&lt;&gt;0,VLOOKUP(B587,#REF!,2,FALSE),"")</f>
        <v>#REF!</v>
      </c>
      <c r="AE587" s="55">
        <v>2</v>
      </c>
      <c r="AF587" s="55">
        <f t="shared" si="155"/>
        <v>1</v>
      </c>
    </row>
    <row r="588" spans="1:32" s="55" customFormat="1" ht="29.25" customHeight="1">
      <c r="A588" s="21" t="s">
        <v>2817</v>
      </c>
      <c r="B588" s="20">
        <v>9280</v>
      </c>
      <c r="C588" s="19" t="s">
        <v>1743</v>
      </c>
      <c r="D588" s="21" t="s">
        <v>44</v>
      </c>
      <c r="E588" s="21" t="s">
        <v>17</v>
      </c>
      <c r="F588" s="22">
        <v>2</v>
      </c>
      <c r="G588" s="22">
        <f t="shared" si="164"/>
        <v>52.173000000000002</v>
      </c>
      <c r="H588" s="22">
        <f t="shared" si="168"/>
        <v>66.16</v>
      </c>
      <c r="I588" s="147">
        <f t="shared" si="169"/>
        <v>132.32</v>
      </c>
      <c r="J588" s="148"/>
      <c r="K588" s="148"/>
      <c r="L588" s="148"/>
      <c r="M588" s="148">
        <v>58.12</v>
      </c>
      <c r="N588" s="148">
        <v>73.7</v>
      </c>
      <c r="O588" s="148">
        <v>147.4</v>
      </c>
      <c r="P588" s="494"/>
      <c r="Q588" s="147">
        <f t="shared" si="170"/>
        <v>0</v>
      </c>
      <c r="R588" s="148"/>
      <c r="S588" s="148">
        <f t="shared" si="171"/>
        <v>0</v>
      </c>
      <c r="T588" s="148">
        <f t="shared" si="161"/>
        <v>2</v>
      </c>
      <c r="U588" s="148">
        <f t="shared" si="160"/>
        <v>147.4</v>
      </c>
      <c r="V588" s="379"/>
      <c r="W588" s="379"/>
      <c r="X588" s="57">
        <f>'COMPOSIÇÃO DE CUSTOS'!G1074</f>
        <v>52.17</v>
      </c>
      <c r="Y588" s="334">
        <v>61.38</v>
      </c>
      <c r="Z588" s="58">
        <f t="shared" si="165"/>
        <v>-9.2070000000000007</v>
      </c>
      <c r="AA588" s="58">
        <f t="shared" si="166"/>
        <v>104.346</v>
      </c>
      <c r="AB588" s="58"/>
      <c r="AC588" s="58">
        <f t="shared" si="167"/>
        <v>132.32</v>
      </c>
      <c r="AD588" s="58" t="e">
        <f>IF(B588&lt;&gt;0,VLOOKUP(B588,#REF!,2,FALSE),"")</f>
        <v>#REF!</v>
      </c>
      <c r="AE588" s="55">
        <v>1</v>
      </c>
      <c r="AF588" s="55">
        <f t="shared" si="155"/>
        <v>-1</v>
      </c>
    </row>
    <row r="589" spans="1:32" s="55" customFormat="1" ht="33.75" customHeight="1">
      <c r="A589" s="21" t="s">
        <v>2818</v>
      </c>
      <c r="B589" s="20" t="s">
        <v>2229</v>
      </c>
      <c r="C589" s="19" t="s">
        <v>1744</v>
      </c>
      <c r="D589" s="21" t="s">
        <v>1914</v>
      </c>
      <c r="E589" s="21" t="s">
        <v>17</v>
      </c>
      <c r="F589" s="22">
        <v>1</v>
      </c>
      <c r="G589" s="22">
        <f t="shared" si="164"/>
        <v>15.614500000000001</v>
      </c>
      <c r="H589" s="22">
        <f t="shared" si="168"/>
        <v>19.8</v>
      </c>
      <c r="I589" s="147">
        <f t="shared" si="169"/>
        <v>19.8</v>
      </c>
      <c r="J589" s="148"/>
      <c r="K589" s="148"/>
      <c r="L589" s="148"/>
      <c r="M589" s="148">
        <v>17.39</v>
      </c>
      <c r="N589" s="148">
        <v>22.05</v>
      </c>
      <c r="O589" s="148">
        <v>22.05</v>
      </c>
      <c r="P589" s="494"/>
      <c r="Q589" s="147">
        <f t="shared" si="170"/>
        <v>0</v>
      </c>
      <c r="R589" s="148"/>
      <c r="S589" s="148">
        <f t="shared" si="171"/>
        <v>0</v>
      </c>
      <c r="T589" s="148">
        <f t="shared" si="161"/>
        <v>1</v>
      </c>
      <c r="U589" s="148">
        <f t="shared" si="160"/>
        <v>22.05</v>
      </c>
      <c r="V589" s="379"/>
      <c r="W589" s="379"/>
      <c r="X589" s="57">
        <f>'COMPOSIÇÃO DE CUSTOS'!G1081</f>
        <v>15.61</v>
      </c>
      <c r="Y589" s="334">
        <v>18.37</v>
      </c>
      <c r="Z589" s="58">
        <f t="shared" si="165"/>
        <v>-2.7554999999999996</v>
      </c>
      <c r="AA589" s="58">
        <f t="shared" si="166"/>
        <v>15.614500000000001</v>
      </c>
      <c r="AB589" s="58"/>
      <c r="AC589" s="58">
        <f t="shared" si="167"/>
        <v>19.8</v>
      </c>
      <c r="AD589" s="58" t="e">
        <f>IF(B589&lt;&gt;0,VLOOKUP(B589,#REF!,2,FALSE),"")</f>
        <v>#REF!</v>
      </c>
      <c r="AE589" s="55">
        <v>3</v>
      </c>
      <c r="AF589" s="55">
        <f t="shared" si="155"/>
        <v>2</v>
      </c>
    </row>
    <row r="590" spans="1:32" s="55" customFormat="1" ht="36" customHeight="1">
      <c r="A590" s="21" t="s">
        <v>2819</v>
      </c>
      <c r="B590" s="20">
        <v>4533</v>
      </c>
      <c r="C590" s="19" t="s">
        <v>203</v>
      </c>
      <c r="D590" s="21" t="s">
        <v>44</v>
      </c>
      <c r="E590" s="21" t="s">
        <v>17</v>
      </c>
      <c r="F590" s="22">
        <v>3</v>
      </c>
      <c r="G590" s="22">
        <f t="shared" si="164"/>
        <v>114.5205</v>
      </c>
      <c r="H590" s="22">
        <f t="shared" si="168"/>
        <v>145.22</v>
      </c>
      <c r="I590" s="147">
        <f t="shared" si="169"/>
        <v>435.66</v>
      </c>
      <c r="J590" s="148"/>
      <c r="K590" s="148"/>
      <c r="L590" s="148"/>
      <c r="M590" s="148">
        <v>127.58</v>
      </c>
      <c r="N590" s="148">
        <v>161.78</v>
      </c>
      <c r="O590" s="148">
        <v>485.34</v>
      </c>
      <c r="P590" s="494"/>
      <c r="Q590" s="147">
        <f t="shared" si="170"/>
        <v>0</v>
      </c>
      <c r="R590" s="148"/>
      <c r="S590" s="148">
        <f t="shared" si="171"/>
        <v>0</v>
      </c>
      <c r="T590" s="148">
        <f t="shared" si="161"/>
        <v>3</v>
      </c>
      <c r="U590" s="148">
        <f t="shared" si="160"/>
        <v>485.34</v>
      </c>
      <c r="V590" s="379"/>
      <c r="W590" s="379"/>
      <c r="X590" s="57">
        <f>'COMPOSIÇÃO DE CUSTOS'!G1088</f>
        <v>114.52</v>
      </c>
      <c r="Y590" s="334">
        <v>134.72999999999999</v>
      </c>
      <c r="Z590" s="58">
        <f t="shared" si="165"/>
        <v>-20.209499999999991</v>
      </c>
      <c r="AA590" s="58">
        <f t="shared" si="166"/>
        <v>343.56150000000002</v>
      </c>
      <c r="AB590" s="58"/>
      <c r="AC590" s="58">
        <f t="shared" si="167"/>
        <v>435.65999999999997</v>
      </c>
      <c r="AD590" s="58" t="e">
        <f>IF(B590&lt;&gt;0,VLOOKUP(B590,#REF!,2,FALSE),"")</f>
        <v>#REF!</v>
      </c>
      <c r="AE590" s="55">
        <v>1</v>
      </c>
      <c r="AF590" s="55">
        <f t="shared" si="155"/>
        <v>-2</v>
      </c>
    </row>
    <row r="591" spans="1:32" s="55" customFormat="1" ht="35.25" customHeight="1">
      <c r="A591" s="21" t="s">
        <v>2820</v>
      </c>
      <c r="B591" s="20">
        <v>12924</v>
      </c>
      <c r="C591" s="19" t="s">
        <v>1746</v>
      </c>
      <c r="D591" s="21" t="s">
        <v>44</v>
      </c>
      <c r="E591" s="21" t="s">
        <v>17</v>
      </c>
      <c r="F591" s="22">
        <v>1</v>
      </c>
      <c r="G591" s="22">
        <f t="shared" si="164"/>
        <v>11.279499999999999</v>
      </c>
      <c r="H591" s="22">
        <f t="shared" si="168"/>
        <v>14.3</v>
      </c>
      <c r="I591" s="147">
        <f t="shared" si="169"/>
        <v>14.3</v>
      </c>
      <c r="J591" s="148"/>
      <c r="K591" s="148"/>
      <c r="L591" s="148"/>
      <c r="M591" s="148">
        <v>12.57</v>
      </c>
      <c r="N591" s="148">
        <v>15.94</v>
      </c>
      <c r="O591" s="148">
        <v>15.94</v>
      </c>
      <c r="P591" s="494"/>
      <c r="Q591" s="147">
        <f t="shared" si="170"/>
        <v>0</v>
      </c>
      <c r="R591" s="148"/>
      <c r="S591" s="148">
        <f t="shared" si="171"/>
        <v>0</v>
      </c>
      <c r="T591" s="148">
        <f t="shared" si="161"/>
        <v>1</v>
      </c>
      <c r="U591" s="148">
        <f t="shared" si="160"/>
        <v>15.94</v>
      </c>
      <c r="V591" s="379"/>
      <c r="W591" s="379"/>
      <c r="X591" s="57">
        <f>'COMPOSIÇÃO DE CUSTOS'!G1116</f>
        <v>11.28</v>
      </c>
      <c r="Y591" s="334">
        <v>13.27</v>
      </c>
      <c r="Z591" s="58">
        <f t="shared" si="165"/>
        <v>-1.9905000000000008</v>
      </c>
      <c r="AA591" s="58">
        <f t="shared" si="166"/>
        <v>11.279499999999999</v>
      </c>
      <c r="AB591" s="58"/>
      <c r="AC591" s="58">
        <f t="shared" si="167"/>
        <v>14.3</v>
      </c>
      <c r="AD591" s="58" t="e">
        <f>IF(B591&lt;&gt;0,VLOOKUP(B591,#REF!,2,FALSE),"")</f>
        <v>#REF!</v>
      </c>
      <c r="AE591" s="55">
        <v>26</v>
      </c>
      <c r="AF591" s="55">
        <f t="shared" si="155"/>
        <v>25</v>
      </c>
    </row>
    <row r="592" spans="1:32" s="55" customFormat="1" ht="37.5" customHeight="1">
      <c r="A592" s="21" t="s">
        <v>2821</v>
      </c>
      <c r="B592" s="20">
        <v>762</v>
      </c>
      <c r="C592" s="19" t="s">
        <v>1749</v>
      </c>
      <c r="D592" s="21" t="s">
        <v>44</v>
      </c>
      <c r="E592" s="21" t="s">
        <v>17</v>
      </c>
      <c r="F592" s="22">
        <v>26</v>
      </c>
      <c r="G592" s="22">
        <f t="shared" si="164"/>
        <v>57.230499999999999</v>
      </c>
      <c r="H592" s="22">
        <f t="shared" si="168"/>
        <v>72.569999999999993</v>
      </c>
      <c r="I592" s="147">
        <f t="shared" si="169"/>
        <v>1886.82</v>
      </c>
      <c r="J592" s="148"/>
      <c r="K592" s="148"/>
      <c r="L592" s="148"/>
      <c r="M592" s="148">
        <v>63.76</v>
      </c>
      <c r="N592" s="148">
        <v>80.849999999999994</v>
      </c>
      <c r="O592" s="148">
        <v>2102.1</v>
      </c>
      <c r="P592" s="494"/>
      <c r="Q592" s="147">
        <f t="shared" si="170"/>
        <v>0</v>
      </c>
      <c r="R592" s="148"/>
      <c r="S592" s="148">
        <f t="shared" si="171"/>
        <v>0</v>
      </c>
      <c r="T592" s="148">
        <f t="shared" si="161"/>
        <v>26</v>
      </c>
      <c r="U592" s="148">
        <f t="shared" si="160"/>
        <v>2102.1</v>
      </c>
      <c r="V592" s="379"/>
      <c r="W592" s="379"/>
      <c r="X592" s="57">
        <f>'COMPOSIÇÃO DE CUSTOS'!G1265</f>
        <v>57.23</v>
      </c>
      <c r="Y592" s="334">
        <v>67.33</v>
      </c>
      <c r="Z592" s="58">
        <f t="shared" si="165"/>
        <v>-10.099499999999999</v>
      </c>
      <c r="AA592" s="58">
        <f t="shared" si="166"/>
        <v>1487.9929999999999</v>
      </c>
      <c r="AB592" s="58"/>
      <c r="AC592" s="58">
        <f t="shared" si="167"/>
        <v>1886.8199999999997</v>
      </c>
      <c r="AD592" s="58" t="e">
        <f>IF(B592&lt;&gt;0,VLOOKUP(B592,#REF!,2,FALSE),"")</f>
        <v>#REF!</v>
      </c>
      <c r="AE592" s="55">
        <v>1</v>
      </c>
      <c r="AF592" s="55">
        <f t="shared" si="155"/>
        <v>-25</v>
      </c>
    </row>
    <row r="593" spans="1:32" s="55" customFormat="1" ht="30">
      <c r="A593" s="21" t="s">
        <v>2822</v>
      </c>
      <c r="B593" s="20">
        <v>8443</v>
      </c>
      <c r="C593" s="19" t="s">
        <v>1759</v>
      </c>
      <c r="D593" s="21" t="s">
        <v>44</v>
      </c>
      <c r="E593" s="21" t="s">
        <v>17</v>
      </c>
      <c r="F593" s="22">
        <v>1</v>
      </c>
      <c r="G593" s="22">
        <f t="shared" si="164"/>
        <v>57.179499999999997</v>
      </c>
      <c r="H593" s="22">
        <f t="shared" si="168"/>
        <v>72.510000000000005</v>
      </c>
      <c r="I593" s="147">
        <f t="shared" si="169"/>
        <v>72.510000000000005</v>
      </c>
      <c r="J593" s="148"/>
      <c r="K593" s="148"/>
      <c r="L593" s="148"/>
      <c r="M593" s="148">
        <v>63.7</v>
      </c>
      <c r="N593" s="148">
        <v>80.78</v>
      </c>
      <c r="O593" s="148">
        <v>80.78</v>
      </c>
      <c r="P593" s="494"/>
      <c r="Q593" s="147">
        <f t="shared" si="170"/>
        <v>0</v>
      </c>
      <c r="R593" s="148"/>
      <c r="S593" s="148">
        <f t="shared" si="171"/>
        <v>0</v>
      </c>
      <c r="T593" s="148">
        <f t="shared" si="161"/>
        <v>1</v>
      </c>
      <c r="U593" s="148">
        <f t="shared" si="160"/>
        <v>80.78</v>
      </c>
      <c r="V593" s="379"/>
      <c r="W593" s="379"/>
      <c r="X593" s="57">
        <f>'COMPOSIÇÃO DE CUSTOS'!G1272</f>
        <v>57.18</v>
      </c>
      <c r="Y593" s="334">
        <v>67.27</v>
      </c>
      <c r="Z593" s="58">
        <f t="shared" si="165"/>
        <v>-10.090499999999999</v>
      </c>
      <c r="AA593" s="58">
        <f t="shared" si="166"/>
        <v>57.179499999999997</v>
      </c>
      <c r="AB593" s="58"/>
      <c r="AC593" s="58">
        <f t="shared" si="167"/>
        <v>72.510000000000005</v>
      </c>
      <c r="AD593" s="58" t="e">
        <f>IF(B593&lt;&gt;0,VLOOKUP(B593,#REF!,2,FALSE),"")</f>
        <v>#REF!</v>
      </c>
      <c r="AF593" s="55">
        <f t="shared" si="155"/>
        <v>-1</v>
      </c>
    </row>
    <row r="594" spans="1:32" s="55" customFormat="1">
      <c r="A594" s="69" t="s">
        <v>1134</v>
      </c>
      <c r="B594" s="129"/>
      <c r="C594" s="229" t="s">
        <v>239</v>
      </c>
      <c r="D594" s="230"/>
      <c r="E594" s="230"/>
      <c r="F594" s="230"/>
      <c r="G594" s="22"/>
      <c r="H594" s="230"/>
      <c r="I594" s="445"/>
      <c r="J594" s="440"/>
      <c r="K594" s="440"/>
      <c r="L594" s="440"/>
      <c r="M594" s="440"/>
      <c r="N594" s="440"/>
      <c r="O594" s="440"/>
      <c r="P594" s="492"/>
      <c r="Q594" s="147">
        <f t="shared" si="170"/>
        <v>0</v>
      </c>
      <c r="R594" s="440"/>
      <c r="S594" s="148">
        <f t="shared" si="171"/>
        <v>0</v>
      </c>
      <c r="T594" s="148" t="str">
        <f t="shared" si="161"/>
        <v xml:space="preserve"> </v>
      </c>
      <c r="U594" s="148">
        <f t="shared" si="160"/>
        <v>0</v>
      </c>
      <c r="V594" s="330"/>
      <c r="W594" s="330"/>
      <c r="X594" s="211" t="str">
        <f>IF(B594&lt;&gt;0,VLOOKUP(B594,#REF!,4,FALSE),"")</f>
        <v/>
      </c>
      <c r="Y594" s="334" t="s">
        <v>1891</v>
      </c>
      <c r="Z594" s="58"/>
      <c r="AA594" s="58">
        <f t="shared" si="166"/>
        <v>0</v>
      </c>
      <c r="AB594" s="58"/>
      <c r="AC594" s="58">
        <f t="shared" si="167"/>
        <v>0</v>
      </c>
      <c r="AD594" s="58" t="str">
        <f>IF(B594&lt;&gt;0,VLOOKUP(B594,#REF!,2,FALSE),"")</f>
        <v/>
      </c>
      <c r="AE594" s="55">
        <v>25</v>
      </c>
      <c r="AF594" s="55">
        <f t="shared" si="155"/>
        <v>25</v>
      </c>
    </row>
    <row r="595" spans="1:32" s="55" customFormat="1" ht="30">
      <c r="A595" s="21" t="s">
        <v>1135</v>
      </c>
      <c r="B595" s="20">
        <v>7384</v>
      </c>
      <c r="C595" s="19" t="s">
        <v>229</v>
      </c>
      <c r="D595" s="21" t="s">
        <v>44</v>
      </c>
      <c r="E595" s="21" t="s">
        <v>52</v>
      </c>
      <c r="F595" s="22">
        <v>25</v>
      </c>
      <c r="G595" s="22">
        <f t="shared" si="164"/>
        <v>19.244</v>
      </c>
      <c r="H595" s="22">
        <f t="shared" ref="H595:H600" si="172">ROUND(G595*(1+$X$13),2)</f>
        <v>24.4</v>
      </c>
      <c r="I595" s="147">
        <f t="shared" ref="I595:I600" si="173">ROUND(H595*F595,2)</f>
        <v>610</v>
      </c>
      <c r="J595" s="148"/>
      <c r="K595" s="148"/>
      <c r="L595" s="148"/>
      <c r="M595" s="148">
        <v>21.44</v>
      </c>
      <c r="N595" s="148">
        <v>27.19</v>
      </c>
      <c r="O595" s="148">
        <v>679.75</v>
      </c>
      <c r="P595" s="494"/>
      <c r="Q595" s="147">
        <f t="shared" si="170"/>
        <v>0</v>
      </c>
      <c r="R595" s="148"/>
      <c r="S595" s="148">
        <f t="shared" si="171"/>
        <v>0</v>
      </c>
      <c r="T595" s="148">
        <f t="shared" si="161"/>
        <v>25</v>
      </c>
      <c r="U595" s="148">
        <f t="shared" si="160"/>
        <v>679.75</v>
      </c>
      <c r="V595" s="379"/>
      <c r="W595" s="379"/>
      <c r="X595" s="57">
        <f>'COMPOSIÇÃO DE CUSTOS'!G1195</f>
        <v>19.25</v>
      </c>
      <c r="Y595" s="334">
        <v>22.64</v>
      </c>
      <c r="Z595" s="58">
        <f t="shared" si="165"/>
        <v>-3.3960000000000008</v>
      </c>
      <c r="AA595" s="58">
        <f t="shared" si="166"/>
        <v>481.1</v>
      </c>
      <c r="AB595" s="58"/>
      <c r="AC595" s="58">
        <f t="shared" si="167"/>
        <v>610</v>
      </c>
      <c r="AD595" s="58" t="e">
        <f>IF(B595&lt;&gt;0,VLOOKUP(B595,#REF!,2,FALSE),"")</f>
        <v>#REF!</v>
      </c>
      <c r="AE595" s="55">
        <v>23</v>
      </c>
      <c r="AF595" s="55">
        <f t="shared" ref="AF595:AF658" si="174">AE595-F595</f>
        <v>-2</v>
      </c>
    </row>
    <row r="596" spans="1:32" s="55" customFormat="1" ht="30">
      <c r="A596" s="21" t="s">
        <v>1136</v>
      </c>
      <c r="B596" s="20">
        <v>7881</v>
      </c>
      <c r="C596" s="19" t="s">
        <v>319</v>
      </c>
      <c r="D596" s="21" t="s">
        <v>44</v>
      </c>
      <c r="E596" s="21" t="s">
        <v>17</v>
      </c>
      <c r="F596" s="22">
        <v>23</v>
      </c>
      <c r="G596" s="22">
        <f t="shared" si="164"/>
        <v>8.9420000000000002</v>
      </c>
      <c r="H596" s="22">
        <f t="shared" si="172"/>
        <v>11.34</v>
      </c>
      <c r="I596" s="147">
        <f t="shared" si="173"/>
        <v>260.82</v>
      </c>
      <c r="J596" s="148"/>
      <c r="K596" s="148"/>
      <c r="L596" s="148"/>
      <c r="M596" s="148">
        <v>9.9600000000000009</v>
      </c>
      <c r="N596" s="148">
        <v>12.63</v>
      </c>
      <c r="O596" s="148">
        <v>290.49</v>
      </c>
      <c r="P596" s="494"/>
      <c r="Q596" s="147">
        <f t="shared" si="170"/>
        <v>0</v>
      </c>
      <c r="R596" s="148"/>
      <c r="S596" s="148">
        <f t="shared" si="171"/>
        <v>0</v>
      </c>
      <c r="T596" s="148">
        <f t="shared" si="161"/>
        <v>23</v>
      </c>
      <c r="U596" s="148">
        <f t="shared" si="160"/>
        <v>290.49</v>
      </c>
      <c r="V596" s="379"/>
      <c r="W596" s="379"/>
      <c r="X596" s="57">
        <f>'COMPOSIÇÃO DE CUSTOS'!G2498</f>
        <v>8.94</v>
      </c>
      <c r="Y596" s="334">
        <v>10.52</v>
      </c>
      <c r="Z596" s="58">
        <f t="shared" si="165"/>
        <v>-1.5779999999999994</v>
      </c>
      <c r="AA596" s="58">
        <f t="shared" si="166"/>
        <v>205.666</v>
      </c>
      <c r="AB596" s="58"/>
      <c r="AC596" s="58">
        <f t="shared" si="167"/>
        <v>260.82</v>
      </c>
      <c r="AD596" s="58" t="e">
        <f>IF(B596&lt;&gt;0,VLOOKUP(B596,#REF!,2,FALSE),"")</f>
        <v>#REF!</v>
      </c>
      <c r="AE596" s="55">
        <v>7</v>
      </c>
      <c r="AF596" s="55">
        <f t="shared" si="174"/>
        <v>-16</v>
      </c>
    </row>
    <row r="597" spans="1:32" s="55" customFormat="1" ht="30">
      <c r="A597" s="21" t="s">
        <v>1137</v>
      </c>
      <c r="B597" s="20">
        <v>8697</v>
      </c>
      <c r="C597" s="19" t="s">
        <v>1762</v>
      </c>
      <c r="D597" s="21" t="s">
        <v>44</v>
      </c>
      <c r="E597" s="21" t="s">
        <v>17</v>
      </c>
      <c r="F597" s="22">
        <v>7</v>
      </c>
      <c r="G597" s="22">
        <f t="shared" si="164"/>
        <v>8.1940000000000008</v>
      </c>
      <c r="H597" s="22">
        <f t="shared" si="172"/>
        <v>10.39</v>
      </c>
      <c r="I597" s="147">
        <f t="shared" si="173"/>
        <v>72.73</v>
      </c>
      <c r="J597" s="148"/>
      <c r="K597" s="148"/>
      <c r="L597" s="148"/>
      <c r="M597" s="148">
        <v>9.1300000000000008</v>
      </c>
      <c r="N597" s="148">
        <v>11.58</v>
      </c>
      <c r="O597" s="148">
        <v>81.06</v>
      </c>
      <c r="P597" s="494"/>
      <c r="Q597" s="147">
        <f t="shared" si="170"/>
        <v>0</v>
      </c>
      <c r="R597" s="148"/>
      <c r="S597" s="148">
        <f t="shared" si="171"/>
        <v>0</v>
      </c>
      <c r="T597" s="148">
        <f t="shared" si="161"/>
        <v>7</v>
      </c>
      <c r="U597" s="148">
        <f t="shared" si="160"/>
        <v>81.06</v>
      </c>
      <c r="V597" s="379"/>
      <c r="W597" s="379"/>
      <c r="X597" s="57">
        <f>'COMPOSIÇÃO DE CUSTOS'!G1202</f>
        <v>8.19</v>
      </c>
      <c r="Y597" s="334">
        <v>9.64</v>
      </c>
      <c r="Z597" s="58">
        <f t="shared" si="165"/>
        <v>-1.4459999999999997</v>
      </c>
      <c r="AA597" s="58">
        <f t="shared" si="166"/>
        <v>57.358000000000004</v>
      </c>
      <c r="AB597" s="58"/>
      <c r="AC597" s="58">
        <f t="shared" si="167"/>
        <v>72.73</v>
      </c>
      <c r="AD597" s="58" t="e">
        <f>IF(B597&lt;&gt;0,VLOOKUP(B597,#REF!,2,FALSE),"")</f>
        <v>#REF!</v>
      </c>
      <c r="AE597" s="55">
        <v>17</v>
      </c>
      <c r="AF597" s="55">
        <f t="shared" si="174"/>
        <v>10</v>
      </c>
    </row>
    <row r="598" spans="1:32" s="55" customFormat="1" ht="30">
      <c r="A598" s="21" t="s">
        <v>1138</v>
      </c>
      <c r="B598" s="20">
        <v>7879</v>
      </c>
      <c r="C598" s="19" t="s">
        <v>1764</v>
      </c>
      <c r="D598" s="21">
        <f>D533</f>
        <v>0</v>
      </c>
      <c r="E598" s="21" t="s">
        <v>17</v>
      </c>
      <c r="F598" s="22">
        <v>17</v>
      </c>
      <c r="G598" s="22">
        <f t="shared" si="164"/>
        <v>9.4945000000000004</v>
      </c>
      <c r="H598" s="22">
        <f t="shared" si="172"/>
        <v>12.04</v>
      </c>
      <c r="I598" s="147">
        <f t="shared" si="173"/>
        <v>204.68</v>
      </c>
      <c r="J598" s="148"/>
      <c r="K598" s="148"/>
      <c r="L598" s="148"/>
      <c r="M598" s="148">
        <v>10.58</v>
      </c>
      <c r="N598" s="148">
        <v>13.42</v>
      </c>
      <c r="O598" s="148">
        <v>228.14</v>
      </c>
      <c r="P598" s="494"/>
      <c r="Q598" s="147">
        <f t="shared" si="170"/>
        <v>0</v>
      </c>
      <c r="R598" s="148"/>
      <c r="S598" s="148">
        <f t="shared" si="171"/>
        <v>0</v>
      </c>
      <c r="T598" s="148">
        <f t="shared" si="161"/>
        <v>17</v>
      </c>
      <c r="U598" s="148">
        <f t="shared" si="160"/>
        <v>228.14</v>
      </c>
      <c r="V598" s="379"/>
      <c r="W598" s="379"/>
      <c r="X598" s="57">
        <f>'COMPOSIÇÃO DE CUSTOS'!G1258</f>
        <v>9.49</v>
      </c>
      <c r="Y598" s="334">
        <v>11.17</v>
      </c>
      <c r="Z598" s="58">
        <f t="shared" si="165"/>
        <v>-1.6754999999999995</v>
      </c>
      <c r="AA598" s="58">
        <f t="shared" si="166"/>
        <v>161.40649999999999</v>
      </c>
      <c r="AB598" s="58"/>
      <c r="AC598" s="58">
        <f t="shared" si="167"/>
        <v>204.67999999999998</v>
      </c>
      <c r="AD598" s="58" t="e">
        <f>IF(B598&lt;&gt;0,VLOOKUP(B598,#REF!,2,FALSE),"")</f>
        <v>#REF!</v>
      </c>
      <c r="AE598" s="55">
        <v>33</v>
      </c>
      <c r="AF598" s="55">
        <f t="shared" si="174"/>
        <v>16</v>
      </c>
    </row>
    <row r="599" spans="1:32" s="55" customFormat="1" ht="30">
      <c r="A599" s="21" t="s">
        <v>1139</v>
      </c>
      <c r="B599" s="20">
        <v>12573</v>
      </c>
      <c r="C599" s="19" t="s">
        <v>1760</v>
      </c>
      <c r="D599" s="21" t="s">
        <v>44</v>
      </c>
      <c r="E599" s="21" t="s">
        <v>17</v>
      </c>
      <c r="F599" s="22">
        <v>33</v>
      </c>
      <c r="G599" s="22">
        <f t="shared" si="164"/>
        <v>9.5794999999999995</v>
      </c>
      <c r="H599" s="22">
        <f t="shared" si="172"/>
        <v>12.15</v>
      </c>
      <c r="I599" s="147">
        <f t="shared" si="173"/>
        <v>400.95</v>
      </c>
      <c r="J599" s="148"/>
      <c r="K599" s="148"/>
      <c r="L599" s="148"/>
      <c r="M599" s="148">
        <v>10.67</v>
      </c>
      <c r="N599" s="148">
        <v>13.53</v>
      </c>
      <c r="O599" s="148">
        <v>446.49</v>
      </c>
      <c r="P599" s="494"/>
      <c r="Q599" s="147">
        <f t="shared" si="170"/>
        <v>0</v>
      </c>
      <c r="R599" s="148"/>
      <c r="S599" s="148">
        <f t="shared" si="171"/>
        <v>0</v>
      </c>
      <c r="T599" s="148">
        <f t="shared" si="161"/>
        <v>33</v>
      </c>
      <c r="U599" s="148">
        <f t="shared" si="160"/>
        <v>446.49</v>
      </c>
      <c r="V599" s="379"/>
      <c r="W599" s="379"/>
      <c r="X599" s="57">
        <f>'COMPOSIÇÃO DE CUSTOS'!G1209</f>
        <v>9.58</v>
      </c>
      <c r="Y599" s="334">
        <v>11.27</v>
      </c>
      <c r="Z599" s="58">
        <f t="shared" si="165"/>
        <v>-1.6905000000000001</v>
      </c>
      <c r="AA599" s="58">
        <f t="shared" si="166"/>
        <v>316.12349999999998</v>
      </c>
      <c r="AB599" s="58"/>
      <c r="AC599" s="58">
        <f t="shared" si="167"/>
        <v>400.95</v>
      </c>
      <c r="AD599" s="58" t="e">
        <f>IF(B599&lt;&gt;0,VLOOKUP(B599,#REF!,2,FALSE),"")</f>
        <v>#REF!</v>
      </c>
      <c r="AE599" s="55">
        <v>5</v>
      </c>
      <c r="AF599" s="55">
        <f t="shared" si="174"/>
        <v>-28</v>
      </c>
    </row>
    <row r="600" spans="1:32" s="55" customFormat="1" ht="30">
      <c r="A600" s="21" t="s">
        <v>1140</v>
      </c>
      <c r="B600" s="20">
        <v>12976</v>
      </c>
      <c r="C600" s="19" t="s">
        <v>1761</v>
      </c>
      <c r="D600" s="21" t="s">
        <v>44</v>
      </c>
      <c r="E600" s="21" t="s">
        <v>17</v>
      </c>
      <c r="F600" s="22">
        <v>5</v>
      </c>
      <c r="G600" s="22">
        <f t="shared" si="164"/>
        <v>11.662000000000001</v>
      </c>
      <c r="H600" s="22">
        <f t="shared" si="172"/>
        <v>14.79</v>
      </c>
      <c r="I600" s="147">
        <f t="shared" si="173"/>
        <v>73.95</v>
      </c>
      <c r="J600" s="148"/>
      <c r="K600" s="148"/>
      <c r="L600" s="148"/>
      <c r="M600" s="148">
        <v>12.99</v>
      </c>
      <c r="N600" s="148">
        <v>16.47</v>
      </c>
      <c r="O600" s="148">
        <v>82.35</v>
      </c>
      <c r="P600" s="494"/>
      <c r="Q600" s="147">
        <f t="shared" si="170"/>
        <v>0</v>
      </c>
      <c r="R600" s="148"/>
      <c r="S600" s="148">
        <f t="shared" si="171"/>
        <v>0</v>
      </c>
      <c r="T600" s="148">
        <f t="shared" si="161"/>
        <v>5</v>
      </c>
      <c r="U600" s="148">
        <f t="shared" si="160"/>
        <v>82.35</v>
      </c>
      <c r="V600" s="379"/>
      <c r="W600" s="379"/>
      <c r="X600" s="57">
        <f>'COMPOSIÇÃO DE CUSTOS'!G1216</f>
        <v>11.66</v>
      </c>
      <c r="Y600" s="334">
        <v>13.72</v>
      </c>
      <c r="Z600" s="58">
        <f t="shared" si="165"/>
        <v>-2.0579999999999998</v>
      </c>
      <c r="AA600" s="58">
        <f t="shared" si="166"/>
        <v>58.31</v>
      </c>
      <c r="AB600" s="58"/>
      <c r="AC600" s="58">
        <f t="shared" si="167"/>
        <v>73.949999999999989</v>
      </c>
      <c r="AD600" s="58" t="e">
        <f>IF(B600&lt;&gt;0,VLOOKUP(B600,#REF!,2,FALSE),"")</f>
        <v>#REF!</v>
      </c>
      <c r="AF600" s="55">
        <f t="shared" si="174"/>
        <v>-5</v>
      </c>
    </row>
    <row r="601" spans="1:32" s="55" customFormat="1">
      <c r="A601" s="69" t="s">
        <v>1142</v>
      </c>
      <c r="B601" s="129"/>
      <c r="C601" s="229" t="s">
        <v>240</v>
      </c>
      <c r="D601" s="230"/>
      <c r="E601" s="230"/>
      <c r="F601" s="230"/>
      <c r="G601" s="22"/>
      <c r="H601" s="230"/>
      <c r="I601" s="445"/>
      <c r="J601" s="440"/>
      <c r="K601" s="440"/>
      <c r="L601" s="440"/>
      <c r="M601" s="440"/>
      <c r="N601" s="440"/>
      <c r="O601" s="440"/>
      <c r="P601" s="492"/>
      <c r="Q601" s="147">
        <f t="shared" si="170"/>
        <v>0</v>
      </c>
      <c r="R601" s="440"/>
      <c r="S601" s="148">
        <f t="shared" si="171"/>
        <v>0</v>
      </c>
      <c r="T601" s="148" t="str">
        <f t="shared" si="161"/>
        <v xml:space="preserve"> </v>
      </c>
      <c r="U601" s="148">
        <f t="shared" si="160"/>
        <v>0</v>
      </c>
      <c r="V601" s="330"/>
      <c r="W601" s="330"/>
      <c r="X601" s="211" t="str">
        <f>IF(B601&lt;&gt;0,VLOOKUP(B601,#REF!,4,FALSE),"")</f>
        <v/>
      </c>
      <c r="Y601" s="334" t="s">
        <v>1891</v>
      </c>
      <c r="Z601" s="58"/>
      <c r="AA601" s="58">
        <f t="shared" si="166"/>
        <v>0</v>
      </c>
      <c r="AB601" s="58"/>
      <c r="AC601" s="58">
        <f t="shared" si="167"/>
        <v>0</v>
      </c>
      <c r="AD601" s="58" t="str">
        <f>IF(B601&lt;&gt;0,VLOOKUP(B601,#REF!,2,FALSE),"")</f>
        <v/>
      </c>
      <c r="AE601" s="55">
        <v>84</v>
      </c>
      <c r="AF601" s="55">
        <f t="shared" si="174"/>
        <v>84</v>
      </c>
    </row>
    <row r="602" spans="1:32" s="38" customFormat="1" ht="54.75" customHeight="1">
      <c r="A602" s="447" t="s">
        <v>1143</v>
      </c>
      <c r="B602" s="448">
        <v>92008</v>
      </c>
      <c r="C602" s="449" t="s">
        <v>1711</v>
      </c>
      <c r="D602" s="447" t="s">
        <v>12</v>
      </c>
      <c r="E602" s="447" t="s">
        <v>17</v>
      </c>
      <c r="F602" s="450">
        <v>84</v>
      </c>
      <c r="G602" s="450">
        <f t="shared" si="164"/>
        <v>29.6905</v>
      </c>
      <c r="H602" s="450">
        <f>ROUND(G602*(1+$X$13),2)</f>
        <v>37.65</v>
      </c>
      <c r="I602" s="451">
        <f>ROUND(H602*F602,2)</f>
        <v>3162.6</v>
      </c>
      <c r="J602" s="452"/>
      <c r="K602" s="452"/>
      <c r="L602" s="452"/>
      <c r="M602" s="452">
        <v>33.08</v>
      </c>
      <c r="N602" s="452">
        <v>41.95</v>
      </c>
      <c r="O602" s="452">
        <v>3523.8</v>
      </c>
      <c r="P602" s="493">
        <f>4+1+1</f>
        <v>6</v>
      </c>
      <c r="Q602" s="451">
        <f t="shared" si="170"/>
        <v>251.7</v>
      </c>
      <c r="R602" s="452"/>
      <c r="S602" s="452">
        <f t="shared" si="171"/>
        <v>0</v>
      </c>
      <c r="T602" s="452">
        <f t="shared" si="161"/>
        <v>90</v>
      </c>
      <c r="U602" s="452">
        <f t="shared" si="160"/>
        <v>3775.5</v>
      </c>
      <c r="V602" s="453"/>
      <c r="W602" s="453"/>
      <c r="X602" s="42" t="e">
        <f>IF(B602&lt;&gt;0,VLOOKUP(B602,#REF!,4,FALSE),"")</f>
        <v>#REF!</v>
      </c>
      <c r="Y602" s="336" t="s">
        <v>3163</v>
      </c>
      <c r="Z602" s="39">
        <f t="shared" si="165"/>
        <v>-5.2394999999999996</v>
      </c>
      <c r="AA602" s="39">
        <f t="shared" si="166"/>
        <v>2494.002</v>
      </c>
      <c r="AB602" s="39"/>
      <c r="AC602" s="39">
        <f t="shared" si="167"/>
        <v>3162.6</v>
      </c>
      <c r="AD602" s="39" t="e">
        <f>IF(B602&lt;&gt;0,VLOOKUP(B602,#REF!,2,FALSE),"")</f>
        <v>#REF!</v>
      </c>
      <c r="AE602" s="38">
        <v>14</v>
      </c>
      <c r="AF602" s="38">
        <f t="shared" si="174"/>
        <v>-70</v>
      </c>
    </row>
    <row r="603" spans="1:32" s="55" customFormat="1" ht="45">
      <c r="A603" s="21" t="s">
        <v>2823</v>
      </c>
      <c r="B603" s="20">
        <v>91992</v>
      </c>
      <c r="C603" s="19" t="s">
        <v>1712</v>
      </c>
      <c r="D603" s="21" t="s">
        <v>12</v>
      </c>
      <c r="E603" s="21" t="s">
        <v>17</v>
      </c>
      <c r="F603" s="22">
        <v>14</v>
      </c>
      <c r="G603" s="22">
        <f t="shared" si="164"/>
        <v>25.533999999999999</v>
      </c>
      <c r="H603" s="22">
        <f>ROUND(G603*(1+$X$13),2)</f>
        <v>32.380000000000003</v>
      </c>
      <c r="I603" s="147">
        <f>ROUND(H603*F603,2)</f>
        <v>453.32</v>
      </c>
      <c r="J603" s="148"/>
      <c r="K603" s="148"/>
      <c r="L603" s="148"/>
      <c r="M603" s="148">
        <v>28.45</v>
      </c>
      <c r="N603" s="148">
        <v>36.08</v>
      </c>
      <c r="O603" s="148">
        <v>505.12</v>
      </c>
      <c r="P603" s="494"/>
      <c r="Q603" s="147">
        <f t="shared" si="170"/>
        <v>0</v>
      </c>
      <c r="R603" s="148"/>
      <c r="S603" s="148">
        <f t="shared" si="171"/>
        <v>0</v>
      </c>
      <c r="T603" s="148">
        <f t="shared" si="161"/>
        <v>14</v>
      </c>
      <c r="U603" s="148">
        <f t="shared" si="160"/>
        <v>505.12</v>
      </c>
      <c r="V603" s="379"/>
      <c r="W603" s="379"/>
      <c r="X603" s="57" t="e">
        <f>IF(B603&lt;&gt;0,VLOOKUP(B603,#REF!,4,FALSE),"")</f>
        <v>#REF!</v>
      </c>
      <c r="Y603" s="334" t="s">
        <v>3161</v>
      </c>
      <c r="Z603" s="58">
        <f t="shared" si="165"/>
        <v>-4.5060000000000002</v>
      </c>
      <c r="AA603" s="58">
        <f t="shared" si="166"/>
        <v>357.476</v>
      </c>
      <c r="AB603" s="58"/>
      <c r="AC603" s="58">
        <f t="shared" si="167"/>
        <v>453.32000000000005</v>
      </c>
      <c r="AD603" s="58" t="e">
        <f>IF(B603&lt;&gt;0,VLOOKUP(B603,#REF!,2,FALSE),"")</f>
        <v>#REF!</v>
      </c>
      <c r="AE603" s="55">
        <v>14</v>
      </c>
      <c r="AF603" s="55">
        <f t="shared" si="174"/>
        <v>0</v>
      </c>
    </row>
    <row r="604" spans="1:32" ht="38.25" customHeight="1">
      <c r="A604" s="21" t="s">
        <v>2824</v>
      </c>
      <c r="B604" s="20">
        <v>780</v>
      </c>
      <c r="C604" s="19" t="s">
        <v>1937</v>
      </c>
      <c r="D604" s="21" t="s">
        <v>44</v>
      </c>
      <c r="E604" s="21" t="s">
        <v>17</v>
      </c>
      <c r="F604" s="22">
        <v>14</v>
      </c>
      <c r="G604" s="22">
        <f t="shared" si="164"/>
        <v>57.239000000000004</v>
      </c>
      <c r="H604" s="22">
        <f>ROUND(G604*(1+$X$13),2)</f>
        <v>72.58</v>
      </c>
      <c r="I604" s="147">
        <f>ROUND(H604*F604,2)</f>
        <v>1016.12</v>
      </c>
      <c r="J604" s="148"/>
      <c r="K604" s="148"/>
      <c r="L604" s="148"/>
      <c r="M604" s="148">
        <v>63.76</v>
      </c>
      <c r="N604" s="148">
        <v>80.849999999999994</v>
      </c>
      <c r="O604" s="148">
        <v>1131.9000000000001</v>
      </c>
      <c r="P604" s="494"/>
      <c r="Q604" s="147">
        <f t="shared" si="170"/>
        <v>0</v>
      </c>
      <c r="R604" s="148"/>
      <c r="S604" s="148">
        <f t="shared" si="171"/>
        <v>0</v>
      </c>
      <c r="T604" s="148">
        <f t="shared" si="161"/>
        <v>14</v>
      </c>
      <c r="U604" s="148">
        <f t="shared" si="160"/>
        <v>1131.9000000000001</v>
      </c>
      <c r="V604" s="379"/>
      <c r="W604" s="379"/>
      <c r="X604" s="57">
        <f>'COMPOSIÇÃO DE CUSTOS'!G1903</f>
        <v>57.23</v>
      </c>
      <c r="Y604" s="334">
        <v>67.34</v>
      </c>
      <c r="Z604" s="58">
        <f t="shared" si="165"/>
        <v>-10.100999999999999</v>
      </c>
      <c r="AA604" s="58">
        <f t="shared" si="166"/>
        <v>801.346</v>
      </c>
      <c r="AB604" s="58"/>
      <c r="AC604" s="58">
        <f t="shared" si="167"/>
        <v>1016.12</v>
      </c>
      <c r="AD604" s="58" t="e">
        <f>IF(B604&lt;&gt;0,VLOOKUP(B604,#REF!,2,FALSE),"")</f>
        <v>#REF!</v>
      </c>
      <c r="AE604" s="2">
        <v>14</v>
      </c>
      <c r="AF604" s="55">
        <f t="shared" si="174"/>
        <v>0</v>
      </c>
    </row>
    <row r="605" spans="1:32" s="38" customFormat="1" ht="31.5" customHeight="1">
      <c r="A605" s="21" t="s">
        <v>2825</v>
      </c>
      <c r="B605" s="20">
        <v>12397</v>
      </c>
      <c r="C605" s="19" t="s">
        <v>1973</v>
      </c>
      <c r="D605" s="21" t="s">
        <v>44</v>
      </c>
      <c r="E605" s="21" t="s">
        <v>17</v>
      </c>
      <c r="F605" s="22">
        <v>14</v>
      </c>
      <c r="G605" s="22">
        <f t="shared" si="164"/>
        <v>49.291499999999999</v>
      </c>
      <c r="H605" s="22">
        <f>ROUND(G605*(1+$X$13),2)</f>
        <v>62.51</v>
      </c>
      <c r="I605" s="147">
        <f>ROUND(H605*F605,2)</f>
        <v>875.14</v>
      </c>
      <c r="J605" s="148"/>
      <c r="K605" s="148"/>
      <c r="L605" s="148"/>
      <c r="M605" s="148">
        <v>54.91</v>
      </c>
      <c r="N605" s="148">
        <v>69.63</v>
      </c>
      <c r="O605" s="148">
        <v>974.82</v>
      </c>
      <c r="P605" s="494"/>
      <c r="Q605" s="147">
        <f t="shared" si="170"/>
        <v>0</v>
      </c>
      <c r="R605" s="148"/>
      <c r="S605" s="148">
        <f t="shared" si="171"/>
        <v>0</v>
      </c>
      <c r="T605" s="148">
        <f t="shared" si="161"/>
        <v>14</v>
      </c>
      <c r="U605" s="148">
        <f t="shared" si="160"/>
        <v>974.82</v>
      </c>
      <c r="V605" s="379"/>
      <c r="W605" s="379"/>
      <c r="X605" s="57">
        <f>'COMPOSIÇÃO DE CUSTOS'!G2025</f>
        <v>49.28</v>
      </c>
      <c r="Y605" s="334">
        <v>57.99</v>
      </c>
      <c r="Z605" s="58">
        <f t="shared" si="165"/>
        <v>-8.6985000000000028</v>
      </c>
      <c r="AA605" s="58">
        <f t="shared" si="166"/>
        <v>690.08100000000002</v>
      </c>
      <c r="AB605" s="58"/>
      <c r="AC605" s="58">
        <f t="shared" si="167"/>
        <v>875.14</v>
      </c>
      <c r="AD605" s="58" t="e">
        <f>IF(B605&lt;&gt;0,VLOOKUP(B605,#REF!,2,FALSE),"")</f>
        <v>#REF!</v>
      </c>
      <c r="AF605" s="55">
        <f t="shared" si="174"/>
        <v>-14</v>
      </c>
    </row>
    <row r="606" spans="1:32" s="55" customFormat="1">
      <c r="A606" s="69" t="s">
        <v>1144</v>
      </c>
      <c r="B606" s="129"/>
      <c r="C606" s="229" t="s">
        <v>214</v>
      </c>
      <c r="D606" s="230"/>
      <c r="E606" s="230"/>
      <c r="F606" s="230"/>
      <c r="G606" s="22"/>
      <c r="H606" s="230"/>
      <c r="I606" s="445"/>
      <c r="J606" s="440"/>
      <c r="K606" s="440"/>
      <c r="L606" s="440"/>
      <c r="M606" s="440"/>
      <c r="N606" s="440"/>
      <c r="O606" s="440"/>
      <c r="P606" s="492"/>
      <c r="Q606" s="147">
        <f t="shared" si="170"/>
        <v>0</v>
      </c>
      <c r="R606" s="440"/>
      <c r="S606" s="148">
        <f t="shared" si="171"/>
        <v>0</v>
      </c>
      <c r="T606" s="148" t="str">
        <f t="shared" si="161"/>
        <v xml:space="preserve"> </v>
      </c>
      <c r="U606" s="148">
        <f t="shared" si="160"/>
        <v>0</v>
      </c>
      <c r="V606" s="330"/>
      <c r="W606" s="330"/>
      <c r="X606" s="57" t="str">
        <f>IF(B606&lt;&gt;0,VLOOKUP(B606,#REF!,4,FALSE),"")</f>
        <v/>
      </c>
      <c r="Y606" s="334" t="s">
        <v>1891</v>
      </c>
      <c r="Z606" s="58"/>
      <c r="AA606" s="58">
        <f t="shared" si="166"/>
        <v>0</v>
      </c>
      <c r="AB606" s="58"/>
      <c r="AC606" s="58">
        <f t="shared" si="167"/>
        <v>0</v>
      </c>
      <c r="AD606" s="58" t="str">
        <f>IF(B606&lt;&gt;0,VLOOKUP(B606,#REF!,2,FALSE),"")</f>
        <v/>
      </c>
      <c r="AE606" s="55">
        <v>762</v>
      </c>
      <c r="AF606" s="55">
        <f t="shared" si="174"/>
        <v>762</v>
      </c>
    </row>
    <row r="607" spans="1:32" s="55" customFormat="1" ht="45">
      <c r="A607" s="21" t="s">
        <v>1145</v>
      </c>
      <c r="B607" s="20">
        <v>91926</v>
      </c>
      <c r="C607" s="19" t="s">
        <v>1713</v>
      </c>
      <c r="D607" s="21" t="s">
        <v>12</v>
      </c>
      <c r="E607" s="21" t="s">
        <v>52</v>
      </c>
      <c r="F607" s="22">
        <v>762</v>
      </c>
      <c r="G607" s="22">
        <f t="shared" si="164"/>
        <v>3.0684999999999998</v>
      </c>
      <c r="H607" s="22">
        <f>ROUND(G607*(1+$X$13),2)</f>
        <v>3.89</v>
      </c>
      <c r="I607" s="147">
        <f>ROUND(H607*F607,2)</f>
        <v>2964.18</v>
      </c>
      <c r="J607" s="148"/>
      <c r="K607" s="148"/>
      <c r="L607" s="148"/>
      <c r="M607" s="148">
        <v>4.33</v>
      </c>
      <c r="N607" s="148">
        <v>5.49</v>
      </c>
      <c r="O607" s="148">
        <v>4183.38</v>
      </c>
      <c r="P607" s="494"/>
      <c r="Q607" s="147">
        <f t="shared" si="170"/>
        <v>0</v>
      </c>
      <c r="R607" s="148"/>
      <c r="S607" s="148">
        <f t="shared" si="171"/>
        <v>0</v>
      </c>
      <c r="T607" s="148">
        <f t="shared" si="161"/>
        <v>762</v>
      </c>
      <c r="U607" s="148">
        <f t="shared" si="160"/>
        <v>4183.38</v>
      </c>
      <c r="V607" s="379"/>
      <c r="W607" s="379"/>
      <c r="X607" s="57" t="e">
        <f>IF(B607&lt;&gt;0,VLOOKUP(B607,#REF!,4,FALSE),"")</f>
        <v>#REF!</v>
      </c>
      <c r="Y607" s="334" t="s">
        <v>3104</v>
      </c>
      <c r="Z607" s="58">
        <f t="shared" si="165"/>
        <v>-0.54150000000000009</v>
      </c>
      <c r="AA607" s="58">
        <f t="shared" si="166"/>
        <v>2338.1969999999997</v>
      </c>
      <c r="AB607" s="58"/>
      <c r="AC607" s="58">
        <f t="shared" si="167"/>
        <v>2964.1800000000003</v>
      </c>
      <c r="AD607" s="58" t="e">
        <f>IF(B607&lt;&gt;0,VLOOKUP(B607,#REF!,2,FALSE),"")</f>
        <v>#REF!</v>
      </c>
      <c r="AE607" s="55">
        <v>2464</v>
      </c>
      <c r="AF607" s="55">
        <f t="shared" si="174"/>
        <v>1702</v>
      </c>
    </row>
    <row r="608" spans="1:32" s="38" customFormat="1" ht="48.75" customHeight="1">
      <c r="A608" s="447" t="s">
        <v>1146</v>
      </c>
      <c r="B608" s="448">
        <v>91928</v>
      </c>
      <c r="C608" s="449" t="s">
        <v>2826</v>
      </c>
      <c r="D608" s="447" t="s">
        <v>12</v>
      </c>
      <c r="E608" s="447" t="s">
        <v>52</v>
      </c>
      <c r="F608" s="450">
        <v>2464</v>
      </c>
      <c r="G608" s="450">
        <f t="shared" si="164"/>
        <v>5.117</v>
      </c>
      <c r="H608" s="450">
        <f>ROUND(G608*(1+$X$13),2)</f>
        <v>6.49</v>
      </c>
      <c r="I608" s="451">
        <f>ROUND(H608*F608,2)</f>
        <v>15991.36</v>
      </c>
      <c r="J608" s="452"/>
      <c r="K608" s="452"/>
      <c r="L608" s="452"/>
      <c r="M608" s="452">
        <v>6.67</v>
      </c>
      <c r="N608" s="452">
        <v>8.4600000000000009</v>
      </c>
      <c r="O608" s="452">
        <v>20845.439999999999</v>
      </c>
      <c r="P608" s="493">
        <v>100</v>
      </c>
      <c r="Q608" s="451">
        <f t="shared" si="170"/>
        <v>846</v>
      </c>
      <c r="R608" s="452"/>
      <c r="S608" s="452">
        <f t="shared" si="171"/>
        <v>0</v>
      </c>
      <c r="T608" s="452">
        <f t="shared" si="161"/>
        <v>2564</v>
      </c>
      <c r="U608" s="452">
        <f t="shared" si="160"/>
        <v>21691.439999999999</v>
      </c>
      <c r="V608" s="453"/>
      <c r="W608" s="453"/>
      <c r="X608" s="42" t="e">
        <f>IF(B608&lt;&gt;0,VLOOKUP(B608,#REF!,4,FALSE),"")</f>
        <v>#REF!</v>
      </c>
      <c r="Y608" s="336" t="s">
        <v>1863</v>
      </c>
      <c r="Z608" s="39">
        <f t="shared" si="165"/>
        <v>-0.90299999999999958</v>
      </c>
      <c r="AA608" s="39">
        <f t="shared" si="166"/>
        <v>12608.288</v>
      </c>
      <c r="AB608" s="39"/>
      <c r="AC608" s="39">
        <f t="shared" si="167"/>
        <v>15991.36</v>
      </c>
      <c r="AD608" s="39" t="e">
        <f>IF(B608&lt;&gt;0,VLOOKUP(B608,#REF!,2,FALSE),"")</f>
        <v>#REF!</v>
      </c>
      <c r="AF608" s="38">
        <f t="shared" si="174"/>
        <v>-2464</v>
      </c>
    </row>
    <row r="609" spans="1:32" s="38" customFormat="1" ht="15" customHeight="1">
      <c r="A609" s="69" t="s">
        <v>1151</v>
      </c>
      <c r="B609" s="129"/>
      <c r="C609" s="229" t="s">
        <v>216</v>
      </c>
      <c r="D609" s="230"/>
      <c r="E609" s="230"/>
      <c r="F609" s="230"/>
      <c r="G609" s="22"/>
      <c r="H609" s="230"/>
      <c r="I609" s="445"/>
      <c r="J609" s="440"/>
      <c r="K609" s="440"/>
      <c r="L609" s="440"/>
      <c r="M609" s="440"/>
      <c r="N609" s="440"/>
      <c r="O609" s="440"/>
      <c r="P609" s="492"/>
      <c r="Q609" s="147">
        <f t="shared" si="170"/>
        <v>0</v>
      </c>
      <c r="R609" s="440"/>
      <c r="S609" s="148">
        <f t="shared" si="171"/>
        <v>0</v>
      </c>
      <c r="T609" s="148" t="str">
        <f t="shared" si="161"/>
        <v xml:space="preserve"> </v>
      </c>
      <c r="U609" s="148">
        <f t="shared" ref="U609:U672" si="175">L609+Q609-S609+O609</f>
        <v>0</v>
      </c>
      <c r="V609" s="330"/>
      <c r="W609" s="330"/>
      <c r="X609" s="57" t="str">
        <f>IF(B609&lt;&gt;0,VLOOKUP(B609,#REF!,4,FALSE),"")</f>
        <v/>
      </c>
      <c r="Y609" s="334" t="s">
        <v>1891</v>
      </c>
      <c r="Z609" s="58"/>
      <c r="AA609" s="58">
        <f t="shared" si="166"/>
        <v>0</v>
      </c>
      <c r="AB609" s="58"/>
      <c r="AC609" s="58">
        <f t="shared" si="167"/>
        <v>0</v>
      </c>
      <c r="AD609" s="58" t="str">
        <f>IF(B609&lt;&gt;0,VLOOKUP(B609,#REF!,2,FALSE),"")</f>
        <v/>
      </c>
      <c r="AE609" s="38">
        <v>7</v>
      </c>
      <c r="AF609" s="55">
        <f t="shared" si="174"/>
        <v>7</v>
      </c>
    </row>
    <row r="610" spans="1:32" s="55" customFormat="1" ht="33.75" customHeight="1">
      <c r="A610" s="21" t="s">
        <v>1152</v>
      </c>
      <c r="B610" s="20" t="s">
        <v>2284</v>
      </c>
      <c r="C610" s="19" t="s">
        <v>228</v>
      </c>
      <c r="D610" s="21" t="s">
        <v>70</v>
      </c>
      <c r="E610" s="21" t="s">
        <v>17</v>
      </c>
      <c r="F610" s="22">
        <v>7</v>
      </c>
      <c r="G610" s="22">
        <f t="shared" si="164"/>
        <v>43.978999999999999</v>
      </c>
      <c r="H610" s="22">
        <f>ROUND(G610*(1+$X$13),2)</f>
        <v>55.77</v>
      </c>
      <c r="I610" s="147">
        <f>ROUND(H610*F610,2)</f>
        <v>390.39</v>
      </c>
      <c r="J610" s="148"/>
      <c r="K610" s="148"/>
      <c r="L610" s="148"/>
      <c r="M610" s="148">
        <v>48.99</v>
      </c>
      <c r="N610" s="148">
        <v>62.12</v>
      </c>
      <c r="O610" s="148">
        <v>434.84</v>
      </c>
      <c r="P610" s="494"/>
      <c r="Q610" s="147">
        <f t="shared" si="170"/>
        <v>0</v>
      </c>
      <c r="R610" s="148"/>
      <c r="S610" s="148">
        <f t="shared" si="171"/>
        <v>0</v>
      </c>
      <c r="T610" s="148">
        <f t="shared" si="161"/>
        <v>7</v>
      </c>
      <c r="U610" s="148">
        <f t="shared" si="175"/>
        <v>434.84</v>
      </c>
      <c r="V610" s="379"/>
      <c r="W610" s="379"/>
      <c r="X610" s="57">
        <f>'COMPOSIÇÃO DE CUSTOS'!G1314</f>
        <v>43.97</v>
      </c>
      <c r="Y610" s="334">
        <v>51.74</v>
      </c>
      <c r="Z610" s="58">
        <f t="shared" si="165"/>
        <v>-7.7610000000000028</v>
      </c>
      <c r="AA610" s="58">
        <f t="shared" si="166"/>
        <v>307.85300000000001</v>
      </c>
      <c r="AB610" s="58"/>
      <c r="AC610" s="58">
        <f t="shared" si="167"/>
        <v>390.39000000000004</v>
      </c>
      <c r="AD610" s="58" t="e">
        <f>IF(B610&lt;&gt;0,VLOOKUP(B610,#REF!,2,FALSE),"")</f>
        <v>#REF!</v>
      </c>
      <c r="AE610" s="55">
        <v>84</v>
      </c>
      <c r="AF610" s="55">
        <f t="shared" si="174"/>
        <v>77</v>
      </c>
    </row>
    <row r="611" spans="1:32" s="55" customFormat="1" ht="45">
      <c r="A611" s="21" t="s">
        <v>1153</v>
      </c>
      <c r="B611" s="20">
        <v>91944</v>
      </c>
      <c r="C611" s="19" t="s">
        <v>1728</v>
      </c>
      <c r="D611" s="21" t="s">
        <v>12</v>
      </c>
      <c r="E611" s="21" t="s">
        <v>17</v>
      </c>
      <c r="F611" s="22">
        <v>84</v>
      </c>
      <c r="G611" s="22">
        <f t="shared" si="164"/>
        <v>8.5</v>
      </c>
      <c r="H611" s="22">
        <f>ROUND(G611*(1+$X$13),2)</f>
        <v>10.78</v>
      </c>
      <c r="I611" s="147">
        <f>ROUND(H611*F611,2)</f>
        <v>905.52</v>
      </c>
      <c r="J611" s="148"/>
      <c r="K611" s="148"/>
      <c r="L611" s="148"/>
      <c r="M611" s="148">
        <v>9.4700000000000006</v>
      </c>
      <c r="N611" s="148">
        <v>12.01</v>
      </c>
      <c r="O611" s="148">
        <v>1008.84</v>
      </c>
      <c r="P611" s="494"/>
      <c r="Q611" s="147">
        <f t="shared" si="170"/>
        <v>0</v>
      </c>
      <c r="R611" s="148"/>
      <c r="S611" s="148">
        <f t="shared" si="171"/>
        <v>0</v>
      </c>
      <c r="T611" s="148">
        <f t="shared" ref="T611:T674" si="176">IF(F611&gt;0,F611+P611-R611," ")</f>
        <v>84</v>
      </c>
      <c r="U611" s="148">
        <f t="shared" si="175"/>
        <v>1008.84</v>
      </c>
      <c r="V611" s="379"/>
      <c r="W611" s="379"/>
      <c r="X611" s="57" t="e">
        <f>IF(B611&lt;&gt;0,VLOOKUP(B611,#REF!,4,FALSE),"")</f>
        <v>#REF!</v>
      </c>
      <c r="Y611" s="334" t="s">
        <v>2643</v>
      </c>
      <c r="Z611" s="58">
        <f t="shared" si="165"/>
        <v>-1.5</v>
      </c>
      <c r="AA611" s="58">
        <f t="shared" si="166"/>
        <v>714</v>
      </c>
      <c r="AB611" s="58"/>
      <c r="AC611" s="58">
        <f t="shared" si="167"/>
        <v>905.52</v>
      </c>
      <c r="AD611" s="58" t="e">
        <f>IF(B611&lt;&gt;0,VLOOKUP(B611,#REF!,2,FALSE),"")</f>
        <v>#REF!</v>
      </c>
      <c r="AE611" s="55">
        <v>7</v>
      </c>
      <c r="AF611" s="55">
        <f t="shared" si="174"/>
        <v>-77</v>
      </c>
    </row>
    <row r="612" spans="1:32" s="55" customFormat="1" ht="45">
      <c r="A612" s="21" t="s">
        <v>2827</v>
      </c>
      <c r="B612" s="20">
        <v>91939</v>
      </c>
      <c r="C612" s="19" t="s">
        <v>1715</v>
      </c>
      <c r="D612" s="21" t="s">
        <v>12</v>
      </c>
      <c r="E612" s="21" t="s">
        <v>17</v>
      </c>
      <c r="F612" s="22">
        <v>7</v>
      </c>
      <c r="G612" s="22">
        <f t="shared" si="164"/>
        <v>16.234999999999999</v>
      </c>
      <c r="H612" s="22">
        <f>ROUND(G612*(1+$X$13),2)</f>
        <v>20.59</v>
      </c>
      <c r="I612" s="147">
        <f>ROUND(H612*F612,2)</f>
        <v>144.13</v>
      </c>
      <c r="J612" s="148"/>
      <c r="K612" s="148"/>
      <c r="L612" s="148"/>
      <c r="M612" s="148">
        <v>18.09</v>
      </c>
      <c r="N612" s="148">
        <v>22.94</v>
      </c>
      <c r="O612" s="148">
        <v>160.58000000000001</v>
      </c>
      <c r="P612" s="494"/>
      <c r="Q612" s="147">
        <f>ROUND(P612*N612,2)</f>
        <v>0</v>
      </c>
      <c r="R612" s="148"/>
      <c r="S612" s="148">
        <f t="shared" si="171"/>
        <v>0</v>
      </c>
      <c r="T612" s="148">
        <f t="shared" si="176"/>
        <v>7</v>
      </c>
      <c r="U612" s="148">
        <f t="shared" si="175"/>
        <v>160.58000000000001</v>
      </c>
      <c r="V612" s="379"/>
      <c r="W612" s="379"/>
      <c r="X612" s="57" t="e">
        <f>IF(B612&lt;&gt;0,VLOOKUP(B612,#REF!,4,FALSE),"")</f>
        <v>#REF!</v>
      </c>
      <c r="Y612" s="334" t="s">
        <v>3233</v>
      </c>
      <c r="Z612" s="58">
        <f t="shared" si="165"/>
        <v>-2.865000000000002</v>
      </c>
      <c r="AA612" s="58">
        <f t="shared" si="166"/>
        <v>113.645</v>
      </c>
      <c r="AB612" s="58"/>
      <c r="AC612" s="58">
        <f t="shared" si="167"/>
        <v>144.13</v>
      </c>
      <c r="AD612" s="58" t="e">
        <f>IF(B612&lt;&gt;0,VLOOKUP(B612,#REF!,2,FALSE),"")</f>
        <v>#REF!</v>
      </c>
      <c r="AF612" s="55">
        <f t="shared" si="174"/>
        <v>-7</v>
      </c>
    </row>
    <row r="613" spans="1:32" s="55" customFormat="1">
      <c r="A613" s="21"/>
      <c r="B613" s="20"/>
      <c r="C613" s="19"/>
      <c r="D613" s="21"/>
      <c r="E613" s="21"/>
      <c r="F613" s="22"/>
      <c r="G613" s="22"/>
      <c r="H613" s="22"/>
      <c r="I613" s="147"/>
      <c r="J613" s="148"/>
      <c r="K613" s="148"/>
      <c r="L613" s="148"/>
      <c r="M613" s="148"/>
      <c r="N613" s="148"/>
      <c r="O613" s="148"/>
      <c r="P613" s="494"/>
      <c r="Q613" s="147"/>
      <c r="R613" s="148"/>
      <c r="S613" s="148"/>
      <c r="T613" s="148" t="str">
        <f t="shared" si="176"/>
        <v xml:space="preserve"> </v>
      </c>
      <c r="U613" s="148"/>
      <c r="V613" s="379"/>
      <c r="W613" s="379"/>
      <c r="X613" s="57" t="str">
        <f>IF(B613&lt;&gt;0,VLOOKUP(B613,#REF!,4,FALSE),"")</f>
        <v/>
      </c>
      <c r="Y613" s="334" t="s">
        <v>1891</v>
      </c>
      <c r="Z613" s="58"/>
      <c r="AA613" s="58">
        <f t="shared" si="166"/>
        <v>0</v>
      </c>
      <c r="AB613" s="58"/>
      <c r="AC613" s="58">
        <f t="shared" si="167"/>
        <v>0</v>
      </c>
      <c r="AD613" s="58" t="str">
        <f>IF(B613&lt;&gt;0,VLOOKUP(B613,#REF!,2,FALSE),"")</f>
        <v/>
      </c>
      <c r="AF613" s="55">
        <f t="shared" si="174"/>
        <v>0</v>
      </c>
    </row>
    <row r="614" spans="1:32" s="55" customFormat="1">
      <c r="A614" s="69" t="s">
        <v>1154</v>
      </c>
      <c r="B614" s="129"/>
      <c r="C614" s="229" t="s">
        <v>241</v>
      </c>
      <c r="D614" s="230"/>
      <c r="E614" s="230"/>
      <c r="F614" s="230"/>
      <c r="G614" s="22"/>
      <c r="H614" s="230"/>
      <c r="I614" s="445">
        <f>ROUND(SUM(I616:I625),2)</f>
        <v>116058.16</v>
      </c>
      <c r="J614" s="440"/>
      <c r="K614" s="440"/>
      <c r="L614" s="440"/>
      <c r="M614" s="440"/>
      <c r="N614" s="440"/>
      <c r="O614" s="440">
        <v>151798.43</v>
      </c>
      <c r="P614" s="492"/>
      <c r="Q614" s="445">
        <f>ROUND(SUM(Q616:Q625),2)</f>
        <v>0</v>
      </c>
      <c r="R614" s="440"/>
      <c r="S614" s="440">
        <f>ROUND(SUM(S616:S625),2)</f>
        <v>5003.7299999999996</v>
      </c>
      <c r="T614" s="148" t="str">
        <f t="shared" si="176"/>
        <v xml:space="preserve"> </v>
      </c>
      <c r="U614" s="440">
        <f t="shared" si="175"/>
        <v>146794.69999999998</v>
      </c>
      <c r="V614" s="330"/>
      <c r="W614" s="330"/>
      <c r="X614" s="57" t="str">
        <f>IF(B614&lt;&gt;0,VLOOKUP(B614,#REF!,4,FALSE),"")</f>
        <v/>
      </c>
      <c r="Y614" s="334" t="s">
        <v>1891</v>
      </c>
      <c r="Z614" s="58"/>
      <c r="AA614" s="58">
        <f t="shared" si="166"/>
        <v>0</v>
      </c>
      <c r="AB614" s="58"/>
      <c r="AC614" s="58">
        <f t="shared" si="167"/>
        <v>0</v>
      </c>
      <c r="AD614" s="58" t="str">
        <f>IF(B614&lt;&gt;0,VLOOKUP(B614,#REF!,2,FALSE),"")</f>
        <v/>
      </c>
      <c r="AF614" s="55">
        <f t="shared" si="174"/>
        <v>0</v>
      </c>
    </row>
    <row r="615" spans="1:32" s="55" customFormat="1">
      <c r="A615" s="69" t="s">
        <v>1155</v>
      </c>
      <c r="B615" s="129"/>
      <c r="C615" s="229" t="s">
        <v>242</v>
      </c>
      <c r="D615" s="230"/>
      <c r="E615" s="230"/>
      <c r="F615" s="230"/>
      <c r="G615" s="22"/>
      <c r="H615" s="230"/>
      <c r="I615" s="445"/>
      <c r="J615" s="440"/>
      <c r="K615" s="440"/>
      <c r="L615" s="440"/>
      <c r="M615" s="440"/>
      <c r="N615" s="440"/>
      <c r="O615" s="440"/>
      <c r="P615" s="492"/>
      <c r="Q615" s="445"/>
      <c r="R615" s="440"/>
      <c r="S615" s="440"/>
      <c r="T615" s="148" t="str">
        <f t="shared" si="176"/>
        <v xml:space="preserve"> </v>
      </c>
      <c r="U615" s="148"/>
      <c r="V615" s="330"/>
      <c r="W615" s="330"/>
      <c r="X615" s="57" t="str">
        <f>IF(B615&lt;&gt;0,VLOOKUP(B615,#REF!,4,FALSE),"")</f>
        <v/>
      </c>
      <c r="Y615" s="334" t="s">
        <v>1891</v>
      </c>
      <c r="Z615" s="58"/>
      <c r="AA615" s="58">
        <f t="shared" si="166"/>
        <v>0</v>
      </c>
      <c r="AB615" s="58"/>
      <c r="AC615" s="58">
        <f t="shared" si="167"/>
        <v>0</v>
      </c>
      <c r="AD615" s="58" t="str">
        <f>IF(B615&lt;&gt;0,VLOOKUP(B615,#REF!,2,FALSE),"")</f>
        <v/>
      </c>
      <c r="AE615" s="55">
        <v>1</v>
      </c>
      <c r="AF615" s="55">
        <f t="shared" si="174"/>
        <v>1</v>
      </c>
    </row>
    <row r="616" spans="1:32" s="55" customFormat="1" ht="72" customHeight="1">
      <c r="A616" s="21" t="s">
        <v>1156</v>
      </c>
      <c r="B616" s="20">
        <v>10726</v>
      </c>
      <c r="C616" s="19" t="s">
        <v>2828</v>
      </c>
      <c r="D616" s="21" t="s">
        <v>1914</v>
      </c>
      <c r="E616" s="21" t="s">
        <v>17</v>
      </c>
      <c r="F616" s="22">
        <v>1</v>
      </c>
      <c r="G616" s="22">
        <f t="shared" si="164"/>
        <v>86750.872499999998</v>
      </c>
      <c r="H616" s="22">
        <f>ROUND(G616*(1+$X$13),2)</f>
        <v>110008.78</v>
      </c>
      <c r="I616" s="147">
        <f>ROUND(H616*F616,2)</f>
        <v>110008.78</v>
      </c>
      <c r="J616" s="148"/>
      <c r="K616" s="148"/>
      <c r="L616" s="148"/>
      <c r="M616" s="148">
        <v>113572</v>
      </c>
      <c r="N616" s="148">
        <v>144020.65</v>
      </c>
      <c r="O616" s="148">
        <v>144020.65</v>
      </c>
      <c r="P616" s="494"/>
      <c r="Q616" s="147">
        <f t="shared" ref="Q616:Q624" si="177">ROUND(P616*N616,2)</f>
        <v>0</v>
      </c>
      <c r="R616" s="148"/>
      <c r="S616" s="148">
        <f>ROUND(R616*N616,2)</f>
        <v>0</v>
      </c>
      <c r="T616" s="148">
        <f t="shared" si="176"/>
        <v>1</v>
      </c>
      <c r="U616" s="148">
        <f t="shared" si="175"/>
        <v>144020.65</v>
      </c>
      <c r="V616" s="379"/>
      <c r="W616" s="379"/>
      <c r="X616" s="57">
        <f>'COMPOSIÇÃO DE CUSTOS'!G2456</f>
        <v>86750.87</v>
      </c>
      <c r="Y616" s="334">
        <v>102059.85</v>
      </c>
      <c r="Z616" s="58">
        <f t="shared" si="165"/>
        <v>-15308.977500000008</v>
      </c>
      <c r="AA616" s="58">
        <f t="shared" si="166"/>
        <v>86750.872499999998</v>
      </c>
      <c r="AB616" s="58"/>
      <c r="AC616" s="58">
        <f t="shared" si="167"/>
        <v>110008.78</v>
      </c>
      <c r="AD616" s="58" t="e">
        <f>IF(B616&lt;&gt;0,VLOOKUP(B616,#REF!,2,FALSE),"")</f>
        <v>#REF!</v>
      </c>
      <c r="AF616" s="55">
        <f t="shared" si="174"/>
        <v>-1</v>
      </c>
    </row>
    <row r="617" spans="1:32" s="55" customFormat="1">
      <c r="A617" s="69" t="s">
        <v>1160</v>
      </c>
      <c r="B617" s="129"/>
      <c r="C617" s="229" t="s">
        <v>224</v>
      </c>
      <c r="D617" s="230"/>
      <c r="E617" s="230"/>
      <c r="F617" s="230"/>
      <c r="G617" s="22"/>
      <c r="H617" s="230"/>
      <c r="I617" s="445"/>
      <c r="J617" s="440"/>
      <c r="K617" s="440"/>
      <c r="L617" s="440"/>
      <c r="M617" s="440"/>
      <c r="N617" s="440"/>
      <c r="O617" s="440"/>
      <c r="P617" s="492"/>
      <c r="Q617" s="147">
        <f t="shared" si="177"/>
        <v>0</v>
      </c>
      <c r="R617" s="440"/>
      <c r="S617" s="148">
        <f t="shared" ref="S617:S625" si="178">ROUND(R617*N617,2)</f>
        <v>0</v>
      </c>
      <c r="T617" s="148" t="str">
        <f t="shared" si="176"/>
        <v xml:space="preserve"> </v>
      </c>
      <c r="U617" s="148">
        <f t="shared" si="175"/>
        <v>0</v>
      </c>
      <c r="V617" s="330"/>
      <c r="W617" s="330"/>
      <c r="X617" s="57" t="str">
        <f>IF(B617&lt;&gt;0,VLOOKUP(B617,#REF!,4,FALSE),"")</f>
        <v/>
      </c>
      <c r="Y617" s="334" t="s">
        <v>1891</v>
      </c>
      <c r="Z617" s="58"/>
      <c r="AA617" s="58">
        <f t="shared" si="166"/>
        <v>0</v>
      </c>
      <c r="AB617" s="58"/>
      <c r="AC617" s="58">
        <f t="shared" si="167"/>
        <v>0</v>
      </c>
      <c r="AD617" s="58" t="str">
        <f>IF(B617&lt;&gt;0,VLOOKUP(B617,#REF!,2,FALSE),"")</f>
        <v/>
      </c>
      <c r="AE617" s="55">
        <v>91</v>
      </c>
      <c r="AF617" s="55">
        <f t="shared" si="174"/>
        <v>91</v>
      </c>
    </row>
    <row r="618" spans="1:32" s="55" customFormat="1" ht="33.75" customHeight="1">
      <c r="A618" s="21" t="s">
        <v>1161</v>
      </c>
      <c r="B618" s="20" t="s">
        <v>2310</v>
      </c>
      <c r="C618" s="19" t="s">
        <v>244</v>
      </c>
      <c r="D618" s="21" t="s">
        <v>70</v>
      </c>
      <c r="E618" s="21" t="s">
        <v>52</v>
      </c>
      <c r="F618" s="22">
        <v>91</v>
      </c>
      <c r="G618" s="22">
        <f t="shared" si="164"/>
        <v>17.425000000000001</v>
      </c>
      <c r="H618" s="22">
        <f>ROUND(G618*(1+$X$13),2)</f>
        <v>22.1</v>
      </c>
      <c r="I618" s="147">
        <f>ROUND(H618*F618,2)</f>
        <v>2011.1</v>
      </c>
      <c r="J618" s="148"/>
      <c r="K618" s="148"/>
      <c r="L618" s="148"/>
      <c r="M618" s="148">
        <v>19.41</v>
      </c>
      <c r="N618" s="148">
        <v>24.61</v>
      </c>
      <c r="O618" s="148">
        <v>2239.5100000000002</v>
      </c>
      <c r="P618" s="494"/>
      <c r="Q618" s="147">
        <f t="shared" si="177"/>
        <v>0</v>
      </c>
      <c r="R618" s="148"/>
      <c r="S618" s="148">
        <f t="shared" si="178"/>
        <v>0</v>
      </c>
      <c r="T618" s="148">
        <f t="shared" si="176"/>
        <v>91</v>
      </c>
      <c r="U618" s="148">
        <f t="shared" si="175"/>
        <v>2239.5100000000002</v>
      </c>
      <c r="V618" s="379"/>
      <c r="W618" s="379"/>
      <c r="X618" s="57">
        <f>'COMPOSIÇÃO DE CUSTOS'!G1357</f>
        <v>19.059999999999999</v>
      </c>
      <c r="Y618" s="334">
        <v>20.5</v>
      </c>
      <c r="Z618" s="58">
        <f t="shared" si="165"/>
        <v>-3.0749999999999993</v>
      </c>
      <c r="AA618" s="58">
        <f t="shared" si="166"/>
        <v>1585.675</v>
      </c>
      <c r="AB618" s="58"/>
      <c r="AC618" s="58">
        <f t="shared" si="167"/>
        <v>2011.1000000000001</v>
      </c>
      <c r="AD618" s="58" t="e">
        <f>IF(B618&lt;&gt;0,VLOOKUP(B618,#REF!,2,FALSE),"")</f>
        <v>#REF!</v>
      </c>
      <c r="AF618" s="55">
        <f t="shared" si="174"/>
        <v>-91</v>
      </c>
    </row>
    <row r="619" spans="1:32" s="55" customFormat="1" ht="24" customHeight="1">
      <c r="A619" s="69" t="s">
        <v>1179</v>
      </c>
      <c r="B619" s="129"/>
      <c r="C619" s="229" t="s">
        <v>214</v>
      </c>
      <c r="D619" s="230"/>
      <c r="E619" s="230"/>
      <c r="F619" s="230"/>
      <c r="G619" s="22"/>
      <c r="H619" s="230"/>
      <c r="I619" s="445"/>
      <c r="J619" s="440"/>
      <c r="K619" s="440"/>
      <c r="L619" s="440"/>
      <c r="M619" s="440"/>
      <c r="N619" s="440"/>
      <c r="O619" s="440"/>
      <c r="P619" s="492"/>
      <c r="Q619" s="147">
        <f t="shared" si="177"/>
        <v>0</v>
      </c>
      <c r="R619" s="440"/>
      <c r="S619" s="148">
        <f t="shared" si="178"/>
        <v>0</v>
      </c>
      <c r="T619" s="148" t="str">
        <f t="shared" si="176"/>
        <v xml:space="preserve"> </v>
      </c>
      <c r="U619" s="148">
        <f t="shared" si="175"/>
        <v>0</v>
      </c>
      <c r="V619" s="330"/>
      <c r="W619" s="330"/>
      <c r="X619" s="57" t="str">
        <f>IF(B619&lt;&gt;0,VLOOKUP(B619,#REF!,4,FALSE),"")</f>
        <v/>
      </c>
      <c r="Y619" s="334" t="s">
        <v>1891</v>
      </c>
      <c r="Z619" s="58"/>
      <c r="AA619" s="58">
        <f t="shared" si="166"/>
        <v>0</v>
      </c>
      <c r="AB619" s="58"/>
      <c r="AC619" s="58">
        <f t="shared" si="167"/>
        <v>0</v>
      </c>
      <c r="AD619" s="58" t="str">
        <f>IF(B619&lt;&gt;0,VLOOKUP(B619,#REF!,2,FALSE),"")</f>
        <v/>
      </c>
      <c r="AE619" s="55">
        <v>477</v>
      </c>
      <c r="AF619" s="55">
        <f t="shared" si="174"/>
        <v>477</v>
      </c>
    </row>
    <row r="620" spans="1:32" s="38" customFormat="1" ht="45">
      <c r="A620" s="447" t="s">
        <v>1180</v>
      </c>
      <c r="B620" s="448">
        <v>91929</v>
      </c>
      <c r="C620" s="449" t="s">
        <v>1714</v>
      </c>
      <c r="D620" s="447" t="s">
        <v>12</v>
      </c>
      <c r="E620" s="447" t="s">
        <v>52</v>
      </c>
      <c r="F620" s="450">
        <v>477</v>
      </c>
      <c r="G620" s="450">
        <f t="shared" ref="G620:G680" si="179">Y620-(Y620*$Z$14)</f>
        <v>5.8819999999999997</v>
      </c>
      <c r="H620" s="450">
        <f>ROUND(G620*(1+$X$13),2)</f>
        <v>7.46</v>
      </c>
      <c r="I620" s="451">
        <f>ROUND(H620*F620,2)</f>
        <v>3558.42</v>
      </c>
      <c r="J620" s="452"/>
      <c r="K620" s="452"/>
      <c r="L620" s="452"/>
      <c r="M620" s="452">
        <v>8.27</v>
      </c>
      <c r="N620" s="452">
        <v>10.49</v>
      </c>
      <c r="O620" s="452">
        <v>5003.7299999999996</v>
      </c>
      <c r="P620" s="493"/>
      <c r="Q620" s="451">
        <f t="shared" si="177"/>
        <v>0</v>
      </c>
      <c r="R620" s="452">
        <f>F620</f>
        <v>477</v>
      </c>
      <c r="S620" s="452">
        <f t="shared" si="178"/>
        <v>5003.7299999999996</v>
      </c>
      <c r="T620" s="452">
        <f t="shared" si="176"/>
        <v>0</v>
      </c>
      <c r="U620" s="452">
        <f t="shared" si="175"/>
        <v>0</v>
      </c>
      <c r="V620" s="453"/>
      <c r="W620" s="453"/>
      <c r="X620" s="42" t="e">
        <f>IF(B620&lt;&gt;0,VLOOKUP(B620,#REF!,4,FALSE),"")</f>
        <v>#REF!</v>
      </c>
      <c r="Y620" s="336" t="s">
        <v>1859</v>
      </c>
      <c r="Z620" s="39">
        <f t="shared" ref="Z620:Z680" si="180">G620-Y620</f>
        <v>-1.0380000000000003</v>
      </c>
      <c r="AA620" s="39">
        <f t="shared" ref="AA620:AA683" si="181">F620*G620</f>
        <v>2805.7139999999999</v>
      </c>
      <c r="AB620" s="39"/>
      <c r="AC620" s="39">
        <f t="shared" ref="AC620:AC683" si="182">F620*H620</f>
        <v>3558.42</v>
      </c>
      <c r="AD620" s="39" t="e">
        <f>IF(B620&lt;&gt;0,VLOOKUP(B620,#REF!,2,FALSE),"")</f>
        <v>#REF!</v>
      </c>
      <c r="AF620" s="38">
        <f t="shared" si="174"/>
        <v>-477</v>
      </c>
    </row>
    <row r="621" spans="1:32" s="55" customFormat="1">
      <c r="A621" s="69" t="s">
        <v>1184</v>
      </c>
      <c r="B621" s="129"/>
      <c r="C621" s="229" t="s">
        <v>216</v>
      </c>
      <c r="D621" s="230"/>
      <c r="E621" s="230"/>
      <c r="F621" s="230"/>
      <c r="G621" s="22"/>
      <c r="H621" s="230"/>
      <c r="I621" s="445"/>
      <c r="J621" s="440"/>
      <c r="K621" s="440"/>
      <c r="L621" s="440"/>
      <c r="M621" s="440"/>
      <c r="N621" s="440"/>
      <c r="O621" s="440"/>
      <c r="P621" s="492"/>
      <c r="Q621" s="147">
        <f t="shared" si="177"/>
        <v>0</v>
      </c>
      <c r="R621" s="440"/>
      <c r="S621" s="148">
        <f t="shared" si="178"/>
        <v>0</v>
      </c>
      <c r="T621" s="148" t="str">
        <f t="shared" si="176"/>
        <v xml:space="preserve"> </v>
      </c>
      <c r="U621" s="148">
        <f t="shared" si="175"/>
        <v>0</v>
      </c>
      <c r="V621" s="330"/>
      <c r="W621" s="330"/>
      <c r="X621" s="57" t="str">
        <f>IF(B621&lt;&gt;0,VLOOKUP(B621,#REF!,4,FALSE),"")</f>
        <v/>
      </c>
      <c r="Y621" s="334" t="s">
        <v>1891</v>
      </c>
      <c r="Z621" s="58"/>
      <c r="AA621" s="58">
        <f t="shared" si="181"/>
        <v>0</v>
      </c>
      <c r="AB621" s="58"/>
      <c r="AC621" s="58">
        <f t="shared" si="182"/>
        <v>0</v>
      </c>
      <c r="AD621" s="58" t="str">
        <f>IF(B621&lt;&gt;0,VLOOKUP(B621,#REF!,2,FALSE),"")</f>
        <v/>
      </c>
      <c r="AE621" s="55">
        <v>4</v>
      </c>
      <c r="AF621" s="55">
        <f t="shared" si="174"/>
        <v>4</v>
      </c>
    </row>
    <row r="622" spans="1:32" s="55" customFormat="1" ht="45">
      <c r="A622" s="21" t="s">
        <v>1185</v>
      </c>
      <c r="B622" s="20">
        <v>95795</v>
      </c>
      <c r="C622" s="19" t="s">
        <v>1707</v>
      </c>
      <c r="D622" s="21" t="s">
        <v>12</v>
      </c>
      <c r="E622" s="21" t="s">
        <v>17</v>
      </c>
      <c r="F622" s="22">
        <v>4</v>
      </c>
      <c r="G622" s="22">
        <f t="shared" si="179"/>
        <v>21.488</v>
      </c>
      <c r="H622" s="22">
        <f>ROUND(G622*(1+$X$13),2)</f>
        <v>27.25</v>
      </c>
      <c r="I622" s="147">
        <f>ROUND(H622*F622,2)</f>
        <v>109</v>
      </c>
      <c r="J622" s="148"/>
      <c r="K622" s="148"/>
      <c r="L622" s="148"/>
      <c r="M622" s="148">
        <v>23.94</v>
      </c>
      <c r="N622" s="148">
        <v>30.36</v>
      </c>
      <c r="O622" s="148">
        <v>121.44</v>
      </c>
      <c r="P622" s="494"/>
      <c r="Q622" s="147">
        <f t="shared" si="177"/>
        <v>0</v>
      </c>
      <c r="R622" s="148"/>
      <c r="S622" s="148">
        <f t="shared" si="178"/>
        <v>0</v>
      </c>
      <c r="T622" s="148">
        <f t="shared" si="176"/>
        <v>4</v>
      </c>
      <c r="U622" s="148">
        <f t="shared" si="175"/>
        <v>121.44</v>
      </c>
      <c r="V622" s="379"/>
      <c r="W622" s="379"/>
      <c r="X622" s="57" t="e">
        <f>IF(B622&lt;&gt;0,VLOOKUP(B622,#REF!,4,FALSE),"")</f>
        <v>#REF!</v>
      </c>
      <c r="Y622" s="334" t="s">
        <v>3235</v>
      </c>
      <c r="Z622" s="58">
        <f t="shared" si="180"/>
        <v>-3.7920000000000016</v>
      </c>
      <c r="AA622" s="58">
        <f t="shared" si="181"/>
        <v>85.951999999999998</v>
      </c>
      <c r="AB622" s="58"/>
      <c r="AC622" s="58">
        <f t="shared" si="182"/>
        <v>109</v>
      </c>
      <c r="AD622" s="58" t="e">
        <f>IF(B622&lt;&gt;0,VLOOKUP(B622,#REF!,2,FALSE),"")</f>
        <v>#REF!</v>
      </c>
      <c r="AE622" s="55">
        <v>3</v>
      </c>
      <c r="AF622" s="55">
        <f t="shared" si="174"/>
        <v>-1</v>
      </c>
    </row>
    <row r="623" spans="1:32" s="55" customFormat="1" ht="45">
      <c r="A623" s="21" t="s">
        <v>1186</v>
      </c>
      <c r="B623" s="20">
        <v>95787</v>
      </c>
      <c r="C623" s="19" t="s">
        <v>1708</v>
      </c>
      <c r="D623" s="21" t="s">
        <v>12</v>
      </c>
      <c r="E623" s="21" t="s">
        <v>17</v>
      </c>
      <c r="F623" s="22">
        <v>3</v>
      </c>
      <c r="G623" s="22">
        <f t="shared" si="179"/>
        <v>18.614999999999998</v>
      </c>
      <c r="H623" s="22">
        <f>ROUND(G623*(1+$X$13),2)</f>
        <v>23.61</v>
      </c>
      <c r="I623" s="147">
        <f>ROUND(H623*F623,2)</f>
        <v>70.83</v>
      </c>
      <c r="J623" s="148"/>
      <c r="K623" s="148"/>
      <c r="L623" s="148"/>
      <c r="M623" s="148">
        <v>20.74</v>
      </c>
      <c r="N623" s="148">
        <v>26.3</v>
      </c>
      <c r="O623" s="148">
        <v>78.900000000000006</v>
      </c>
      <c r="P623" s="494"/>
      <c r="Q623" s="147">
        <f t="shared" si="177"/>
        <v>0</v>
      </c>
      <c r="R623" s="148"/>
      <c r="S623" s="148">
        <f t="shared" si="178"/>
        <v>0</v>
      </c>
      <c r="T623" s="148">
        <f t="shared" si="176"/>
        <v>3</v>
      </c>
      <c r="U623" s="148">
        <f t="shared" si="175"/>
        <v>78.900000000000006</v>
      </c>
      <c r="V623" s="379"/>
      <c r="W623" s="379"/>
      <c r="X623" s="57" t="e">
        <f>IF(B623&lt;&gt;0,VLOOKUP(B623,#REF!,4,FALSE),"")</f>
        <v>#REF!</v>
      </c>
      <c r="Y623" s="334" t="s">
        <v>1887</v>
      </c>
      <c r="Z623" s="58">
        <f t="shared" si="180"/>
        <v>-3.2850000000000001</v>
      </c>
      <c r="AA623" s="58">
        <f t="shared" si="181"/>
        <v>55.844999999999999</v>
      </c>
      <c r="AB623" s="58"/>
      <c r="AC623" s="58">
        <f t="shared" si="182"/>
        <v>70.83</v>
      </c>
      <c r="AD623" s="58" t="e">
        <f>IF(B623&lt;&gt;0,VLOOKUP(B623,#REF!,2,FALSE),"")</f>
        <v>#REF!</v>
      </c>
      <c r="AE623" s="55">
        <v>6</v>
      </c>
      <c r="AF623" s="55">
        <f t="shared" si="174"/>
        <v>3</v>
      </c>
    </row>
    <row r="624" spans="1:32" s="55" customFormat="1" ht="45">
      <c r="A624" s="21" t="s">
        <v>1187</v>
      </c>
      <c r="B624" s="20">
        <v>95779</v>
      </c>
      <c r="C624" s="19" t="s">
        <v>1710</v>
      </c>
      <c r="D624" s="21" t="s">
        <v>12</v>
      </c>
      <c r="E624" s="21" t="s">
        <v>17</v>
      </c>
      <c r="F624" s="22">
        <v>6</v>
      </c>
      <c r="G624" s="22">
        <f t="shared" si="179"/>
        <v>17.442</v>
      </c>
      <c r="H624" s="22">
        <f>ROUND(G624*(1+$X$13),2)</f>
        <v>22.12</v>
      </c>
      <c r="I624" s="147">
        <f>ROUND(H624*F624,2)</f>
        <v>132.72</v>
      </c>
      <c r="J624" s="148"/>
      <c r="K624" s="148"/>
      <c r="L624" s="148"/>
      <c r="M624" s="148">
        <v>19.43</v>
      </c>
      <c r="N624" s="148">
        <v>24.64</v>
      </c>
      <c r="O624" s="148">
        <v>147.84</v>
      </c>
      <c r="P624" s="494"/>
      <c r="Q624" s="147">
        <f t="shared" si="177"/>
        <v>0</v>
      </c>
      <c r="R624" s="148"/>
      <c r="S624" s="148">
        <f t="shared" si="178"/>
        <v>0</v>
      </c>
      <c r="T624" s="148">
        <f t="shared" si="176"/>
        <v>6</v>
      </c>
      <c r="U624" s="148">
        <f t="shared" si="175"/>
        <v>147.84</v>
      </c>
      <c r="V624" s="379"/>
      <c r="W624" s="379"/>
      <c r="X624" s="57" t="e">
        <f>IF(B624&lt;&gt;0,VLOOKUP(B624,#REF!,4,FALSE),"")</f>
        <v>#REF!</v>
      </c>
      <c r="Y624" s="334" t="s">
        <v>1899</v>
      </c>
      <c r="Z624" s="58">
        <f t="shared" si="180"/>
        <v>-3.0779999999999994</v>
      </c>
      <c r="AA624" s="58">
        <f t="shared" si="181"/>
        <v>104.652</v>
      </c>
      <c r="AB624" s="58"/>
      <c r="AC624" s="58">
        <f t="shared" si="182"/>
        <v>132.72</v>
      </c>
      <c r="AD624" s="58" t="e">
        <f>IF(B624&lt;&gt;0,VLOOKUP(B624,#REF!,2,FALSE),"")</f>
        <v>#REF!</v>
      </c>
      <c r="AE624" s="55">
        <v>3</v>
      </c>
      <c r="AF624" s="55">
        <f t="shared" si="174"/>
        <v>-3</v>
      </c>
    </row>
    <row r="625" spans="1:32" s="55" customFormat="1" ht="30">
      <c r="A625" s="21" t="s">
        <v>1188</v>
      </c>
      <c r="B625" s="20" t="s">
        <v>2284</v>
      </c>
      <c r="C625" s="19" t="s">
        <v>228</v>
      </c>
      <c r="D625" s="21" t="s">
        <v>70</v>
      </c>
      <c r="E625" s="21" t="s">
        <v>17</v>
      </c>
      <c r="F625" s="22">
        <v>3</v>
      </c>
      <c r="G625" s="22">
        <f t="shared" si="179"/>
        <v>43.978999999999999</v>
      </c>
      <c r="H625" s="22">
        <f>ROUND(G625*(1+$X$13),2)</f>
        <v>55.77</v>
      </c>
      <c r="I625" s="147">
        <f>ROUND(H625*F625,2)</f>
        <v>167.31</v>
      </c>
      <c r="J625" s="148"/>
      <c r="K625" s="148"/>
      <c r="L625" s="148"/>
      <c r="M625" s="148">
        <v>48.99</v>
      </c>
      <c r="N625" s="148">
        <v>62.12</v>
      </c>
      <c r="O625" s="148">
        <v>186.36</v>
      </c>
      <c r="P625" s="494"/>
      <c r="Q625" s="147">
        <f>ROUND(P625*N625,2)</f>
        <v>0</v>
      </c>
      <c r="R625" s="148"/>
      <c r="S625" s="148">
        <f t="shared" si="178"/>
        <v>0</v>
      </c>
      <c r="T625" s="148">
        <f t="shared" si="176"/>
        <v>3</v>
      </c>
      <c r="U625" s="148">
        <f t="shared" si="175"/>
        <v>186.36</v>
      </c>
      <c r="V625" s="379"/>
      <c r="W625" s="379"/>
      <c r="X625" s="57">
        <f>'COMPOSIÇÃO DE CUSTOS'!G1314</f>
        <v>43.97</v>
      </c>
      <c r="Y625" s="334">
        <v>51.74</v>
      </c>
      <c r="Z625" s="58">
        <f t="shared" si="180"/>
        <v>-7.7610000000000028</v>
      </c>
      <c r="AA625" s="58">
        <f t="shared" si="181"/>
        <v>131.93700000000001</v>
      </c>
      <c r="AB625" s="58"/>
      <c r="AC625" s="58">
        <f t="shared" si="182"/>
        <v>167.31</v>
      </c>
      <c r="AD625" s="58" t="e">
        <f>IF(B625&lt;&gt;0,VLOOKUP(B625,#REF!,2,FALSE),"")</f>
        <v>#REF!</v>
      </c>
      <c r="AF625" s="55">
        <f t="shared" si="174"/>
        <v>-3</v>
      </c>
    </row>
    <row r="626" spans="1:32" s="55" customFormat="1">
      <c r="A626" s="21"/>
      <c r="B626" s="20"/>
      <c r="C626" s="19"/>
      <c r="D626" s="21"/>
      <c r="E626" s="21"/>
      <c r="F626" s="22"/>
      <c r="G626" s="22"/>
      <c r="H626" s="22"/>
      <c r="I626" s="147"/>
      <c r="J626" s="148"/>
      <c r="K626" s="148"/>
      <c r="L626" s="148"/>
      <c r="M626" s="148"/>
      <c r="N626" s="148"/>
      <c r="O626" s="148"/>
      <c r="P626" s="494"/>
      <c r="Q626" s="147"/>
      <c r="R626" s="148"/>
      <c r="S626" s="148"/>
      <c r="T626" s="148" t="str">
        <f t="shared" si="176"/>
        <v xml:space="preserve"> </v>
      </c>
      <c r="U626" s="148"/>
      <c r="V626" s="379"/>
      <c r="W626" s="379"/>
      <c r="X626" s="57" t="str">
        <f>IF(B626&lt;&gt;0,VLOOKUP(B626,#REF!,4,FALSE),"")</f>
        <v/>
      </c>
      <c r="Y626" s="334" t="s">
        <v>1891</v>
      </c>
      <c r="Z626" s="58"/>
      <c r="AA626" s="58">
        <f t="shared" si="181"/>
        <v>0</v>
      </c>
      <c r="AB626" s="58"/>
      <c r="AC626" s="58">
        <f t="shared" si="182"/>
        <v>0</v>
      </c>
      <c r="AD626" s="58" t="str">
        <f>IF(B626&lt;&gt;0,VLOOKUP(B626,#REF!,2,FALSE),"")</f>
        <v/>
      </c>
      <c r="AF626" s="55">
        <f t="shared" si="174"/>
        <v>0</v>
      </c>
    </row>
    <row r="627" spans="1:32" s="55" customFormat="1">
      <c r="A627" s="69" t="s">
        <v>1210</v>
      </c>
      <c r="B627" s="129"/>
      <c r="C627" s="229" t="s">
        <v>247</v>
      </c>
      <c r="D627" s="230"/>
      <c r="E627" s="230"/>
      <c r="F627" s="230"/>
      <c r="G627" s="22"/>
      <c r="H627" s="230"/>
      <c r="I627" s="445">
        <f>SUM(I629:I680)</f>
        <v>108532.18999999999</v>
      </c>
      <c r="J627" s="440"/>
      <c r="K627" s="440"/>
      <c r="L627" s="440"/>
      <c r="M627" s="440"/>
      <c r="N627" s="440"/>
      <c r="O627" s="440">
        <v>135013.1</v>
      </c>
      <c r="P627" s="492"/>
      <c r="Q627" s="445">
        <f>SUM(Q629:Q680)</f>
        <v>155.44999999999999</v>
      </c>
      <c r="R627" s="440"/>
      <c r="S627" s="440">
        <f>SUM(S629:S680)</f>
        <v>0</v>
      </c>
      <c r="T627" s="148" t="str">
        <f t="shared" si="176"/>
        <v xml:space="preserve"> </v>
      </c>
      <c r="U627" s="440">
        <f t="shared" si="175"/>
        <v>135168.55000000002</v>
      </c>
      <c r="V627" s="330"/>
      <c r="W627" s="330"/>
      <c r="X627" s="57" t="str">
        <f>IF(B627&lt;&gt;0,VLOOKUP(B627,#REF!,4,FALSE),"")</f>
        <v/>
      </c>
      <c r="Y627" s="334" t="s">
        <v>1891</v>
      </c>
      <c r="Z627" s="58"/>
      <c r="AA627" s="58">
        <f t="shared" si="181"/>
        <v>0</v>
      </c>
      <c r="AB627" s="58"/>
      <c r="AC627" s="58">
        <f t="shared" si="182"/>
        <v>0</v>
      </c>
      <c r="AD627" s="58" t="str">
        <f>IF(B627&lt;&gt;0,VLOOKUP(B627,#REF!,2,FALSE),"")</f>
        <v/>
      </c>
      <c r="AF627" s="55">
        <f t="shared" si="174"/>
        <v>0</v>
      </c>
    </row>
    <row r="628" spans="1:32" s="55" customFormat="1">
      <c r="A628" s="69" t="s">
        <v>1211</v>
      </c>
      <c r="B628" s="129"/>
      <c r="C628" s="229" t="s">
        <v>248</v>
      </c>
      <c r="D628" s="230"/>
      <c r="E628" s="230"/>
      <c r="F628" s="230"/>
      <c r="G628" s="22"/>
      <c r="H628" s="230"/>
      <c r="I628" s="445"/>
      <c r="J628" s="440"/>
      <c r="K628" s="440"/>
      <c r="L628" s="440"/>
      <c r="M628" s="440"/>
      <c r="N628" s="440"/>
      <c r="O628" s="440"/>
      <c r="P628" s="492"/>
      <c r="Q628" s="445"/>
      <c r="R628" s="440"/>
      <c r="S628" s="440"/>
      <c r="T628" s="148" t="str">
        <f t="shared" si="176"/>
        <v xml:space="preserve"> </v>
      </c>
      <c r="U628" s="148"/>
      <c r="V628" s="330"/>
      <c r="W628" s="330"/>
      <c r="X628" s="57" t="str">
        <f>IF(B628&lt;&gt;0,VLOOKUP(B628,#REF!,4,FALSE),"")</f>
        <v/>
      </c>
      <c r="Y628" s="334" t="s">
        <v>1891</v>
      </c>
      <c r="Z628" s="58"/>
      <c r="AA628" s="58">
        <f t="shared" si="181"/>
        <v>0</v>
      </c>
      <c r="AB628" s="58"/>
      <c r="AC628" s="58">
        <f t="shared" si="182"/>
        <v>0</v>
      </c>
      <c r="AD628" s="58" t="str">
        <f>IF(B628&lt;&gt;0,VLOOKUP(B628,#REF!,2,FALSE),"")</f>
        <v/>
      </c>
      <c r="AE628" s="55">
        <v>6</v>
      </c>
      <c r="AF628" s="55">
        <f t="shared" si="174"/>
        <v>6</v>
      </c>
    </row>
    <row r="629" spans="1:32" s="55" customFormat="1" ht="53.25" customHeight="1">
      <c r="A629" s="21" t="s">
        <v>1212</v>
      </c>
      <c r="B629" s="20">
        <v>97585</v>
      </c>
      <c r="C629" s="19" t="s">
        <v>2507</v>
      </c>
      <c r="D629" s="21" t="s">
        <v>12</v>
      </c>
      <c r="E629" s="21" t="s">
        <v>17</v>
      </c>
      <c r="F629" s="22">
        <v>6</v>
      </c>
      <c r="G629" s="22">
        <f t="shared" si="179"/>
        <v>59.16</v>
      </c>
      <c r="H629" s="22">
        <f t="shared" ref="H629:H634" si="183">ROUND(G629*(1+$X$13),2)</f>
        <v>75.02</v>
      </c>
      <c r="I629" s="147">
        <f t="shared" ref="I629:I634" si="184">ROUND(H629*F629,2)</f>
        <v>450.12</v>
      </c>
      <c r="J629" s="148"/>
      <c r="K629" s="148"/>
      <c r="L629" s="148"/>
      <c r="M629" s="148">
        <v>65.900000000000006</v>
      </c>
      <c r="N629" s="148">
        <v>83.57</v>
      </c>
      <c r="O629" s="148">
        <v>501.42</v>
      </c>
      <c r="P629" s="494"/>
      <c r="Q629" s="147">
        <f t="shared" ref="Q629:Q679" si="185">ROUND(P629*N629,2)</f>
        <v>0</v>
      </c>
      <c r="R629" s="148"/>
      <c r="S629" s="148">
        <f>ROUND(R629*N629,2)</f>
        <v>0</v>
      </c>
      <c r="T629" s="148">
        <f t="shared" si="176"/>
        <v>6</v>
      </c>
      <c r="U629" s="148">
        <f t="shared" si="175"/>
        <v>501.42</v>
      </c>
      <c r="V629" s="379"/>
      <c r="W629" s="379"/>
      <c r="X629" s="57" t="e">
        <f>IF(B629&lt;&gt;0,VLOOKUP(B629,#REF!,4,FALSE),"")</f>
        <v>#REF!</v>
      </c>
      <c r="Y629" s="334" t="s">
        <v>3254</v>
      </c>
      <c r="Z629" s="58">
        <f t="shared" si="180"/>
        <v>-10.439999999999998</v>
      </c>
      <c r="AA629" s="58">
        <f t="shared" si="181"/>
        <v>354.96</v>
      </c>
      <c r="AB629" s="58"/>
      <c r="AC629" s="58">
        <f t="shared" si="182"/>
        <v>450.12</v>
      </c>
      <c r="AD629" s="58" t="e">
        <f>IF(B629&lt;&gt;0,VLOOKUP(B629,#REF!,2,FALSE),"")</f>
        <v>#REF!</v>
      </c>
      <c r="AE629" s="55">
        <v>131</v>
      </c>
      <c r="AF629" s="55">
        <f t="shared" si="174"/>
        <v>125</v>
      </c>
    </row>
    <row r="630" spans="1:32" s="55" customFormat="1" ht="35.25" customHeight="1">
      <c r="A630" s="21" t="s">
        <v>1213</v>
      </c>
      <c r="B630" s="20">
        <v>539</v>
      </c>
      <c r="C630" s="19" t="s">
        <v>1930</v>
      </c>
      <c r="D630" s="21" t="s">
        <v>44</v>
      </c>
      <c r="E630" s="21" t="s">
        <v>17</v>
      </c>
      <c r="F630" s="22">
        <v>131</v>
      </c>
      <c r="G630" s="22">
        <f t="shared" si="179"/>
        <v>189.26949999999999</v>
      </c>
      <c r="H630" s="22">
        <f t="shared" si="183"/>
        <v>240.01</v>
      </c>
      <c r="I630" s="147">
        <f t="shared" si="184"/>
        <v>31441.31</v>
      </c>
      <c r="J630" s="148"/>
      <c r="K630" s="148"/>
      <c r="L630" s="148"/>
      <c r="M630" s="148">
        <v>250.63</v>
      </c>
      <c r="N630" s="148">
        <v>317.82</v>
      </c>
      <c r="O630" s="148">
        <v>41634.42</v>
      </c>
      <c r="P630" s="494"/>
      <c r="Q630" s="147">
        <f t="shared" si="185"/>
        <v>0</v>
      </c>
      <c r="R630" s="148"/>
      <c r="S630" s="148">
        <f t="shared" ref="S630:S680" si="186">ROUND(R630*N630,2)</f>
        <v>0</v>
      </c>
      <c r="T630" s="148">
        <f t="shared" si="176"/>
        <v>131</v>
      </c>
      <c r="U630" s="148">
        <f t="shared" si="175"/>
        <v>41634.42</v>
      </c>
      <c r="V630" s="379"/>
      <c r="W630" s="379"/>
      <c r="X630" s="57">
        <f>'COMPOSIÇÃO DE CUSTOS'!G1886</f>
        <v>189.27</v>
      </c>
      <c r="Y630" s="334">
        <v>222.67</v>
      </c>
      <c r="Z630" s="58">
        <f t="shared" si="180"/>
        <v>-33.400499999999994</v>
      </c>
      <c r="AA630" s="58">
        <f t="shared" si="181"/>
        <v>24794.304499999998</v>
      </c>
      <c r="AB630" s="58"/>
      <c r="AC630" s="58">
        <f t="shared" si="182"/>
        <v>31441.309999999998</v>
      </c>
      <c r="AD630" s="58" t="e">
        <f>IF(B630&lt;&gt;0,VLOOKUP(B630,#REF!,2,FALSE),"")</f>
        <v>#REF!</v>
      </c>
      <c r="AE630" s="55">
        <v>14</v>
      </c>
      <c r="AF630" s="55">
        <f t="shared" si="174"/>
        <v>-117</v>
      </c>
    </row>
    <row r="631" spans="1:32" s="38" customFormat="1" ht="30">
      <c r="A631" s="447" t="s">
        <v>1214</v>
      </c>
      <c r="B631" s="448">
        <v>38770</v>
      </c>
      <c r="C631" s="449" t="s">
        <v>2028</v>
      </c>
      <c r="D631" s="447" t="s">
        <v>1914</v>
      </c>
      <c r="E631" s="447" t="s">
        <v>17</v>
      </c>
      <c r="F631" s="450">
        <v>14</v>
      </c>
      <c r="G631" s="450">
        <f t="shared" si="179"/>
        <v>75.267499999999998</v>
      </c>
      <c r="H631" s="450">
        <f t="shared" si="183"/>
        <v>95.45</v>
      </c>
      <c r="I631" s="451">
        <f t="shared" si="184"/>
        <v>1336.3</v>
      </c>
      <c r="J631" s="452"/>
      <c r="K631" s="452"/>
      <c r="L631" s="452"/>
      <c r="M631" s="452">
        <v>83.85</v>
      </c>
      <c r="N631" s="452">
        <v>106.33</v>
      </c>
      <c r="O631" s="452">
        <v>1488.62</v>
      </c>
      <c r="P631" s="493">
        <v>1</v>
      </c>
      <c r="Q631" s="451">
        <f t="shared" si="185"/>
        <v>106.33</v>
      </c>
      <c r="R631" s="452"/>
      <c r="S631" s="452">
        <f t="shared" si="186"/>
        <v>0</v>
      </c>
      <c r="T631" s="452">
        <f t="shared" si="176"/>
        <v>15</v>
      </c>
      <c r="U631" s="452">
        <f t="shared" si="175"/>
        <v>1594.9499999999998</v>
      </c>
      <c r="V631" s="453"/>
      <c r="W631" s="453"/>
      <c r="X631" s="42">
        <f>'COMPOSIÇÃO DE CUSTOS'!G2207</f>
        <v>75.25</v>
      </c>
      <c r="Y631" s="336">
        <v>88.55</v>
      </c>
      <c r="Z631" s="39">
        <f t="shared" si="180"/>
        <v>-13.282499999999999</v>
      </c>
      <c r="AA631" s="39">
        <f t="shared" si="181"/>
        <v>1053.7449999999999</v>
      </c>
      <c r="AB631" s="39"/>
      <c r="AC631" s="39">
        <f t="shared" si="182"/>
        <v>1336.3</v>
      </c>
      <c r="AD631" s="39" t="e">
        <f>IF(B631&lt;&gt;0,VLOOKUP(B631,#REF!,2,FALSE),"")</f>
        <v>#REF!</v>
      </c>
      <c r="AE631" s="38">
        <v>12</v>
      </c>
      <c r="AF631" s="38">
        <f t="shared" si="174"/>
        <v>-2</v>
      </c>
    </row>
    <row r="632" spans="1:32" s="55" customFormat="1" ht="30">
      <c r="A632" s="21" t="s">
        <v>1215</v>
      </c>
      <c r="B632" s="20">
        <v>11130</v>
      </c>
      <c r="C632" s="19" t="s">
        <v>249</v>
      </c>
      <c r="D632" s="21" t="s">
        <v>44</v>
      </c>
      <c r="E632" s="21" t="s">
        <v>17</v>
      </c>
      <c r="F632" s="22">
        <v>12</v>
      </c>
      <c r="G632" s="22">
        <f t="shared" si="179"/>
        <v>78.540000000000006</v>
      </c>
      <c r="H632" s="22">
        <f t="shared" si="183"/>
        <v>99.6</v>
      </c>
      <c r="I632" s="147">
        <f t="shared" si="184"/>
        <v>1195.2</v>
      </c>
      <c r="J632" s="148"/>
      <c r="K632" s="148"/>
      <c r="L632" s="148"/>
      <c r="M632" s="148">
        <v>87.49</v>
      </c>
      <c r="N632" s="148">
        <v>110.95</v>
      </c>
      <c r="O632" s="148">
        <v>1331.4</v>
      </c>
      <c r="P632" s="494"/>
      <c r="Q632" s="147">
        <f t="shared" si="185"/>
        <v>0</v>
      </c>
      <c r="R632" s="148"/>
      <c r="S632" s="148">
        <f t="shared" si="186"/>
        <v>0</v>
      </c>
      <c r="T632" s="148">
        <f t="shared" si="176"/>
        <v>12</v>
      </c>
      <c r="U632" s="148">
        <f t="shared" si="175"/>
        <v>1331.4</v>
      </c>
      <c r="V632" s="379"/>
      <c r="W632" s="379"/>
      <c r="X632" s="57">
        <f>'COMPOSIÇÃO DE CUSTOS'!G1385</f>
        <v>78.540000000000006</v>
      </c>
      <c r="Y632" s="334">
        <v>92.4</v>
      </c>
      <c r="Z632" s="58">
        <f t="shared" si="180"/>
        <v>-13.86</v>
      </c>
      <c r="AA632" s="58">
        <f t="shared" si="181"/>
        <v>942.48</v>
      </c>
      <c r="AB632" s="58"/>
      <c r="AC632" s="58">
        <f t="shared" si="182"/>
        <v>1195.1999999999998</v>
      </c>
      <c r="AD632" s="58" t="e">
        <f>IF(B632&lt;&gt;0,VLOOKUP(B632,#REF!,2,FALSE),"")</f>
        <v>#REF!</v>
      </c>
      <c r="AE632" s="55">
        <v>22</v>
      </c>
      <c r="AF632" s="55">
        <f t="shared" si="174"/>
        <v>10</v>
      </c>
    </row>
    <row r="633" spans="1:32" s="55" customFormat="1" ht="60">
      <c r="A633" s="21" t="s">
        <v>1216</v>
      </c>
      <c r="B633" s="21" t="s">
        <v>2409</v>
      </c>
      <c r="C633" s="19" t="s">
        <v>250</v>
      </c>
      <c r="D633" s="21" t="s">
        <v>1914</v>
      </c>
      <c r="E633" s="21" t="s">
        <v>17</v>
      </c>
      <c r="F633" s="22">
        <v>22</v>
      </c>
      <c r="G633" s="22">
        <f t="shared" si="179"/>
        <v>585.04649999999992</v>
      </c>
      <c r="H633" s="22">
        <f t="shared" si="183"/>
        <v>741.9</v>
      </c>
      <c r="I633" s="147">
        <f t="shared" si="184"/>
        <v>16321.8</v>
      </c>
      <c r="J633" s="148"/>
      <c r="K633" s="148"/>
      <c r="L633" s="148"/>
      <c r="M633" s="148">
        <v>651.75</v>
      </c>
      <c r="N633" s="148">
        <v>826.48</v>
      </c>
      <c r="O633" s="148">
        <v>18182.560000000001</v>
      </c>
      <c r="P633" s="494"/>
      <c r="Q633" s="147">
        <f t="shared" si="185"/>
        <v>0</v>
      </c>
      <c r="R633" s="148"/>
      <c r="S633" s="148">
        <f t="shared" si="186"/>
        <v>0</v>
      </c>
      <c r="T633" s="148">
        <f t="shared" si="176"/>
        <v>22</v>
      </c>
      <c r="U633" s="148">
        <f t="shared" si="175"/>
        <v>18182.560000000001</v>
      </c>
      <c r="V633" s="379"/>
      <c r="W633" s="379"/>
      <c r="X633" s="57">
        <f>'COMPOSIÇÃO DE CUSTOS'!G1393</f>
        <v>585.03</v>
      </c>
      <c r="Y633" s="334">
        <v>688.29</v>
      </c>
      <c r="Z633" s="58">
        <f t="shared" si="180"/>
        <v>-103.24350000000004</v>
      </c>
      <c r="AA633" s="58">
        <f t="shared" si="181"/>
        <v>12871.022999999997</v>
      </c>
      <c r="AB633" s="58"/>
      <c r="AC633" s="58">
        <f t="shared" si="182"/>
        <v>16321.8</v>
      </c>
      <c r="AD633" s="58" t="e">
        <f>IF(B633&lt;&gt;0,VLOOKUP(B633,#REF!,2,FALSE),"")</f>
        <v>#REF!</v>
      </c>
      <c r="AE633" s="55">
        <v>6</v>
      </c>
      <c r="AF633" s="55">
        <f t="shared" si="174"/>
        <v>-16</v>
      </c>
    </row>
    <row r="634" spans="1:32" s="55" customFormat="1" ht="45" customHeight="1">
      <c r="A634" s="21" t="s">
        <v>1217</v>
      </c>
      <c r="B634" s="20">
        <v>97608</v>
      </c>
      <c r="C634" s="19" t="s">
        <v>2577</v>
      </c>
      <c r="D634" s="21" t="s">
        <v>12</v>
      </c>
      <c r="E634" s="21" t="s">
        <v>17</v>
      </c>
      <c r="F634" s="22">
        <v>6</v>
      </c>
      <c r="G634" s="22">
        <f t="shared" si="179"/>
        <v>63.537500000000001</v>
      </c>
      <c r="H634" s="22">
        <f t="shared" si="183"/>
        <v>80.569999999999993</v>
      </c>
      <c r="I634" s="147">
        <f t="shared" si="184"/>
        <v>483.42</v>
      </c>
      <c r="J634" s="148"/>
      <c r="K634" s="148"/>
      <c r="L634" s="148"/>
      <c r="M634" s="148">
        <v>70.78</v>
      </c>
      <c r="N634" s="148">
        <v>89.76</v>
      </c>
      <c r="O634" s="148">
        <v>538.55999999999995</v>
      </c>
      <c r="P634" s="494"/>
      <c r="Q634" s="147">
        <f t="shared" si="185"/>
        <v>0</v>
      </c>
      <c r="R634" s="148"/>
      <c r="S634" s="148">
        <f t="shared" si="186"/>
        <v>0</v>
      </c>
      <c r="T634" s="148">
        <f t="shared" si="176"/>
        <v>6</v>
      </c>
      <c r="U634" s="148">
        <f t="shared" si="175"/>
        <v>538.55999999999995</v>
      </c>
      <c r="V634" s="379"/>
      <c r="W634" s="379"/>
      <c r="X634" s="57" t="e">
        <f>IF(B634&lt;&gt;0,VLOOKUP(B634,#REF!,4,FALSE),"")</f>
        <v>#REF!</v>
      </c>
      <c r="Y634" s="334" t="s">
        <v>3256</v>
      </c>
      <c r="Z634" s="58">
        <f t="shared" si="180"/>
        <v>-11.212499999999999</v>
      </c>
      <c r="AA634" s="58">
        <f t="shared" si="181"/>
        <v>381.22500000000002</v>
      </c>
      <c r="AB634" s="58"/>
      <c r="AC634" s="58">
        <f t="shared" si="182"/>
        <v>483.41999999999996</v>
      </c>
      <c r="AD634" s="58" t="e">
        <f>IF(B634&lt;&gt;0,VLOOKUP(B634,#REF!,2,FALSE),"")</f>
        <v>#REF!</v>
      </c>
      <c r="AF634" s="55">
        <f t="shared" si="174"/>
        <v>-6</v>
      </c>
    </row>
    <row r="635" spans="1:32" s="55" customFormat="1">
      <c r="A635" s="69" t="s">
        <v>1218</v>
      </c>
      <c r="B635" s="129"/>
      <c r="C635" s="229" t="s">
        <v>193</v>
      </c>
      <c r="D635" s="230"/>
      <c r="E635" s="230"/>
      <c r="F635" s="230"/>
      <c r="G635" s="22"/>
      <c r="H635" s="230"/>
      <c r="I635" s="445"/>
      <c r="J635" s="440"/>
      <c r="K635" s="440"/>
      <c r="L635" s="440"/>
      <c r="M635" s="440"/>
      <c r="N635" s="440"/>
      <c r="O635" s="440"/>
      <c r="P635" s="492"/>
      <c r="Q635" s="147">
        <f t="shared" si="185"/>
        <v>0</v>
      </c>
      <c r="R635" s="440"/>
      <c r="S635" s="148">
        <f t="shared" si="186"/>
        <v>0</v>
      </c>
      <c r="T635" s="148" t="str">
        <f t="shared" si="176"/>
        <v xml:space="preserve"> </v>
      </c>
      <c r="U635" s="148">
        <f t="shared" si="175"/>
        <v>0</v>
      </c>
      <c r="V635" s="330"/>
      <c r="W635" s="330"/>
      <c r="X635" s="57" t="str">
        <f>IF(B635&lt;&gt;0,VLOOKUP(B635,#REF!,4,FALSE),"")</f>
        <v/>
      </c>
      <c r="Y635" s="334" t="s">
        <v>1891</v>
      </c>
      <c r="Z635" s="58"/>
      <c r="AA635" s="58">
        <f t="shared" si="181"/>
        <v>0</v>
      </c>
      <c r="AB635" s="58"/>
      <c r="AC635" s="58">
        <f t="shared" si="182"/>
        <v>0</v>
      </c>
      <c r="AD635" s="58" t="str">
        <f>IF(B635&lt;&gt;0,VLOOKUP(B635,#REF!,2,FALSE),"")</f>
        <v/>
      </c>
      <c r="AE635" s="55">
        <v>628</v>
      </c>
      <c r="AF635" s="55">
        <f t="shared" si="174"/>
        <v>628</v>
      </c>
    </row>
    <row r="636" spans="1:32" ht="15" customHeight="1">
      <c r="A636" s="21" t="s">
        <v>1219</v>
      </c>
      <c r="B636" s="20">
        <v>91863</v>
      </c>
      <c r="C636" s="19" t="s">
        <v>1692</v>
      </c>
      <c r="D636" s="21" t="s">
        <v>12</v>
      </c>
      <c r="E636" s="21" t="s">
        <v>52</v>
      </c>
      <c r="F636" s="22">
        <v>628</v>
      </c>
      <c r="G636" s="22">
        <f t="shared" si="179"/>
        <v>6.8849999999999998</v>
      </c>
      <c r="H636" s="22">
        <f t="shared" ref="H636:H652" si="187">ROUND(G636*(1+$X$13),2)</f>
        <v>8.73</v>
      </c>
      <c r="I636" s="147">
        <f t="shared" ref="I636:I652" si="188">ROUND(H636*F636,2)</f>
        <v>5482.44</v>
      </c>
      <c r="J636" s="148"/>
      <c r="K636" s="148"/>
      <c r="L636" s="148"/>
      <c r="M636" s="148">
        <v>7.67</v>
      </c>
      <c r="N636" s="148">
        <v>9.73</v>
      </c>
      <c r="O636" s="148">
        <v>6110.44</v>
      </c>
      <c r="P636" s="494"/>
      <c r="Q636" s="147">
        <f t="shared" si="185"/>
        <v>0</v>
      </c>
      <c r="R636" s="148"/>
      <c r="S636" s="148">
        <f t="shared" si="186"/>
        <v>0</v>
      </c>
      <c r="T636" s="148">
        <f t="shared" si="176"/>
        <v>628</v>
      </c>
      <c r="U636" s="148">
        <f t="shared" si="175"/>
        <v>6110.44</v>
      </c>
      <c r="V636" s="379"/>
      <c r="W636" s="379"/>
      <c r="X636" s="57" t="e">
        <f>IF(B636&lt;&gt;0,VLOOKUP(B636,#REF!,4,FALSE),"")</f>
        <v>#REF!</v>
      </c>
      <c r="Y636" s="334" t="s">
        <v>1885</v>
      </c>
      <c r="Z636" s="58">
        <f t="shared" si="180"/>
        <v>-1.2149999999999999</v>
      </c>
      <c r="AA636" s="58">
        <f t="shared" si="181"/>
        <v>4323.78</v>
      </c>
      <c r="AB636" s="58"/>
      <c r="AC636" s="58">
        <f t="shared" si="182"/>
        <v>5482.4400000000005</v>
      </c>
      <c r="AD636" s="58" t="e">
        <f>IF(B636&lt;&gt;0,VLOOKUP(B636,#REF!,2,FALSE),"")</f>
        <v>#REF!</v>
      </c>
      <c r="AE636" s="2">
        <v>100</v>
      </c>
      <c r="AF636" s="55">
        <f t="shared" si="174"/>
        <v>-528</v>
      </c>
    </row>
    <row r="637" spans="1:32" ht="60">
      <c r="A637" s="21" t="s">
        <v>1220</v>
      </c>
      <c r="B637" s="20">
        <v>91890</v>
      </c>
      <c r="C637" s="19" t="s">
        <v>1693</v>
      </c>
      <c r="D637" s="21" t="s">
        <v>12</v>
      </c>
      <c r="E637" s="21" t="s">
        <v>17</v>
      </c>
      <c r="F637" s="22">
        <v>100</v>
      </c>
      <c r="G637" s="22">
        <f t="shared" si="179"/>
        <v>6.375</v>
      </c>
      <c r="H637" s="22">
        <f t="shared" si="187"/>
        <v>8.08</v>
      </c>
      <c r="I637" s="147">
        <f t="shared" si="188"/>
        <v>808</v>
      </c>
      <c r="J637" s="148"/>
      <c r="K637" s="148"/>
      <c r="L637" s="148"/>
      <c r="M637" s="148">
        <v>7.1</v>
      </c>
      <c r="N637" s="148">
        <v>9</v>
      </c>
      <c r="O637" s="148">
        <v>900</v>
      </c>
      <c r="P637" s="494"/>
      <c r="Q637" s="147">
        <f t="shared" si="185"/>
        <v>0</v>
      </c>
      <c r="R637" s="148"/>
      <c r="S637" s="148">
        <f t="shared" si="186"/>
        <v>0</v>
      </c>
      <c r="T637" s="148">
        <f t="shared" si="176"/>
        <v>100</v>
      </c>
      <c r="U637" s="148">
        <f t="shared" si="175"/>
        <v>900</v>
      </c>
      <c r="V637" s="379"/>
      <c r="W637" s="379"/>
      <c r="X637" s="57" t="e">
        <f>IF(B637&lt;&gt;0,VLOOKUP(B637,#REF!,4,FALSE),"")</f>
        <v>#REF!</v>
      </c>
      <c r="Y637" s="334" t="s">
        <v>3222</v>
      </c>
      <c r="Z637" s="58">
        <f t="shared" si="180"/>
        <v>-1.125</v>
      </c>
      <c r="AA637" s="58">
        <f t="shared" si="181"/>
        <v>637.5</v>
      </c>
      <c r="AB637" s="58"/>
      <c r="AC637" s="58">
        <f t="shared" si="182"/>
        <v>808</v>
      </c>
      <c r="AD637" s="58" t="e">
        <f>IF(B637&lt;&gt;0,VLOOKUP(B637,#REF!,2,FALSE),"")</f>
        <v>#REF!</v>
      </c>
      <c r="AE637" s="2">
        <v>410</v>
      </c>
      <c r="AF637" s="55">
        <f t="shared" si="174"/>
        <v>310</v>
      </c>
    </row>
    <row r="638" spans="1:32" ht="60">
      <c r="A638" s="21" t="s">
        <v>1221</v>
      </c>
      <c r="B638" s="20">
        <v>91875</v>
      </c>
      <c r="C638" s="19" t="s">
        <v>1694</v>
      </c>
      <c r="D638" s="21" t="s">
        <v>12</v>
      </c>
      <c r="E638" s="21" t="s">
        <v>17</v>
      </c>
      <c r="F638" s="22">
        <v>410</v>
      </c>
      <c r="G638" s="22">
        <f t="shared" si="179"/>
        <v>3.7654999999999998</v>
      </c>
      <c r="H638" s="22">
        <f t="shared" si="187"/>
        <v>4.78</v>
      </c>
      <c r="I638" s="147">
        <f t="shared" si="188"/>
        <v>1959.8</v>
      </c>
      <c r="J638" s="148"/>
      <c r="K638" s="148"/>
      <c r="L638" s="148"/>
      <c r="M638" s="148">
        <v>4.1900000000000004</v>
      </c>
      <c r="N638" s="148">
        <v>5.31</v>
      </c>
      <c r="O638" s="148">
        <v>2177.1</v>
      </c>
      <c r="P638" s="494"/>
      <c r="Q638" s="147">
        <f t="shared" si="185"/>
        <v>0</v>
      </c>
      <c r="R638" s="148"/>
      <c r="S638" s="148">
        <f t="shared" si="186"/>
        <v>0</v>
      </c>
      <c r="T638" s="148">
        <f t="shared" si="176"/>
        <v>410</v>
      </c>
      <c r="U638" s="148">
        <f t="shared" si="175"/>
        <v>2177.1</v>
      </c>
      <c r="V638" s="379"/>
      <c r="W638" s="379"/>
      <c r="X638" s="57" t="e">
        <f>IF(B638&lt;&gt;0,VLOOKUP(B638,#REF!,4,FALSE),"")</f>
        <v>#REF!</v>
      </c>
      <c r="Y638" s="334" t="s">
        <v>1864</v>
      </c>
      <c r="Z638" s="58">
        <f t="shared" si="180"/>
        <v>-0.66449999999999987</v>
      </c>
      <c r="AA638" s="58">
        <f t="shared" si="181"/>
        <v>1543.855</v>
      </c>
      <c r="AB638" s="58"/>
      <c r="AC638" s="58">
        <f t="shared" si="182"/>
        <v>1959.8000000000002</v>
      </c>
      <c r="AD638" s="58" t="e">
        <f>IF(B638&lt;&gt;0,VLOOKUP(B638,#REF!,2,FALSE),"")</f>
        <v>#REF!</v>
      </c>
      <c r="AE638" s="2">
        <v>325</v>
      </c>
      <c r="AF638" s="55">
        <f t="shared" si="174"/>
        <v>-85</v>
      </c>
    </row>
    <row r="639" spans="1:32" s="55" customFormat="1" ht="45">
      <c r="A639" s="21" t="s">
        <v>1222</v>
      </c>
      <c r="B639" s="20">
        <v>91871</v>
      </c>
      <c r="C639" s="19" t="s">
        <v>1695</v>
      </c>
      <c r="D639" s="21" t="s">
        <v>12</v>
      </c>
      <c r="E639" s="21" t="s">
        <v>52</v>
      </c>
      <c r="F639" s="22">
        <v>325</v>
      </c>
      <c r="G639" s="22">
        <f t="shared" si="179"/>
        <v>7.3949999999999996</v>
      </c>
      <c r="H639" s="22">
        <f t="shared" si="187"/>
        <v>9.3800000000000008</v>
      </c>
      <c r="I639" s="147">
        <f t="shared" si="188"/>
        <v>3048.5</v>
      </c>
      <c r="J639" s="148"/>
      <c r="K639" s="148"/>
      <c r="L639" s="148"/>
      <c r="M639" s="148">
        <v>8.24</v>
      </c>
      <c r="N639" s="148">
        <v>10.45</v>
      </c>
      <c r="O639" s="148">
        <v>3396.25</v>
      </c>
      <c r="P639" s="494"/>
      <c r="Q639" s="147">
        <f t="shared" si="185"/>
        <v>0</v>
      </c>
      <c r="R639" s="148"/>
      <c r="S639" s="148">
        <f t="shared" si="186"/>
        <v>0</v>
      </c>
      <c r="T639" s="148">
        <f t="shared" si="176"/>
        <v>325</v>
      </c>
      <c r="U639" s="148">
        <f t="shared" si="175"/>
        <v>3396.25</v>
      </c>
      <c r="V639" s="379"/>
      <c r="W639" s="379"/>
      <c r="X639" s="57" t="e">
        <f>IF(B639&lt;&gt;0,VLOOKUP(B639,#REF!,4,FALSE),"")</f>
        <v>#REF!</v>
      </c>
      <c r="Y639" s="334" t="s">
        <v>2647</v>
      </c>
      <c r="Z639" s="58">
        <f t="shared" si="180"/>
        <v>-1.3049999999999997</v>
      </c>
      <c r="AA639" s="58">
        <f t="shared" si="181"/>
        <v>2403.375</v>
      </c>
      <c r="AB639" s="58"/>
      <c r="AC639" s="58">
        <f t="shared" si="182"/>
        <v>3048.5000000000005</v>
      </c>
      <c r="AD639" s="58" t="e">
        <f>IF(B639&lt;&gt;0,VLOOKUP(B639,#REF!,2,FALSE),"")</f>
        <v>#REF!</v>
      </c>
      <c r="AE639" s="55">
        <v>79</v>
      </c>
      <c r="AF639" s="55">
        <f t="shared" si="174"/>
        <v>-246</v>
      </c>
    </row>
    <row r="640" spans="1:32" s="55" customFormat="1" ht="60">
      <c r="A640" s="21" t="s">
        <v>1223</v>
      </c>
      <c r="B640" s="20">
        <v>91914</v>
      </c>
      <c r="C640" s="19" t="s">
        <v>1696</v>
      </c>
      <c r="D640" s="21" t="s">
        <v>12</v>
      </c>
      <c r="E640" s="21" t="s">
        <v>17</v>
      </c>
      <c r="F640" s="22">
        <v>79</v>
      </c>
      <c r="G640" s="22">
        <f t="shared" si="179"/>
        <v>8.5084999999999997</v>
      </c>
      <c r="H640" s="22">
        <f t="shared" si="187"/>
        <v>10.79</v>
      </c>
      <c r="I640" s="147">
        <f t="shared" si="188"/>
        <v>852.41</v>
      </c>
      <c r="J640" s="148"/>
      <c r="K640" s="148"/>
      <c r="L640" s="148"/>
      <c r="M640" s="148">
        <v>9.48</v>
      </c>
      <c r="N640" s="148">
        <v>12.02</v>
      </c>
      <c r="O640" s="148">
        <v>949.58</v>
      </c>
      <c r="P640" s="494"/>
      <c r="Q640" s="147">
        <f t="shared" si="185"/>
        <v>0</v>
      </c>
      <c r="R640" s="148"/>
      <c r="S640" s="148">
        <f t="shared" si="186"/>
        <v>0</v>
      </c>
      <c r="T640" s="148">
        <f t="shared" si="176"/>
        <v>79</v>
      </c>
      <c r="U640" s="148">
        <f t="shared" si="175"/>
        <v>949.58</v>
      </c>
      <c r="V640" s="379"/>
      <c r="W640" s="379"/>
      <c r="X640" s="57" t="e">
        <f>IF(B640&lt;&gt;0,VLOOKUP(B640,#REF!,4,FALSE),"")</f>
        <v>#REF!</v>
      </c>
      <c r="Y640" s="334" t="s">
        <v>1907</v>
      </c>
      <c r="Z640" s="58">
        <f t="shared" si="180"/>
        <v>-1.5015000000000001</v>
      </c>
      <c r="AA640" s="58">
        <f t="shared" si="181"/>
        <v>672.17149999999992</v>
      </c>
      <c r="AB640" s="58"/>
      <c r="AC640" s="58">
        <f t="shared" si="182"/>
        <v>852.41</v>
      </c>
      <c r="AD640" s="58" t="e">
        <f>IF(B640&lt;&gt;0,VLOOKUP(B640,#REF!,2,FALSE),"")</f>
        <v>#REF!</v>
      </c>
      <c r="AE640" s="55">
        <v>267</v>
      </c>
      <c r="AF640" s="55">
        <f t="shared" si="174"/>
        <v>188</v>
      </c>
    </row>
    <row r="641" spans="1:32" s="55" customFormat="1" ht="60">
      <c r="A641" s="21" t="s">
        <v>1224</v>
      </c>
      <c r="B641" s="20">
        <v>91884</v>
      </c>
      <c r="C641" s="19" t="s">
        <v>1697</v>
      </c>
      <c r="D641" s="21" t="s">
        <v>12</v>
      </c>
      <c r="E641" s="21" t="s">
        <v>17</v>
      </c>
      <c r="F641" s="22">
        <v>267</v>
      </c>
      <c r="G641" s="22">
        <f t="shared" si="179"/>
        <v>5.1849999999999996</v>
      </c>
      <c r="H641" s="22">
        <f t="shared" si="187"/>
        <v>6.58</v>
      </c>
      <c r="I641" s="147">
        <f t="shared" si="188"/>
        <v>1756.86</v>
      </c>
      <c r="J641" s="148"/>
      <c r="K641" s="148"/>
      <c r="L641" s="148"/>
      <c r="M641" s="148">
        <v>5.78</v>
      </c>
      <c r="N641" s="148">
        <v>7.33</v>
      </c>
      <c r="O641" s="148">
        <v>1957.11</v>
      </c>
      <c r="P641" s="494"/>
      <c r="Q641" s="147">
        <f t="shared" si="185"/>
        <v>0</v>
      </c>
      <c r="R641" s="148"/>
      <c r="S641" s="148">
        <f t="shared" si="186"/>
        <v>0</v>
      </c>
      <c r="T641" s="148">
        <f t="shared" si="176"/>
        <v>267</v>
      </c>
      <c r="U641" s="148">
        <f t="shared" si="175"/>
        <v>1957.11</v>
      </c>
      <c r="V641" s="379"/>
      <c r="W641" s="379"/>
      <c r="X641" s="57" t="e">
        <f>IF(B641&lt;&gt;0,VLOOKUP(B641,#REF!,4,FALSE),"")</f>
        <v>#REF!</v>
      </c>
      <c r="Y641" s="334" t="s">
        <v>3138</v>
      </c>
      <c r="Z641" s="58">
        <f t="shared" si="180"/>
        <v>-0.91500000000000004</v>
      </c>
      <c r="AA641" s="58">
        <f t="shared" si="181"/>
        <v>1384.395</v>
      </c>
      <c r="AB641" s="58"/>
      <c r="AC641" s="58">
        <f t="shared" si="182"/>
        <v>1756.8600000000001</v>
      </c>
      <c r="AD641" s="58" t="e">
        <f>IF(B641&lt;&gt;0,VLOOKUP(B641,#REF!,2,FALSE),"")</f>
        <v>#REF!</v>
      </c>
      <c r="AE641" s="55">
        <v>39</v>
      </c>
      <c r="AF641" s="55">
        <f t="shared" si="174"/>
        <v>-228</v>
      </c>
    </row>
    <row r="642" spans="1:32" s="55" customFormat="1" ht="30">
      <c r="A642" s="21" t="s">
        <v>1225</v>
      </c>
      <c r="B642" s="20">
        <v>723</v>
      </c>
      <c r="C642" s="19" t="s">
        <v>235</v>
      </c>
      <c r="D642" s="21" t="s">
        <v>44</v>
      </c>
      <c r="E642" s="21" t="s">
        <v>17</v>
      </c>
      <c r="F642" s="22">
        <v>39</v>
      </c>
      <c r="G642" s="22">
        <f t="shared" si="179"/>
        <v>3.4085000000000001</v>
      </c>
      <c r="H642" s="22">
        <f t="shared" si="187"/>
        <v>4.32</v>
      </c>
      <c r="I642" s="147">
        <f t="shared" si="188"/>
        <v>168.48</v>
      </c>
      <c r="J642" s="148"/>
      <c r="K642" s="148"/>
      <c r="L642" s="148"/>
      <c r="M642" s="148">
        <v>3.8</v>
      </c>
      <c r="N642" s="148">
        <v>4.82</v>
      </c>
      <c r="O642" s="148">
        <v>187.98</v>
      </c>
      <c r="P642" s="494"/>
      <c r="Q642" s="147">
        <f t="shared" si="185"/>
        <v>0</v>
      </c>
      <c r="R642" s="148"/>
      <c r="S642" s="148">
        <f t="shared" si="186"/>
        <v>0</v>
      </c>
      <c r="T642" s="148">
        <f t="shared" si="176"/>
        <v>39</v>
      </c>
      <c r="U642" s="148">
        <f t="shared" si="175"/>
        <v>187.98</v>
      </c>
      <c r="V642" s="379"/>
      <c r="W642" s="379"/>
      <c r="X642" s="57">
        <f>'COMPOSIÇÃO DE CUSTOS'!G1307</f>
        <v>3.41</v>
      </c>
      <c r="Y642" s="334">
        <v>4.01</v>
      </c>
      <c r="Z642" s="58">
        <f t="shared" si="180"/>
        <v>-0.6014999999999997</v>
      </c>
      <c r="AA642" s="58">
        <f t="shared" si="181"/>
        <v>132.9315</v>
      </c>
      <c r="AB642" s="58"/>
      <c r="AC642" s="58">
        <f t="shared" si="182"/>
        <v>168.48000000000002</v>
      </c>
      <c r="AD642" s="58" t="e">
        <f>IF(B642&lt;&gt;0,VLOOKUP(B642,#REF!,2,FALSE),"")</f>
        <v>#REF!</v>
      </c>
      <c r="AE642" s="55">
        <v>104</v>
      </c>
      <c r="AF642" s="55">
        <f t="shared" si="174"/>
        <v>65</v>
      </c>
    </row>
    <row r="643" spans="1:32" s="55" customFormat="1" ht="30">
      <c r="A643" s="21" t="s">
        <v>2829</v>
      </c>
      <c r="B643" s="20">
        <v>91864</v>
      </c>
      <c r="C643" s="19" t="s">
        <v>194</v>
      </c>
      <c r="D643" s="21" t="s">
        <v>44</v>
      </c>
      <c r="E643" s="21" t="s">
        <v>52</v>
      </c>
      <c r="F643" s="22">
        <v>104</v>
      </c>
      <c r="G643" s="22">
        <f t="shared" si="179"/>
        <v>9.1204999999999998</v>
      </c>
      <c r="H643" s="22">
        <f t="shared" si="187"/>
        <v>11.57</v>
      </c>
      <c r="I643" s="147">
        <f t="shared" si="188"/>
        <v>1203.28</v>
      </c>
      <c r="J643" s="148"/>
      <c r="K643" s="148"/>
      <c r="L643" s="148"/>
      <c r="M643" s="148">
        <v>10.16</v>
      </c>
      <c r="N643" s="148">
        <v>12.88</v>
      </c>
      <c r="O643" s="148">
        <v>1339.52</v>
      </c>
      <c r="P643" s="494"/>
      <c r="Q643" s="147">
        <f t="shared" si="185"/>
        <v>0</v>
      </c>
      <c r="R643" s="148"/>
      <c r="S643" s="148">
        <f t="shared" si="186"/>
        <v>0</v>
      </c>
      <c r="T643" s="148">
        <f t="shared" si="176"/>
        <v>104</v>
      </c>
      <c r="U643" s="148">
        <f t="shared" si="175"/>
        <v>1339.52</v>
      </c>
      <c r="V643" s="379"/>
      <c r="W643" s="379"/>
      <c r="X643" s="57" t="e">
        <f>IF(B643&lt;&gt;0,VLOOKUP(B643,#REF!,4,FALSE),"")</f>
        <v>#REF!</v>
      </c>
      <c r="Y643" s="334" t="s">
        <v>1836</v>
      </c>
      <c r="Z643" s="58">
        <f t="shared" si="180"/>
        <v>-1.6095000000000006</v>
      </c>
      <c r="AA643" s="58">
        <f t="shared" si="181"/>
        <v>948.53199999999993</v>
      </c>
      <c r="AB643" s="58"/>
      <c r="AC643" s="58">
        <f t="shared" si="182"/>
        <v>1203.28</v>
      </c>
      <c r="AD643" s="58" t="e">
        <f>IF(B643&lt;&gt;0,VLOOKUP(B643,#REF!,2,FALSE),"")</f>
        <v>#REF!</v>
      </c>
      <c r="AE643" s="55">
        <v>6</v>
      </c>
      <c r="AF643" s="55">
        <f t="shared" si="174"/>
        <v>-98</v>
      </c>
    </row>
    <row r="644" spans="1:32" s="55" customFormat="1" ht="15" customHeight="1">
      <c r="A644" s="21" t="s">
        <v>2830</v>
      </c>
      <c r="B644" s="20">
        <v>91893</v>
      </c>
      <c r="C644" s="19" t="s">
        <v>226</v>
      </c>
      <c r="D644" s="21" t="s">
        <v>44</v>
      </c>
      <c r="E644" s="21" t="s">
        <v>17</v>
      </c>
      <c r="F644" s="22">
        <v>6</v>
      </c>
      <c r="G644" s="22">
        <f t="shared" si="179"/>
        <v>8.7379999999999995</v>
      </c>
      <c r="H644" s="22">
        <f t="shared" si="187"/>
        <v>11.08</v>
      </c>
      <c r="I644" s="147">
        <f t="shared" si="188"/>
        <v>66.48</v>
      </c>
      <c r="J644" s="148"/>
      <c r="K644" s="148"/>
      <c r="L644" s="148"/>
      <c r="M644" s="148">
        <v>9.73</v>
      </c>
      <c r="N644" s="148">
        <v>12.34</v>
      </c>
      <c r="O644" s="148">
        <v>74.040000000000006</v>
      </c>
      <c r="P644" s="494"/>
      <c r="Q644" s="147">
        <f t="shared" si="185"/>
        <v>0</v>
      </c>
      <c r="R644" s="148"/>
      <c r="S644" s="148">
        <f t="shared" si="186"/>
        <v>0</v>
      </c>
      <c r="T644" s="148">
        <f t="shared" si="176"/>
        <v>6</v>
      </c>
      <c r="U644" s="148">
        <f t="shared" si="175"/>
        <v>74.040000000000006</v>
      </c>
      <c r="V644" s="379"/>
      <c r="W644" s="379"/>
      <c r="X644" s="57" t="e">
        <f>IF(B644&lt;&gt;0,VLOOKUP(B644,#REF!,4,FALSE),"")</f>
        <v>#REF!</v>
      </c>
      <c r="Y644" s="334" t="s">
        <v>3156</v>
      </c>
      <c r="Z644" s="58">
        <f t="shared" si="180"/>
        <v>-1.5419999999999998</v>
      </c>
      <c r="AA644" s="58">
        <f t="shared" si="181"/>
        <v>52.427999999999997</v>
      </c>
      <c r="AB644" s="58"/>
      <c r="AC644" s="58">
        <f t="shared" si="182"/>
        <v>66.48</v>
      </c>
      <c r="AD644" s="58" t="e">
        <f>IF(B644&lt;&gt;0,VLOOKUP(B644,#REF!,2,FALSE),"")</f>
        <v>#REF!</v>
      </c>
      <c r="AE644" s="55">
        <v>47</v>
      </c>
      <c r="AF644" s="55">
        <f t="shared" si="174"/>
        <v>41</v>
      </c>
    </row>
    <row r="645" spans="1:32" s="55" customFormat="1" ht="30">
      <c r="A645" s="21" t="s">
        <v>2831</v>
      </c>
      <c r="B645" s="20">
        <v>91885</v>
      </c>
      <c r="C645" s="19" t="s">
        <v>195</v>
      </c>
      <c r="D645" s="21" t="s">
        <v>44</v>
      </c>
      <c r="E645" s="21" t="s">
        <v>17</v>
      </c>
      <c r="F645" s="22">
        <v>47</v>
      </c>
      <c r="G645" s="22">
        <f t="shared" si="179"/>
        <v>6.1624999999999996</v>
      </c>
      <c r="H645" s="22">
        <f t="shared" si="187"/>
        <v>7.81</v>
      </c>
      <c r="I645" s="147">
        <f t="shared" si="188"/>
        <v>367.07</v>
      </c>
      <c r="J645" s="148"/>
      <c r="K645" s="148"/>
      <c r="L645" s="148"/>
      <c r="M645" s="148">
        <v>6.87</v>
      </c>
      <c r="N645" s="148">
        <v>8.7100000000000009</v>
      </c>
      <c r="O645" s="148">
        <v>409.37</v>
      </c>
      <c r="P645" s="494"/>
      <c r="Q645" s="147">
        <f t="shared" si="185"/>
        <v>0</v>
      </c>
      <c r="R645" s="148"/>
      <c r="S645" s="148">
        <f t="shared" si="186"/>
        <v>0</v>
      </c>
      <c r="T645" s="148">
        <f t="shared" si="176"/>
        <v>47</v>
      </c>
      <c r="U645" s="148">
        <f t="shared" si="175"/>
        <v>409.37</v>
      </c>
      <c r="V645" s="379"/>
      <c r="W645" s="379"/>
      <c r="X645" s="57" t="e">
        <f>IF(B645&lt;&gt;0,VLOOKUP(B645,#REF!,4,FALSE),"")</f>
        <v>#REF!</v>
      </c>
      <c r="Y645" s="334" t="s">
        <v>1870</v>
      </c>
      <c r="Z645" s="58">
        <f t="shared" si="180"/>
        <v>-1.0875000000000004</v>
      </c>
      <c r="AA645" s="58">
        <f t="shared" si="181"/>
        <v>289.63749999999999</v>
      </c>
      <c r="AB645" s="58"/>
      <c r="AC645" s="58">
        <f t="shared" si="182"/>
        <v>367.07</v>
      </c>
      <c r="AD645" s="58" t="e">
        <f>IF(B645&lt;&gt;0,VLOOKUP(B645,#REF!,2,FALSE),"")</f>
        <v>#REF!</v>
      </c>
      <c r="AE645" s="55">
        <v>28</v>
      </c>
      <c r="AF645" s="55">
        <f t="shared" si="174"/>
        <v>-19</v>
      </c>
    </row>
    <row r="646" spans="1:32" ht="30">
      <c r="A646" s="21" t="s">
        <v>2832</v>
      </c>
      <c r="B646" s="20">
        <v>762</v>
      </c>
      <c r="C646" s="19" t="s">
        <v>2833</v>
      </c>
      <c r="D646" s="21" t="s">
        <v>44</v>
      </c>
      <c r="E646" s="21" t="s">
        <v>17</v>
      </c>
      <c r="F646" s="22">
        <v>28</v>
      </c>
      <c r="G646" s="22">
        <f t="shared" si="179"/>
        <v>57.230499999999999</v>
      </c>
      <c r="H646" s="22">
        <f t="shared" si="187"/>
        <v>72.569999999999993</v>
      </c>
      <c r="I646" s="147">
        <f t="shared" si="188"/>
        <v>2031.96</v>
      </c>
      <c r="J646" s="148"/>
      <c r="K646" s="148"/>
      <c r="L646" s="148"/>
      <c r="M646" s="148">
        <v>63.76</v>
      </c>
      <c r="N646" s="148">
        <v>80.849999999999994</v>
      </c>
      <c r="O646" s="148">
        <v>2263.8000000000002</v>
      </c>
      <c r="P646" s="494"/>
      <c r="Q646" s="147">
        <f t="shared" si="185"/>
        <v>0</v>
      </c>
      <c r="R646" s="148"/>
      <c r="S646" s="148">
        <f t="shared" si="186"/>
        <v>0</v>
      </c>
      <c r="T646" s="148">
        <f t="shared" si="176"/>
        <v>28</v>
      </c>
      <c r="U646" s="148">
        <f t="shared" si="175"/>
        <v>2263.8000000000002</v>
      </c>
      <c r="V646" s="379"/>
      <c r="W646" s="379"/>
      <c r="X646" s="57">
        <f>'COMPOSIÇÃO DE CUSTOS'!G1265</f>
        <v>57.23</v>
      </c>
      <c r="Y646" s="334">
        <v>67.33</v>
      </c>
      <c r="Z646" s="58">
        <f t="shared" si="180"/>
        <v>-10.099499999999999</v>
      </c>
      <c r="AA646" s="58">
        <f t="shared" si="181"/>
        <v>1602.454</v>
      </c>
      <c r="AB646" s="58"/>
      <c r="AC646" s="58">
        <f t="shared" si="182"/>
        <v>2031.9599999999998</v>
      </c>
      <c r="AD646" s="58" t="e">
        <f>IF(B646&lt;&gt;0,VLOOKUP(B646,#REF!,2,FALSE),"")</f>
        <v>#REF!</v>
      </c>
      <c r="AE646" s="2">
        <v>1</v>
      </c>
      <c r="AF646" s="55">
        <f t="shared" si="174"/>
        <v>-27</v>
      </c>
    </row>
    <row r="647" spans="1:32" ht="30">
      <c r="A647" s="21" t="s">
        <v>2834</v>
      </c>
      <c r="B647" s="20">
        <v>8443</v>
      </c>
      <c r="C647" s="19" t="s">
        <v>1759</v>
      </c>
      <c r="D647" s="21" t="s">
        <v>44</v>
      </c>
      <c r="E647" s="21" t="s">
        <v>17</v>
      </c>
      <c r="F647" s="22">
        <v>1</v>
      </c>
      <c r="G647" s="22">
        <f t="shared" si="179"/>
        <v>57.179499999999997</v>
      </c>
      <c r="H647" s="22">
        <f t="shared" si="187"/>
        <v>72.510000000000005</v>
      </c>
      <c r="I647" s="147">
        <f t="shared" si="188"/>
        <v>72.510000000000005</v>
      </c>
      <c r="J647" s="148"/>
      <c r="K647" s="148"/>
      <c r="L647" s="148"/>
      <c r="M647" s="148">
        <v>63.7</v>
      </c>
      <c r="N647" s="148">
        <v>80.78</v>
      </c>
      <c r="O647" s="148">
        <v>80.78</v>
      </c>
      <c r="P647" s="494"/>
      <c r="Q647" s="147">
        <f t="shared" si="185"/>
        <v>0</v>
      </c>
      <c r="R647" s="148"/>
      <c r="S647" s="148">
        <f t="shared" si="186"/>
        <v>0</v>
      </c>
      <c r="T647" s="148">
        <f t="shared" si="176"/>
        <v>1</v>
      </c>
      <c r="U647" s="148">
        <f t="shared" si="175"/>
        <v>80.78</v>
      </c>
      <c r="V647" s="379"/>
      <c r="W647" s="379"/>
      <c r="X647" s="57">
        <f>'COMPOSIÇÃO DE CUSTOS'!G1272</f>
        <v>57.18</v>
      </c>
      <c r="Y647" s="334">
        <v>67.27</v>
      </c>
      <c r="Z647" s="58">
        <f t="shared" si="180"/>
        <v>-10.090499999999999</v>
      </c>
      <c r="AA647" s="58">
        <f t="shared" si="181"/>
        <v>57.179499999999997</v>
      </c>
      <c r="AB647" s="58"/>
      <c r="AC647" s="58">
        <f t="shared" si="182"/>
        <v>72.510000000000005</v>
      </c>
      <c r="AD647" s="58" t="e">
        <f>IF(B647&lt;&gt;0,VLOOKUP(B647,#REF!,2,FALSE),"")</f>
        <v>#REF!</v>
      </c>
      <c r="AE647" s="2">
        <v>21</v>
      </c>
      <c r="AF647" s="55">
        <f t="shared" si="174"/>
        <v>20</v>
      </c>
    </row>
    <row r="648" spans="1:32" ht="42" customHeight="1">
      <c r="A648" s="21" t="s">
        <v>2835</v>
      </c>
      <c r="B648" s="20">
        <v>748</v>
      </c>
      <c r="C648" s="19" t="s">
        <v>201</v>
      </c>
      <c r="D648" s="21" t="s">
        <v>44</v>
      </c>
      <c r="E648" s="21" t="s">
        <v>17</v>
      </c>
      <c r="F648" s="22">
        <v>21</v>
      </c>
      <c r="G648" s="22">
        <f t="shared" si="179"/>
        <v>70.473500000000001</v>
      </c>
      <c r="H648" s="22">
        <f t="shared" si="187"/>
        <v>89.37</v>
      </c>
      <c r="I648" s="147">
        <f t="shared" si="188"/>
        <v>1876.77</v>
      </c>
      <c r="J648" s="148"/>
      <c r="K648" s="148"/>
      <c r="L648" s="148"/>
      <c r="M648" s="148">
        <v>78.510000000000005</v>
      </c>
      <c r="N648" s="148">
        <v>99.56</v>
      </c>
      <c r="O648" s="148">
        <v>2090.7600000000002</v>
      </c>
      <c r="P648" s="494"/>
      <c r="Q648" s="147">
        <f t="shared" si="185"/>
        <v>0</v>
      </c>
      <c r="R648" s="148"/>
      <c r="S648" s="148">
        <f t="shared" si="186"/>
        <v>0</v>
      </c>
      <c r="T648" s="148">
        <f t="shared" si="176"/>
        <v>21</v>
      </c>
      <c r="U648" s="148">
        <f t="shared" si="175"/>
        <v>2090.7600000000002</v>
      </c>
      <c r="V648" s="379"/>
      <c r="W648" s="379"/>
      <c r="X648" s="57">
        <f>'COMPOSIÇÃO DE CUSTOS'!G1053</f>
        <v>70.47</v>
      </c>
      <c r="Y648" s="334">
        <v>82.91</v>
      </c>
      <c r="Z648" s="58">
        <f t="shared" si="180"/>
        <v>-12.436499999999995</v>
      </c>
      <c r="AA648" s="58">
        <f t="shared" si="181"/>
        <v>1479.9435000000001</v>
      </c>
      <c r="AB648" s="58"/>
      <c r="AC648" s="58">
        <f t="shared" si="182"/>
        <v>1876.77</v>
      </c>
      <c r="AD648" s="58" t="e">
        <f>IF(B648&lt;&gt;0,VLOOKUP(B648,#REF!,2,FALSE),"")</f>
        <v>#REF!</v>
      </c>
      <c r="AE648" s="2">
        <v>2</v>
      </c>
      <c r="AF648" s="55">
        <f t="shared" si="174"/>
        <v>-19</v>
      </c>
    </row>
    <row r="649" spans="1:32" s="38" customFormat="1" ht="36" customHeight="1">
      <c r="A649" s="21" t="s">
        <v>2836</v>
      </c>
      <c r="B649" s="20">
        <v>11290</v>
      </c>
      <c r="C649" s="19" t="s">
        <v>202</v>
      </c>
      <c r="D649" s="21" t="s">
        <v>44</v>
      </c>
      <c r="E649" s="21" t="s">
        <v>17</v>
      </c>
      <c r="F649" s="22">
        <v>2</v>
      </c>
      <c r="G649" s="22">
        <f t="shared" si="179"/>
        <v>49.835500000000003</v>
      </c>
      <c r="H649" s="22">
        <f t="shared" si="187"/>
        <v>63.2</v>
      </c>
      <c r="I649" s="147">
        <f t="shared" si="188"/>
        <v>126.4</v>
      </c>
      <c r="J649" s="148"/>
      <c r="K649" s="148"/>
      <c r="L649" s="148"/>
      <c r="M649" s="148">
        <v>55.52</v>
      </c>
      <c r="N649" s="148">
        <v>70.400000000000006</v>
      </c>
      <c r="O649" s="148">
        <v>140.80000000000001</v>
      </c>
      <c r="P649" s="494"/>
      <c r="Q649" s="147">
        <f t="shared" si="185"/>
        <v>0</v>
      </c>
      <c r="R649" s="148"/>
      <c r="S649" s="148">
        <f t="shared" si="186"/>
        <v>0</v>
      </c>
      <c r="T649" s="148">
        <f t="shared" si="176"/>
        <v>2</v>
      </c>
      <c r="U649" s="148">
        <f t="shared" si="175"/>
        <v>140.80000000000001</v>
      </c>
      <c r="V649" s="379"/>
      <c r="W649" s="379"/>
      <c r="X649" s="57">
        <f>'COMPOSIÇÃO DE CUSTOS'!G1060</f>
        <v>49.83</v>
      </c>
      <c r="Y649" s="334">
        <v>58.63</v>
      </c>
      <c r="Z649" s="58">
        <f t="shared" si="180"/>
        <v>-8.7944999999999993</v>
      </c>
      <c r="AA649" s="58">
        <f t="shared" si="181"/>
        <v>99.671000000000006</v>
      </c>
      <c r="AB649" s="58"/>
      <c r="AC649" s="58">
        <f t="shared" si="182"/>
        <v>126.4</v>
      </c>
      <c r="AD649" s="58" t="e">
        <f>IF(B649&lt;&gt;0,VLOOKUP(B649,#REF!,2,FALSE),"")</f>
        <v>#REF!</v>
      </c>
      <c r="AE649" s="38">
        <v>2</v>
      </c>
      <c r="AF649" s="55">
        <f t="shared" si="174"/>
        <v>0</v>
      </c>
    </row>
    <row r="650" spans="1:32" s="55" customFormat="1" ht="36.75" customHeight="1">
      <c r="A650" s="21" t="s">
        <v>2837</v>
      </c>
      <c r="B650" s="20" t="s">
        <v>2229</v>
      </c>
      <c r="C650" s="19" t="s">
        <v>1744</v>
      </c>
      <c r="D650" s="21" t="s">
        <v>1914</v>
      </c>
      <c r="E650" s="21" t="s">
        <v>17</v>
      </c>
      <c r="F650" s="22">
        <v>2</v>
      </c>
      <c r="G650" s="22">
        <f t="shared" si="179"/>
        <v>15.614500000000001</v>
      </c>
      <c r="H650" s="22">
        <f t="shared" si="187"/>
        <v>19.8</v>
      </c>
      <c r="I650" s="147">
        <f t="shared" si="188"/>
        <v>39.6</v>
      </c>
      <c r="J650" s="148"/>
      <c r="K650" s="148"/>
      <c r="L650" s="148"/>
      <c r="M650" s="148">
        <v>17.39</v>
      </c>
      <c r="N650" s="148">
        <v>22.05</v>
      </c>
      <c r="O650" s="148">
        <v>44.1</v>
      </c>
      <c r="P650" s="494"/>
      <c r="Q650" s="147">
        <f t="shared" si="185"/>
        <v>0</v>
      </c>
      <c r="R650" s="148"/>
      <c r="S650" s="148">
        <f t="shared" si="186"/>
        <v>0</v>
      </c>
      <c r="T650" s="148">
        <f t="shared" si="176"/>
        <v>2</v>
      </c>
      <c r="U650" s="148">
        <f t="shared" si="175"/>
        <v>44.1</v>
      </c>
      <c r="V650" s="379"/>
      <c r="W650" s="379"/>
      <c r="X650" s="57">
        <f>'COMPOSIÇÃO DE CUSTOS'!G1081</f>
        <v>15.61</v>
      </c>
      <c r="Y650" s="334">
        <v>18.37</v>
      </c>
      <c r="Z650" s="58">
        <f t="shared" si="180"/>
        <v>-2.7554999999999996</v>
      </c>
      <c r="AA650" s="58">
        <f t="shared" si="181"/>
        <v>31.229000000000003</v>
      </c>
      <c r="AB650" s="58"/>
      <c r="AC650" s="58">
        <f t="shared" si="182"/>
        <v>39.6</v>
      </c>
      <c r="AD650" s="58" t="e">
        <f>IF(B650&lt;&gt;0,VLOOKUP(B650,#REF!,2,FALSE),"")</f>
        <v>#REF!</v>
      </c>
      <c r="AE650" s="55">
        <v>3</v>
      </c>
      <c r="AF650" s="55">
        <f t="shared" si="174"/>
        <v>1</v>
      </c>
    </row>
    <row r="651" spans="1:32" s="55" customFormat="1" ht="30">
      <c r="A651" s="21" t="s">
        <v>2838</v>
      </c>
      <c r="B651" s="20">
        <v>11548</v>
      </c>
      <c r="C651" s="19" t="s">
        <v>1755</v>
      </c>
      <c r="D651" s="21" t="s">
        <v>44</v>
      </c>
      <c r="E651" s="21" t="s">
        <v>17</v>
      </c>
      <c r="F651" s="22">
        <v>3</v>
      </c>
      <c r="G651" s="22">
        <f t="shared" si="179"/>
        <v>39.967000000000006</v>
      </c>
      <c r="H651" s="22">
        <f t="shared" si="187"/>
        <v>50.68</v>
      </c>
      <c r="I651" s="147">
        <f t="shared" si="188"/>
        <v>152.04</v>
      </c>
      <c r="J651" s="148"/>
      <c r="K651" s="148"/>
      <c r="L651" s="148"/>
      <c r="M651" s="148">
        <v>44.52</v>
      </c>
      <c r="N651" s="148">
        <v>56.46</v>
      </c>
      <c r="O651" s="148">
        <v>169.38</v>
      </c>
      <c r="P651" s="494"/>
      <c r="Q651" s="147">
        <f t="shared" si="185"/>
        <v>0</v>
      </c>
      <c r="R651" s="148"/>
      <c r="S651" s="148">
        <f t="shared" si="186"/>
        <v>0</v>
      </c>
      <c r="T651" s="148">
        <f t="shared" si="176"/>
        <v>3</v>
      </c>
      <c r="U651" s="148">
        <f t="shared" si="175"/>
        <v>169.38</v>
      </c>
      <c r="V651" s="379"/>
      <c r="W651" s="379"/>
      <c r="X651" s="57">
        <f>'COMPOSIÇÃO DE CUSTOS'!G1067</f>
        <v>39.96</v>
      </c>
      <c r="Y651" s="334">
        <v>47.02</v>
      </c>
      <c r="Z651" s="58">
        <f t="shared" si="180"/>
        <v>-7.0529999999999973</v>
      </c>
      <c r="AA651" s="58">
        <f t="shared" si="181"/>
        <v>119.90100000000001</v>
      </c>
      <c r="AB651" s="58"/>
      <c r="AC651" s="58">
        <f t="shared" si="182"/>
        <v>152.04</v>
      </c>
      <c r="AD651" s="58" t="e">
        <f>IF(B651&lt;&gt;0,VLOOKUP(B651,#REF!,2,FALSE),"")</f>
        <v>#REF!</v>
      </c>
      <c r="AE651" s="55">
        <v>26</v>
      </c>
      <c r="AF651" s="55">
        <f t="shared" si="174"/>
        <v>23</v>
      </c>
    </row>
    <row r="652" spans="1:32" s="55" customFormat="1" ht="15" customHeight="1">
      <c r="A652" s="21" t="s">
        <v>2839</v>
      </c>
      <c r="B652" s="20" t="s">
        <v>2310</v>
      </c>
      <c r="C652" s="19" t="s">
        <v>244</v>
      </c>
      <c r="D652" s="21" t="s">
        <v>70</v>
      </c>
      <c r="E652" s="21" t="s">
        <v>52</v>
      </c>
      <c r="F652" s="22">
        <v>26</v>
      </c>
      <c r="G652" s="22">
        <f t="shared" si="179"/>
        <v>17.425000000000001</v>
      </c>
      <c r="H652" s="22">
        <f t="shared" si="187"/>
        <v>22.1</v>
      </c>
      <c r="I652" s="147">
        <f t="shared" si="188"/>
        <v>574.6</v>
      </c>
      <c r="J652" s="148"/>
      <c r="K652" s="148"/>
      <c r="L652" s="148"/>
      <c r="M652" s="148">
        <v>19.41</v>
      </c>
      <c r="N652" s="148">
        <v>24.61</v>
      </c>
      <c r="O652" s="148">
        <v>639.86</v>
      </c>
      <c r="P652" s="494"/>
      <c r="Q652" s="147">
        <f t="shared" si="185"/>
        <v>0</v>
      </c>
      <c r="R652" s="148"/>
      <c r="S652" s="148">
        <f t="shared" si="186"/>
        <v>0</v>
      </c>
      <c r="T652" s="148">
        <f t="shared" si="176"/>
        <v>26</v>
      </c>
      <c r="U652" s="148">
        <f t="shared" si="175"/>
        <v>639.86</v>
      </c>
      <c r="V652" s="379"/>
      <c r="W652" s="379"/>
      <c r="X652" s="57">
        <f>'COMPOSIÇÃO DE CUSTOS'!G1357</f>
        <v>19.059999999999999</v>
      </c>
      <c r="Y652" s="334">
        <v>20.5</v>
      </c>
      <c r="Z652" s="58">
        <f t="shared" si="180"/>
        <v>-3.0749999999999993</v>
      </c>
      <c r="AA652" s="58">
        <f t="shared" si="181"/>
        <v>453.05</v>
      </c>
      <c r="AB652" s="58"/>
      <c r="AC652" s="58">
        <f t="shared" si="182"/>
        <v>574.6</v>
      </c>
      <c r="AD652" s="58" t="e">
        <f>IF(B652&lt;&gt;0,VLOOKUP(B652,#REF!,2,FALSE),"")</f>
        <v>#REF!</v>
      </c>
      <c r="AF652" s="55">
        <f t="shared" si="174"/>
        <v>-26</v>
      </c>
    </row>
    <row r="653" spans="1:32" s="55" customFormat="1">
      <c r="A653" s="69" t="s">
        <v>1226</v>
      </c>
      <c r="B653" s="129"/>
      <c r="C653" s="229" t="s">
        <v>239</v>
      </c>
      <c r="D653" s="230"/>
      <c r="E653" s="230"/>
      <c r="F653" s="230"/>
      <c r="G653" s="22"/>
      <c r="H653" s="230"/>
      <c r="I653" s="445"/>
      <c r="J653" s="440"/>
      <c r="K653" s="440"/>
      <c r="L653" s="440"/>
      <c r="M653" s="440"/>
      <c r="N653" s="440"/>
      <c r="O653" s="440"/>
      <c r="P653" s="492"/>
      <c r="Q653" s="147">
        <f t="shared" si="185"/>
        <v>0</v>
      </c>
      <c r="R653" s="440"/>
      <c r="S653" s="148">
        <f t="shared" si="186"/>
        <v>0</v>
      </c>
      <c r="T653" s="148" t="str">
        <f t="shared" si="176"/>
        <v xml:space="preserve"> </v>
      </c>
      <c r="U653" s="148">
        <f t="shared" si="175"/>
        <v>0</v>
      </c>
      <c r="V653" s="330"/>
      <c r="W653" s="330"/>
      <c r="X653" s="57" t="str">
        <f>IF(B653&lt;&gt;0,VLOOKUP(B653,#REF!,4,FALSE),"")</f>
        <v/>
      </c>
      <c r="Y653" s="334" t="s">
        <v>1891</v>
      </c>
      <c r="Z653" s="58"/>
      <c r="AA653" s="58">
        <f t="shared" si="181"/>
        <v>0</v>
      </c>
      <c r="AB653" s="58"/>
      <c r="AC653" s="58">
        <f t="shared" si="182"/>
        <v>0</v>
      </c>
      <c r="AD653" s="58" t="str">
        <f>IF(B653&lt;&gt;0,VLOOKUP(B653,#REF!,2,FALSE),"")</f>
        <v/>
      </c>
      <c r="AE653" s="55">
        <v>10</v>
      </c>
      <c r="AF653" s="55">
        <f t="shared" si="174"/>
        <v>10</v>
      </c>
    </row>
    <row r="654" spans="1:32" s="55" customFormat="1" ht="30">
      <c r="A654" s="21" t="s">
        <v>1227</v>
      </c>
      <c r="B654" s="20">
        <v>7384</v>
      </c>
      <c r="C654" s="19" t="s">
        <v>229</v>
      </c>
      <c r="D654" s="21" t="s">
        <v>44</v>
      </c>
      <c r="E654" s="21" t="s">
        <v>52</v>
      </c>
      <c r="F654" s="22">
        <v>10</v>
      </c>
      <c r="G654" s="22">
        <f t="shared" si="179"/>
        <v>19.244</v>
      </c>
      <c r="H654" s="22">
        <f>ROUND(G654*(1+$X$13),2)</f>
        <v>24.4</v>
      </c>
      <c r="I654" s="147">
        <f>ROUND(H654*F654,2)</f>
        <v>244</v>
      </c>
      <c r="J654" s="148"/>
      <c r="K654" s="148"/>
      <c r="L654" s="148"/>
      <c r="M654" s="148">
        <v>21.44</v>
      </c>
      <c r="N654" s="148">
        <v>27.19</v>
      </c>
      <c r="O654" s="148">
        <v>271.89999999999998</v>
      </c>
      <c r="P654" s="494"/>
      <c r="Q654" s="147">
        <f t="shared" si="185"/>
        <v>0</v>
      </c>
      <c r="R654" s="148"/>
      <c r="S654" s="148">
        <f t="shared" si="186"/>
        <v>0</v>
      </c>
      <c r="T654" s="148">
        <f t="shared" si="176"/>
        <v>10</v>
      </c>
      <c r="U654" s="148">
        <f t="shared" si="175"/>
        <v>271.89999999999998</v>
      </c>
      <c r="V654" s="379"/>
      <c r="W654" s="379"/>
      <c r="X654" s="57">
        <f>'COMPOSIÇÃO DE CUSTOS'!G1195</f>
        <v>19.25</v>
      </c>
      <c r="Y654" s="334">
        <v>22.64</v>
      </c>
      <c r="Z654" s="58">
        <f t="shared" si="180"/>
        <v>-3.3960000000000008</v>
      </c>
      <c r="AA654" s="58">
        <f t="shared" si="181"/>
        <v>192.44</v>
      </c>
      <c r="AB654" s="58"/>
      <c r="AC654" s="58">
        <f t="shared" si="182"/>
        <v>244</v>
      </c>
      <c r="AD654" s="58" t="e">
        <f>IF(B654&lt;&gt;0,VLOOKUP(B654,#REF!,2,FALSE),"")</f>
        <v>#REF!</v>
      </c>
      <c r="AE654" s="55">
        <v>19</v>
      </c>
      <c r="AF654" s="55">
        <f t="shared" si="174"/>
        <v>9</v>
      </c>
    </row>
    <row r="655" spans="1:32" s="55" customFormat="1" ht="30">
      <c r="A655" s="21" t="s">
        <v>1228</v>
      </c>
      <c r="B655" s="20">
        <v>7879</v>
      </c>
      <c r="C655" s="19" t="s">
        <v>2840</v>
      </c>
      <c r="D655" s="21" t="s">
        <v>44</v>
      </c>
      <c r="E655" s="21" t="s">
        <v>17</v>
      </c>
      <c r="F655" s="22">
        <v>19</v>
      </c>
      <c r="G655" s="22">
        <f t="shared" si="179"/>
        <v>9.4945000000000004</v>
      </c>
      <c r="H655" s="22">
        <f>ROUND(G655*(1+$X$13),2)</f>
        <v>12.04</v>
      </c>
      <c r="I655" s="147">
        <f>ROUND(H655*F655,2)</f>
        <v>228.76</v>
      </c>
      <c r="J655" s="148"/>
      <c r="K655" s="148"/>
      <c r="L655" s="148"/>
      <c r="M655" s="148">
        <v>10.58</v>
      </c>
      <c r="N655" s="148">
        <v>13.42</v>
      </c>
      <c r="O655" s="148">
        <v>254.98</v>
      </c>
      <c r="P655" s="494"/>
      <c r="Q655" s="147">
        <f t="shared" si="185"/>
        <v>0</v>
      </c>
      <c r="R655" s="148"/>
      <c r="S655" s="148">
        <f t="shared" si="186"/>
        <v>0</v>
      </c>
      <c r="T655" s="148">
        <f t="shared" si="176"/>
        <v>19</v>
      </c>
      <c r="U655" s="148">
        <f t="shared" si="175"/>
        <v>254.98</v>
      </c>
      <c r="V655" s="379"/>
      <c r="W655" s="379"/>
      <c r="X655" s="57">
        <f>'COMPOSIÇÃO DE CUSTOS'!G1258</f>
        <v>9.49</v>
      </c>
      <c r="Y655" s="334">
        <v>11.17</v>
      </c>
      <c r="Z655" s="58">
        <f t="shared" si="180"/>
        <v>-1.6754999999999995</v>
      </c>
      <c r="AA655" s="58">
        <f t="shared" si="181"/>
        <v>180.3955</v>
      </c>
      <c r="AB655" s="58"/>
      <c r="AC655" s="58">
        <f t="shared" si="182"/>
        <v>228.76</v>
      </c>
      <c r="AD655" s="58" t="e">
        <f>IF(B655&lt;&gt;0,VLOOKUP(B655,#REF!,2,FALSE),"")</f>
        <v>#REF!</v>
      </c>
      <c r="AE655" s="55">
        <v>41</v>
      </c>
      <c r="AF655" s="55">
        <f t="shared" si="174"/>
        <v>22</v>
      </c>
    </row>
    <row r="656" spans="1:32" s="55" customFormat="1" ht="30">
      <c r="A656" s="21" t="s">
        <v>1229</v>
      </c>
      <c r="B656" s="20">
        <v>12573</v>
      </c>
      <c r="C656" s="19" t="s">
        <v>1760</v>
      </c>
      <c r="D656" s="21" t="s">
        <v>44</v>
      </c>
      <c r="E656" s="21" t="s">
        <v>17</v>
      </c>
      <c r="F656" s="22">
        <v>41</v>
      </c>
      <c r="G656" s="22">
        <f t="shared" si="179"/>
        <v>9.5794999999999995</v>
      </c>
      <c r="H656" s="22">
        <f>ROUND(G656*(1+$X$13),2)</f>
        <v>12.15</v>
      </c>
      <c r="I656" s="147">
        <f>ROUND(H656*F656,2)</f>
        <v>498.15</v>
      </c>
      <c r="J656" s="148"/>
      <c r="K656" s="148"/>
      <c r="L656" s="148"/>
      <c r="M656" s="148">
        <v>10.67</v>
      </c>
      <c r="N656" s="148">
        <v>13.53</v>
      </c>
      <c r="O656" s="148">
        <v>554.73</v>
      </c>
      <c r="P656" s="494"/>
      <c r="Q656" s="147">
        <f t="shared" si="185"/>
        <v>0</v>
      </c>
      <c r="R656" s="148"/>
      <c r="S656" s="148">
        <f t="shared" si="186"/>
        <v>0</v>
      </c>
      <c r="T656" s="148">
        <f t="shared" si="176"/>
        <v>41</v>
      </c>
      <c r="U656" s="148">
        <f t="shared" si="175"/>
        <v>554.73</v>
      </c>
      <c r="V656" s="379"/>
      <c r="W656" s="379"/>
      <c r="X656" s="57">
        <f>'COMPOSIÇÃO DE CUSTOS'!G1209</f>
        <v>9.58</v>
      </c>
      <c r="Y656" s="334">
        <v>11.27</v>
      </c>
      <c r="Z656" s="58">
        <f t="shared" si="180"/>
        <v>-1.6905000000000001</v>
      </c>
      <c r="AA656" s="58">
        <f t="shared" si="181"/>
        <v>392.7595</v>
      </c>
      <c r="AB656" s="58"/>
      <c r="AC656" s="58">
        <f t="shared" si="182"/>
        <v>498.15000000000003</v>
      </c>
      <c r="AD656" s="58" t="e">
        <f>IF(B656&lt;&gt;0,VLOOKUP(B656,#REF!,2,FALSE),"")</f>
        <v>#REF!</v>
      </c>
      <c r="AF656" s="55">
        <f t="shared" si="174"/>
        <v>-41</v>
      </c>
    </row>
    <row r="657" spans="1:32" s="55" customFormat="1">
      <c r="A657" s="69" t="s">
        <v>1233</v>
      </c>
      <c r="B657" s="129"/>
      <c r="C657" s="229" t="s">
        <v>240</v>
      </c>
      <c r="D657" s="230"/>
      <c r="E657" s="230"/>
      <c r="F657" s="230"/>
      <c r="G657" s="22"/>
      <c r="H657" s="230"/>
      <c r="I657" s="445"/>
      <c r="J657" s="440"/>
      <c r="K657" s="440"/>
      <c r="L657" s="440"/>
      <c r="M657" s="440"/>
      <c r="N657" s="440"/>
      <c r="O657" s="440"/>
      <c r="P657" s="492"/>
      <c r="Q657" s="147">
        <f t="shared" si="185"/>
        <v>0</v>
      </c>
      <c r="R657" s="440"/>
      <c r="S657" s="148">
        <f t="shared" si="186"/>
        <v>0</v>
      </c>
      <c r="T657" s="148" t="str">
        <f t="shared" si="176"/>
        <v xml:space="preserve"> </v>
      </c>
      <c r="U657" s="148">
        <f t="shared" si="175"/>
        <v>0</v>
      </c>
      <c r="V657" s="330"/>
      <c r="W657" s="330"/>
      <c r="X657" s="57" t="str">
        <f>IF(B657&lt;&gt;0,VLOOKUP(B657,#REF!,4,FALSE),"")</f>
        <v/>
      </c>
      <c r="Y657" s="334" t="s">
        <v>1891</v>
      </c>
      <c r="Z657" s="58"/>
      <c r="AA657" s="58">
        <f t="shared" si="181"/>
        <v>0</v>
      </c>
      <c r="AB657" s="58"/>
      <c r="AC657" s="58">
        <f t="shared" si="182"/>
        <v>0</v>
      </c>
      <c r="AD657" s="58" t="str">
        <f>IF(B657&lt;&gt;0,VLOOKUP(B657,#REF!,2,FALSE),"")</f>
        <v/>
      </c>
      <c r="AE657" s="55">
        <v>82</v>
      </c>
      <c r="AF657" s="55">
        <f t="shared" si="174"/>
        <v>82</v>
      </c>
    </row>
    <row r="658" spans="1:32" s="55" customFormat="1" ht="45">
      <c r="A658" s="21" t="s">
        <v>1234</v>
      </c>
      <c r="B658" s="20">
        <v>92008</v>
      </c>
      <c r="C658" s="19" t="s">
        <v>1711</v>
      </c>
      <c r="D658" s="21" t="s">
        <v>12</v>
      </c>
      <c r="E658" s="21" t="s">
        <v>17</v>
      </c>
      <c r="F658" s="22">
        <v>82</v>
      </c>
      <c r="G658" s="22">
        <f t="shared" si="179"/>
        <v>29.6905</v>
      </c>
      <c r="H658" s="22">
        <f t="shared" ref="H658:H666" si="189">ROUND(G658*(1+$X$13),2)</f>
        <v>37.65</v>
      </c>
      <c r="I658" s="147">
        <f t="shared" ref="I658:I666" si="190">ROUND(H658*F658,2)</f>
        <v>3087.3</v>
      </c>
      <c r="J658" s="148"/>
      <c r="K658" s="148"/>
      <c r="L658" s="148"/>
      <c r="M658" s="148">
        <v>33.08</v>
      </c>
      <c r="N658" s="148">
        <v>41.95</v>
      </c>
      <c r="O658" s="148">
        <v>3439.9</v>
      </c>
      <c r="P658" s="494"/>
      <c r="Q658" s="147">
        <f t="shared" si="185"/>
        <v>0</v>
      </c>
      <c r="R658" s="148"/>
      <c r="S658" s="148">
        <f t="shared" si="186"/>
        <v>0</v>
      </c>
      <c r="T658" s="148">
        <f t="shared" si="176"/>
        <v>82</v>
      </c>
      <c r="U658" s="148">
        <f t="shared" si="175"/>
        <v>3439.9</v>
      </c>
      <c r="V658" s="379"/>
      <c r="W658" s="379"/>
      <c r="X658" s="57" t="e">
        <f>IF(B658&lt;&gt;0,VLOOKUP(B658,#REF!,4,FALSE),"")</f>
        <v>#REF!</v>
      </c>
      <c r="Y658" s="334" t="s">
        <v>3163</v>
      </c>
      <c r="Z658" s="58">
        <f t="shared" si="180"/>
        <v>-5.2394999999999996</v>
      </c>
      <c r="AA658" s="58">
        <f t="shared" si="181"/>
        <v>2434.6210000000001</v>
      </c>
      <c r="AB658" s="58"/>
      <c r="AC658" s="58">
        <f t="shared" si="182"/>
        <v>3087.2999999999997</v>
      </c>
      <c r="AD658" s="58" t="e">
        <f>IF(B658&lt;&gt;0,VLOOKUP(B658,#REF!,2,FALSE),"")</f>
        <v>#REF!</v>
      </c>
      <c r="AE658" s="55">
        <v>31</v>
      </c>
      <c r="AF658" s="55">
        <f t="shared" si="174"/>
        <v>-51</v>
      </c>
    </row>
    <row r="659" spans="1:32" s="55" customFormat="1" ht="45">
      <c r="A659" s="21" t="s">
        <v>1235</v>
      </c>
      <c r="B659" s="20">
        <v>91996</v>
      </c>
      <c r="C659" s="19" t="s">
        <v>1719</v>
      </c>
      <c r="D659" s="21" t="s">
        <v>12</v>
      </c>
      <c r="E659" s="21" t="s">
        <v>17</v>
      </c>
      <c r="F659" s="22">
        <v>31</v>
      </c>
      <c r="G659" s="22">
        <f t="shared" si="179"/>
        <v>20.433999999999997</v>
      </c>
      <c r="H659" s="22">
        <f t="shared" si="189"/>
        <v>25.91</v>
      </c>
      <c r="I659" s="147">
        <f t="shared" si="190"/>
        <v>803.21</v>
      </c>
      <c r="J659" s="148"/>
      <c r="K659" s="148"/>
      <c r="L659" s="148"/>
      <c r="M659" s="148">
        <v>22.76</v>
      </c>
      <c r="N659" s="148">
        <v>28.86</v>
      </c>
      <c r="O659" s="148">
        <v>894.66</v>
      </c>
      <c r="P659" s="494"/>
      <c r="Q659" s="147">
        <f t="shared" si="185"/>
        <v>0</v>
      </c>
      <c r="R659" s="148"/>
      <c r="S659" s="148">
        <f t="shared" si="186"/>
        <v>0</v>
      </c>
      <c r="T659" s="148">
        <f t="shared" si="176"/>
        <v>31</v>
      </c>
      <c r="U659" s="148">
        <f t="shared" si="175"/>
        <v>894.66</v>
      </c>
      <c r="V659" s="379"/>
      <c r="W659" s="379"/>
      <c r="X659" s="57" t="e">
        <f>IF(B659&lt;&gt;0,VLOOKUP(B659,#REF!,4,FALSE),"")</f>
        <v>#REF!</v>
      </c>
      <c r="Y659" s="334" t="s">
        <v>3162</v>
      </c>
      <c r="Z659" s="58">
        <f t="shared" si="180"/>
        <v>-3.6060000000000016</v>
      </c>
      <c r="AA659" s="58">
        <f t="shared" si="181"/>
        <v>633.45399999999995</v>
      </c>
      <c r="AB659" s="58"/>
      <c r="AC659" s="58">
        <f t="shared" si="182"/>
        <v>803.21</v>
      </c>
      <c r="AD659" s="58" t="e">
        <f>IF(B659&lt;&gt;0,VLOOKUP(B659,#REF!,2,FALSE),"")</f>
        <v>#REF!</v>
      </c>
      <c r="AE659" s="55">
        <v>3</v>
      </c>
      <c r="AF659" s="55">
        <f t="shared" ref="AF659:AF722" si="191">AE659-F659</f>
        <v>-28</v>
      </c>
    </row>
    <row r="660" spans="1:32" s="55" customFormat="1" ht="45">
      <c r="A660" s="21" t="s">
        <v>1236</v>
      </c>
      <c r="B660" s="20">
        <v>92004</v>
      </c>
      <c r="C660" s="19" t="s">
        <v>1720</v>
      </c>
      <c r="D660" s="21" t="s">
        <v>12</v>
      </c>
      <c r="E660" s="21" t="s">
        <v>17</v>
      </c>
      <c r="F660" s="22">
        <v>3</v>
      </c>
      <c r="G660" s="22">
        <f t="shared" si="179"/>
        <v>33.651500000000006</v>
      </c>
      <c r="H660" s="22">
        <f t="shared" si="189"/>
        <v>42.67</v>
      </c>
      <c r="I660" s="147">
        <f t="shared" si="190"/>
        <v>128.01</v>
      </c>
      <c r="J660" s="148"/>
      <c r="K660" s="148"/>
      <c r="L660" s="148"/>
      <c r="M660" s="148">
        <v>37.49</v>
      </c>
      <c r="N660" s="148">
        <v>47.54</v>
      </c>
      <c r="O660" s="148">
        <v>142.62</v>
      </c>
      <c r="P660" s="494"/>
      <c r="Q660" s="147">
        <f t="shared" si="185"/>
        <v>0</v>
      </c>
      <c r="R660" s="148"/>
      <c r="S660" s="148">
        <f t="shared" si="186"/>
        <v>0</v>
      </c>
      <c r="T660" s="148">
        <f t="shared" si="176"/>
        <v>3</v>
      </c>
      <c r="U660" s="148">
        <f t="shared" si="175"/>
        <v>142.62</v>
      </c>
      <c r="V660" s="379"/>
      <c r="W660" s="379"/>
      <c r="X660" s="57" t="e">
        <f>IF(B660&lt;&gt;0,VLOOKUP(B660,#REF!,4,FALSE),"")</f>
        <v>#REF!</v>
      </c>
      <c r="Y660" s="334" t="s">
        <v>3105</v>
      </c>
      <c r="Z660" s="58">
        <f t="shared" si="180"/>
        <v>-5.9384999999999977</v>
      </c>
      <c r="AA660" s="58">
        <f t="shared" si="181"/>
        <v>100.95450000000002</v>
      </c>
      <c r="AB660" s="58"/>
      <c r="AC660" s="58">
        <f t="shared" si="182"/>
        <v>128.01</v>
      </c>
      <c r="AD660" s="58" t="e">
        <f>IF(B660&lt;&gt;0,VLOOKUP(B660,#REF!,2,FALSE),"")</f>
        <v>#REF!</v>
      </c>
      <c r="AE660" s="55">
        <v>24</v>
      </c>
      <c r="AF660" s="55">
        <f t="shared" si="191"/>
        <v>21</v>
      </c>
    </row>
    <row r="661" spans="1:32" s="55" customFormat="1" ht="45">
      <c r="A661" s="21" t="s">
        <v>1237</v>
      </c>
      <c r="B661" s="20">
        <v>91992</v>
      </c>
      <c r="C661" s="19" t="s">
        <v>1712</v>
      </c>
      <c r="D661" s="21" t="s">
        <v>12</v>
      </c>
      <c r="E661" s="21" t="s">
        <v>17</v>
      </c>
      <c r="F661" s="22">
        <v>24</v>
      </c>
      <c r="G661" s="22">
        <f t="shared" si="179"/>
        <v>25.533999999999999</v>
      </c>
      <c r="H661" s="22">
        <f t="shared" si="189"/>
        <v>32.380000000000003</v>
      </c>
      <c r="I661" s="147">
        <f t="shared" si="190"/>
        <v>777.12</v>
      </c>
      <c r="J661" s="148"/>
      <c r="K661" s="148"/>
      <c r="L661" s="148"/>
      <c r="M661" s="148">
        <v>28.45</v>
      </c>
      <c r="N661" s="148">
        <v>36.08</v>
      </c>
      <c r="O661" s="148">
        <v>865.92</v>
      </c>
      <c r="P661" s="494"/>
      <c r="Q661" s="147">
        <f t="shared" si="185"/>
        <v>0</v>
      </c>
      <c r="R661" s="148"/>
      <c r="S661" s="148">
        <f t="shared" si="186"/>
        <v>0</v>
      </c>
      <c r="T661" s="148">
        <f t="shared" si="176"/>
        <v>24</v>
      </c>
      <c r="U661" s="148">
        <f t="shared" si="175"/>
        <v>865.92</v>
      </c>
      <c r="V661" s="379"/>
      <c r="W661" s="379"/>
      <c r="X661" s="57" t="e">
        <f>IF(B661&lt;&gt;0,VLOOKUP(B661,#REF!,4,FALSE),"")</f>
        <v>#REF!</v>
      </c>
      <c r="Y661" s="334" t="s">
        <v>3161</v>
      </c>
      <c r="Z661" s="58">
        <f t="shared" si="180"/>
        <v>-4.5060000000000002</v>
      </c>
      <c r="AA661" s="58">
        <f t="shared" si="181"/>
        <v>612.81600000000003</v>
      </c>
      <c r="AB661" s="58"/>
      <c r="AC661" s="58">
        <f t="shared" si="182"/>
        <v>777.12000000000012</v>
      </c>
      <c r="AD661" s="58" t="e">
        <f>IF(B661&lt;&gt;0,VLOOKUP(B661,#REF!,2,FALSE),"")</f>
        <v>#REF!</v>
      </c>
      <c r="AE661" s="55">
        <v>25</v>
      </c>
      <c r="AF661" s="55">
        <f t="shared" si="191"/>
        <v>1</v>
      </c>
    </row>
    <row r="662" spans="1:32" s="38" customFormat="1" ht="45">
      <c r="A662" s="447" t="s">
        <v>1238</v>
      </c>
      <c r="B662" s="448">
        <v>91953</v>
      </c>
      <c r="C662" s="449" t="s">
        <v>1721</v>
      </c>
      <c r="D662" s="447" t="s">
        <v>12</v>
      </c>
      <c r="E662" s="447" t="s">
        <v>17</v>
      </c>
      <c r="F662" s="450">
        <v>25</v>
      </c>
      <c r="G662" s="450">
        <f t="shared" si="179"/>
        <v>17.391000000000002</v>
      </c>
      <c r="H662" s="450">
        <f t="shared" si="189"/>
        <v>22.05</v>
      </c>
      <c r="I662" s="451">
        <f t="shared" si="190"/>
        <v>551.25</v>
      </c>
      <c r="J662" s="452"/>
      <c r="K662" s="452"/>
      <c r="L662" s="452"/>
      <c r="M662" s="452">
        <v>19.37</v>
      </c>
      <c r="N662" s="452">
        <v>24.56</v>
      </c>
      <c r="O662" s="452">
        <v>614</v>
      </c>
      <c r="P662" s="493">
        <v>2</v>
      </c>
      <c r="Q662" s="451">
        <f t="shared" si="185"/>
        <v>49.12</v>
      </c>
      <c r="R662" s="452"/>
      <c r="S662" s="452">
        <f t="shared" si="186"/>
        <v>0</v>
      </c>
      <c r="T662" s="452">
        <f t="shared" si="176"/>
        <v>27</v>
      </c>
      <c r="U662" s="452">
        <f t="shared" si="175"/>
        <v>663.12</v>
      </c>
      <c r="V662" s="453"/>
      <c r="W662" s="453"/>
      <c r="X662" s="42" t="e">
        <f>IF(B662&lt;&gt;0,VLOOKUP(B662,#REF!,4,FALSE),"")</f>
        <v>#REF!</v>
      </c>
      <c r="Y662" s="336" t="s">
        <v>1879</v>
      </c>
      <c r="Z662" s="39">
        <f t="shared" si="180"/>
        <v>-3.0689999999999991</v>
      </c>
      <c r="AA662" s="39">
        <f t="shared" si="181"/>
        <v>434.77500000000003</v>
      </c>
      <c r="AB662" s="39"/>
      <c r="AC662" s="39">
        <f t="shared" si="182"/>
        <v>551.25</v>
      </c>
      <c r="AD662" s="39" t="e">
        <f>IF(B662&lt;&gt;0,VLOOKUP(B662,#REF!,2,FALSE),"")</f>
        <v>#REF!</v>
      </c>
      <c r="AE662" s="38">
        <v>5</v>
      </c>
      <c r="AF662" s="38">
        <f t="shared" si="191"/>
        <v>-20</v>
      </c>
    </row>
    <row r="663" spans="1:32" s="55" customFormat="1" ht="45">
      <c r="A663" s="21" t="s">
        <v>1239</v>
      </c>
      <c r="B663" s="20">
        <v>91959</v>
      </c>
      <c r="C663" s="19" t="s">
        <v>1722</v>
      </c>
      <c r="D663" s="21" t="s">
        <v>12</v>
      </c>
      <c r="E663" s="21" t="s">
        <v>17</v>
      </c>
      <c r="F663" s="22">
        <v>5</v>
      </c>
      <c r="G663" s="22">
        <f t="shared" si="179"/>
        <v>27.591000000000001</v>
      </c>
      <c r="H663" s="22">
        <f t="shared" si="189"/>
        <v>34.99</v>
      </c>
      <c r="I663" s="147">
        <f t="shared" si="190"/>
        <v>174.95</v>
      </c>
      <c r="J663" s="148"/>
      <c r="K663" s="148"/>
      <c r="L663" s="148"/>
      <c r="M663" s="148">
        <v>30.74</v>
      </c>
      <c r="N663" s="148">
        <v>38.979999999999997</v>
      </c>
      <c r="O663" s="148">
        <v>194.9</v>
      </c>
      <c r="P663" s="494"/>
      <c r="Q663" s="147">
        <f t="shared" si="185"/>
        <v>0</v>
      </c>
      <c r="R663" s="148"/>
      <c r="S663" s="148">
        <f t="shared" si="186"/>
        <v>0</v>
      </c>
      <c r="T663" s="148">
        <f t="shared" si="176"/>
        <v>5</v>
      </c>
      <c r="U663" s="148">
        <f t="shared" si="175"/>
        <v>194.9</v>
      </c>
      <c r="V663" s="379"/>
      <c r="W663" s="379"/>
      <c r="X663" s="57" t="e">
        <f>IF(B663&lt;&gt;0,VLOOKUP(B663,#REF!,4,FALSE),"")</f>
        <v>#REF!</v>
      </c>
      <c r="Y663" s="334" t="s">
        <v>3157</v>
      </c>
      <c r="Z663" s="58">
        <f t="shared" si="180"/>
        <v>-4.8689999999999998</v>
      </c>
      <c r="AA663" s="58">
        <f t="shared" si="181"/>
        <v>137.95500000000001</v>
      </c>
      <c r="AB663" s="58"/>
      <c r="AC663" s="58">
        <f t="shared" si="182"/>
        <v>174.95000000000002</v>
      </c>
      <c r="AD663" s="58" t="e">
        <f>IF(B663&lt;&gt;0,VLOOKUP(B663,#REF!,2,FALSE),"")</f>
        <v>#REF!</v>
      </c>
      <c r="AE663" s="55">
        <v>8</v>
      </c>
      <c r="AF663" s="55">
        <f t="shared" si="191"/>
        <v>3</v>
      </c>
    </row>
    <row r="664" spans="1:32" s="55" customFormat="1" ht="45">
      <c r="A664" s="21" t="s">
        <v>1240</v>
      </c>
      <c r="B664" s="20">
        <v>91967</v>
      </c>
      <c r="C664" s="19" t="s">
        <v>1723</v>
      </c>
      <c r="D664" s="21" t="s">
        <v>12</v>
      </c>
      <c r="E664" s="21" t="s">
        <v>17</v>
      </c>
      <c r="F664" s="22">
        <v>8</v>
      </c>
      <c r="G664" s="22">
        <f t="shared" si="179"/>
        <v>37.791000000000004</v>
      </c>
      <c r="H664" s="22">
        <f t="shared" si="189"/>
        <v>47.92</v>
      </c>
      <c r="I664" s="147">
        <f t="shared" si="190"/>
        <v>383.36</v>
      </c>
      <c r="J664" s="148"/>
      <c r="K664" s="148"/>
      <c r="L664" s="148"/>
      <c r="M664" s="148">
        <v>42.1</v>
      </c>
      <c r="N664" s="148">
        <v>53.39</v>
      </c>
      <c r="O664" s="148">
        <v>427.12</v>
      </c>
      <c r="P664" s="494"/>
      <c r="Q664" s="147">
        <f t="shared" si="185"/>
        <v>0</v>
      </c>
      <c r="R664" s="148"/>
      <c r="S664" s="148">
        <f t="shared" si="186"/>
        <v>0</v>
      </c>
      <c r="T664" s="148">
        <f t="shared" si="176"/>
        <v>8</v>
      </c>
      <c r="U664" s="148">
        <f t="shared" si="175"/>
        <v>427.12</v>
      </c>
      <c r="V664" s="379"/>
      <c r="W664" s="379"/>
      <c r="X664" s="57" t="e">
        <f>IF(B664&lt;&gt;0,VLOOKUP(B664,#REF!,4,FALSE),"")</f>
        <v>#REF!</v>
      </c>
      <c r="Y664" s="334" t="s">
        <v>3159</v>
      </c>
      <c r="Z664" s="58">
        <f t="shared" si="180"/>
        <v>-6.6689999999999969</v>
      </c>
      <c r="AA664" s="58">
        <f t="shared" si="181"/>
        <v>302.32800000000003</v>
      </c>
      <c r="AB664" s="58"/>
      <c r="AC664" s="58">
        <f t="shared" si="182"/>
        <v>383.36</v>
      </c>
      <c r="AD664" s="58" t="e">
        <f>IF(B664&lt;&gt;0,VLOOKUP(B664,#REF!,2,FALSE),"")</f>
        <v>#REF!</v>
      </c>
      <c r="AE664" s="55">
        <v>2</v>
      </c>
      <c r="AF664" s="55">
        <f t="shared" si="191"/>
        <v>-6</v>
      </c>
    </row>
    <row r="665" spans="1:32" s="55" customFormat="1" ht="45">
      <c r="A665" s="21" t="s">
        <v>1241</v>
      </c>
      <c r="B665" s="20">
        <v>91955</v>
      </c>
      <c r="C665" s="19" t="s">
        <v>1724</v>
      </c>
      <c r="D665" s="21" t="s">
        <v>12</v>
      </c>
      <c r="E665" s="21" t="s">
        <v>17</v>
      </c>
      <c r="F665" s="22">
        <v>2</v>
      </c>
      <c r="G665" s="22">
        <f t="shared" si="179"/>
        <v>21.369</v>
      </c>
      <c r="H665" s="22">
        <f t="shared" si="189"/>
        <v>27.1</v>
      </c>
      <c r="I665" s="147">
        <f t="shared" si="190"/>
        <v>54.2</v>
      </c>
      <c r="J665" s="148"/>
      <c r="K665" s="148"/>
      <c r="L665" s="148"/>
      <c r="M665" s="148">
        <v>23.81</v>
      </c>
      <c r="N665" s="148">
        <v>30.19</v>
      </c>
      <c r="O665" s="148">
        <v>60.38</v>
      </c>
      <c r="P665" s="494"/>
      <c r="Q665" s="147">
        <f t="shared" si="185"/>
        <v>0</v>
      </c>
      <c r="R665" s="148"/>
      <c r="S665" s="148">
        <f t="shared" si="186"/>
        <v>0</v>
      </c>
      <c r="T665" s="148">
        <f t="shared" si="176"/>
        <v>2</v>
      </c>
      <c r="U665" s="148">
        <f t="shared" si="175"/>
        <v>60.38</v>
      </c>
      <c r="V665" s="379"/>
      <c r="W665" s="379"/>
      <c r="X665" s="57" t="e">
        <f>IF(B665&lt;&gt;0,VLOOKUP(B665,#REF!,4,FALSE),"")</f>
        <v>#REF!</v>
      </c>
      <c r="Y665" s="334" t="s">
        <v>1855</v>
      </c>
      <c r="Z665" s="58">
        <f t="shared" si="180"/>
        <v>-3.7710000000000008</v>
      </c>
      <c r="AA665" s="58">
        <f t="shared" si="181"/>
        <v>42.738</v>
      </c>
      <c r="AB665" s="58"/>
      <c r="AC665" s="58">
        <f t="shared" si="182"/>
        <v>54.2</v>
      </c>
      <c r="AD665" s="58" t="e">
        <f>IF(B665&lt;&gt;0,VLOOKUP(B665,#REF!,2,FALSE),"")</f>
        <v>#REF!</v>
      </c>
      <c r="AE665" s="55">
        <v>1</v>
      </c>
      <c r="AF665" s="55">
        <f t="shared" si="191"/>
        <v>-1</v>
      </c>
    </row>
    <row r="666" spans="1:32" s="55" customFormat="1" ht="45">
      <c r="A666" s="21" t="s">
        <v>1242</v>
      </c>
      <c r="B666" s="20">
        <v>92000</v>
      </c>
      <c r="C666" s="19" t="s">
        <v>1718</v>
      </c>
      <c r="D666" s="21" t="s">
        <v>12</v>
      </c>
      <c r="E666" s="21" t="s">
        <v>17</v>
      </c>
      <c r="F666" s="22">
        <v>1</v>
      </c>
      <c r="G666" s="22">
        <f t="shared" si="179"/>
        <v>18.453500000000002</v>
      </c>
      <c r="H666" s="22">
        <f t="shared" si="189"/>
        <v>23.4</v>
      </c>
      <c r="I666" s="147">
        <f t="shared" si="190"/>
        <v>23.4</v>
      </c>
      <c r="J666" s="148"/>
      <c r="K666" s="148"/>
      <c r="L666" s="148"/>
      <c r="M666" s="148">
        <v>20.56</v>
      </c>
      <c r="N666" s="148">
        <v>26.07</v>
      </c>
      <c r="O666" s="148">
        <v>26.07</v>
      </c>
      <c r="P666" s="494"/>
      <c r="Q666" s="147">
        <f t="shared" si="185"/>
        <v>0</v>
      </c>
      <c r="R666" s="148"/>
      <c r="S666" s="148">
        <f t="shared" si="186"/>
        <v>0</v>
      </c>
      <c r="T666" s="148">
        <f t="shared" si="176"/>
        <v>1</v>
      </c>
      <c r="U666" s="148">
        <f t="shared" si="175"/>
        <v>26.07</v>
      </c>
      <c r="V666" s="379"/>
      <c r="W666" s="379"/>
      <c r="X666" s="57" t="e">
        <f>IF(B666&lt;&gt;0,VLOOKUP(B666,#REF!,4,FALSE),"")</f>
        <v>#REF!</v>
      </c>
      <c r="Y666" s="334" t="s">
        <v>3116</v>
      </c>
      <c r="Z666" s="58">
        <f t="shared" si="180"/>
        <v>-3.2564999999999991</v>
      </c>
      <c r="AA666" s="58">
        <f t="shared" si="181"/>
        <v>18.453500000000002</v>
      </c>
      <c r="AB666" s="58"/>
      <c r="AC666" s="58">
        <f t="shared" si="182"/>
        <v>23.4</v>
      </c>
      <c r="AD666" s="58" t="e">
        <f>IF(B666&lt;&gt;0,VLOOKUP(B666,#REF!,2,FALSE),"")</f>
        <v>#REF!</v>
      </c>
      <c r="AF666" s="55">
        <f t="shared" si="191"/>
        <v>-1</v>
      </c>
    </row>
    <row r="667" spans="1:32" s="55" customFormat="1">
      <c r="A667" s="69" t="s">
        <v>1244</v>
      </c>
      <c r="B667" s="129"/>
      <c r="C667" s="229" t="s">
        <v>214</v>
      </c>
      <c r="D667" s="230"/>
      <c r="E667" s="230"/>
      <c r="F667" s="230"/>
      <c r="G667" s="22"/>
      <c r="H667" s="230"/>
      <c r="I667" s="445"/>
      <c r="J667" s="440"/>
      <c r="K667" s="440"/>
      <c r="L667" s="440"/>
      <c r="M667" s="440"/>
      <c r="N667" s="440"/>
      <c r="O667" s="440"/>
      <c r="P667" s="492"/>
      <c r="Q667" s="147">
        <f t="shared" si="185"/>
        <v>0</v>
      </c>
      <c r="R667" s="440"/>
      <c r="S667" s="148">
        <f t="shared" si="186"/>
        <v>0</v>
      </c>
      <c r="T667" s="148" t="str">
        <f t="shared" si="176"/>
        <v xml:space="preserve"> </v>
      </c>
      <c r="U667" s="148">
        <f t="shared" si="175"/>
        <v>0</v>
      </c>
      <c r="V667" s="330"/>
      <c r="W667" s="330"/>
      <c r="X667" s="57" t="str">
        <f>IF(B667&lt;&gt;0,VLOOKUP(B667,#REF!,4,FALSE),"")</f>
        <v/>
      </c>
      <c r="Y667" s="334" t="s">
        <v>1891</v>
      </c>
      <c r="Z667" s="58"/>
      <c r="AA667" s="58">
        <f t="shared" si="181"/>
        <v>0</v>
      </c>
      <c r="AB667" s="58"/>
      <c r="AC667" s="58">
        <f t="shared" si="182"/>
        <v>0</v>
      </c>
      <c r="AD667" s="58" t="str">
        <f>IF(B667&lt;&gt;0,VLOOKUP(B667,#REF!,2,FALSE),"")</f>
        <v/>
      </c>
      <c r="AE667" s="55">
        <v>6487</v>
      </c>
      <c r="AF667" s="55">
        <f t="shared" si="191"/>
        <v>6487</v>
      </c>
    </row>
    <row r="668" spans="1:32" s="55" customFormat="1" ht="45">
      <c r="A668" s="21" t="s">
        <v>1245</v>
      </c>
      <c r="B668" s="20">
        <v>91926</v>
      </c>
      <c r="C668" s="19" t="s">
        <v>1713</v>
      </c>
      <c r="D668" s="21" t="s">
        <v>12</v>
      </c>
      <c r="E668" s="21" t="s">
        <v>52</v>
      </c>
      <c r="F668" s="22">
        <v>6487</v>
      </c>
      <c r="G668" s="22">
        <f t="shared" si="179"/>
        <v>3.0684999999999998</v>
      </c>
      <c r="H668" s="22">
        <f>ROUND(G668*(1+$X$13),2)</f>
        <v>3.89</v>
      </c>
      <c r="I668" s="147">
        <f>ROUND(H668*F668,2)</f>
        <v>25234.43</v>
      </c>
      <c r="J668" s="148"/>
      <c r="K668" s="148"/>
      <c r="L668" s="148"/>
      <c r="M668" s="148">
        <v>4.33</v>
      </c>
      <c r="N668" s="148">
        <v>5.49</v>
      </c>
      <c r="O668" s="148">
        <v>35613.629999999997</v>
      </c>
      <c r="P668" s="494"/>
      <c r="Q668" s="147">
        <f t="shared" si="185"/>
        <v>0</v>
      </c>
      <c r="R668" s="148"/>
      <c r="S668" s="148">
        <f t="shared" si="186"/>
        <v>0</v>
      </c>
      <c r="T668" s="148">
        <f t="shared" si="176"/>
        <v>6487</v>
      </c>
      <c r="U668" s="148">
        <f t="shared" si="175"/>
        <v>35613.629999999997</v>
      </c>
      <c r="V668" s="379"/>
      <c r="W668" s="379"/>
      <c r="X668" s="57" t="e">
        <f>IF(B668&lt;&gt;0,VLOOKUP(B668,#REF!,4,FALSE),"")</f>
        <v>#REF!</v>
      </c>
      <c r="Y668" s="334" t="s">
        <v>3104</v>
      </c>
      <c r="Z668" s="58">
        <f t="shared" si="180"/>
        <v>-0.54150000000000009</v>
      </c>
      <c r="AA668" s="58">
        <f t="shared" si="181"/>
        <v>19905.359499999999</v>
      </c>
      <c r="AB668" s="58"/>
      <c r="AC668" s="58">
        <f t="shared" si="182"/>
        <v>25234.43</v>
      </c>
      <c r="AD668" s="58" t="e">
        <f>IF(B668&lt;&gt;0,VLOOKUP(B668,#REF!,2,FALSE),"")</f>
        <v>#REF!</v>
      </c>
      <c r="AF668" s="55">
        <f t="shared" si="191"/>
        <v>-6487</v>
      </c>
    </row>
    <row r="669" spans="1:32" s="55" customFormat="1" ht="15" customHeight="1">
      <c r="A669" s="69" t="s">
        <v>1253</v>
      </c>
      <c r="B669" s="129"/>
      <c r="C669" s="229" t="s">
        <v>216</v>
      </c>
      <c r="D669" s="230"/>
      <c r="E669" s="230"/>
      <c r="F669" s="230"/>
      <c r="G669" s="22"/>
      <c r="H669" s="230"/>
      <c r="I669" s="445"/>
      <c r="J669" s="440"/>
      <c r="K669" s="440"/>
      <c r="L669" s="440"/>
      <c r="M669" s="440"/>
      <c r="N669" s="440"/>
      <c r="O669" s="440"/>
      <c r="P669" s="492"/>
      <c r="Q669" s="147">
        <f t="shared" si="185"/>
        <v>0</v>
      </c>
      <c r="R669" s="440"/>
      <c r="S669" s="148">
        <f t="shared" si="186"/>
        <v>0</v>
      </c>
      <c r="T669" s="148" t="str">
        <f t="shared" si="176"/>
        <v xml:space="preserve"> </v>
      </c>
      <c r="U669" s="148">
        <f t="shared" si="175"/>
        <v>0</v>
      </c>
      <c r="V669" s="330"/>
      <c r="W669" s="330"/>
      <c r="X669" s="57" t="str">
        <f>IF(B669&lt;&gt;0,VLOOKUP(B669,#REF!,4,FALSE),"")</f>
        <v/>
      </c>
      <c r="Y669" s="334" t="s">
        <v>1891</v>
      </c>
      <c r="Z669" s="58"/>
      <c r="AA669" s="58">
        <f t="shared" si="181"/>
        <v>0</v>
      </c>
      <c r="AB669" s="58"/>
      <c r="AC669" s="58">
        <f t="shared" si="182"/>
        <v>0</v>
      </c>
      <c r="AD669" s="58" t="str">
        <f>IF(B669&lt;&gt;0,VLOOKUP(B669,#REF!,2,FALSE),"")</f>
        <v/>
      </c>
      <c r="AE669" s="55">
        <v>4</v>
      </c>
      <c r="AF669" s="55">
        <f t="shared" si="191"/>
        <v>4</v>
      </c>
    </row>
    <row r="670" spans="1:32" s="55" customFormat="1" ht="45">
      <c r="A670" s="21" t="s">
        <v>1254</v>
      </c>
      <c r="B670" s="20">
        <v>95779</v>
      </c>
      <c r="C670" s="19" t="s">
        <v>1710</v>
      </c>
      <c r="D670" s="21" t="s">
        <v>12</v>
      </c>
      <c r="E670" s="21" t="s">
        <v>17</v>
      </c>
      <c r="F670" s="22">
        <v>4</v>
      </c>
      <c r="G670" s="22">
        <f t="shared" si="179"/>
        <v>17.442</v>
      </c>
      <c r="H670" s="22">
        <f t="shared" ref="H670:H678" si="192">ROUND(G670*(1+$X$13),2)</f>
        <v>22.12</v>
      </c>
      <c r="I670" s="147">
        <f t="shared" ref="I670:I678" si="193">ROUND(H670*F670,2)</f>
        <v>88.48</v>
      </c>
      <c r="J670" s="148"/>
      <c r="K670" s="148"/>
      <c r="L670" s="148"/>
      <c r="M670" s="148">
        <v>19.43</v>
      </c>
      <c r="N670" s="148">
        <v>24.64</v>
      </c>
      <c r="O670" s="148">
        <v>98.56</v>
      </c>
      <c r="P670" s="494"/>
      <c r="Q670" s="147">
        <f t="shared" si="185"/>
        <v>0</v>
      </c>
      <c r="R670" s="148"/>
      <c r="S670" s="148">
        <f t="shared" si="186"/>
        <v>0</v>
      </c>
      <c r="T670" s="148">
        <f t="shared" si="176"/>
        <v>4</v>
      </c>
      <c r="U670" s="148">
        <f t="shared" si="175"/>
        <v>98.56</v>
      </c>
      <c r="V670" s="379"/>
      <c r="W670" s="379"/>
      <c r="X670" s="57" t="e">
        <f>IF(B670&lt;&gt;0,VLOOKUP(B670,#REF!,4,FALSE),"")</f>
        <v>#REF!</v>
      </c>
      <c r="Y670" s="334" t="s">
        <v>1899</v>
      </c>
      <c r="Z670" s="58">
        <f t="shared" si="180"/>
        <v>-3.0779999999999994</v>
      </c>
      <c r="AA670" s="58">
        <f t="shared" si="181"/>
        <v>69.768000000000001</v>
      </c>
      <c r="AB670" s="58"/>
      <c r="AC670" s="58">
        <f t="shared" si="182"/>
        <v>88.48</v>
      </c>
      <c r="AD670" s="58" t="e">
        <f>IF(B670&lt;&gt;0,VLOOKUP(B670,#REF!,2,FALSE),"")</f>
        <v>#REF!</v>
      </c>
      <c r="AE670" s="55">
        <v>4</v>
      </c>
      <c r="AF670" s="55">
        <f t="shared" si="191"/>
        <v>0</v>
      </c>
    </row>
    <row r="671" spans="1:32" s="55" customFormat="1" ht="45">
      <c r="A671" s="21" t="s">
        <v>1255</v>
      </c>
      <c r="B671" s="20">
        <v>95795</v>
      </c>
      <c r="C671" s="19" t="s">
        <v>1707</v>
      </c>
      <c r="D671" s="21" t="s">
        <v>12</v>
      </c>
      <c r="E671" s="21" t="s">
        <v>17</v>
      </c>
      <c r="F671" s="22">
        <v>4</v>
      </c>
      <c r="G671" s="22">
        <f t="shared" si="179"/>
        <v>21.488</v>
      </c>
      <c r="H671" s="22">
        <f t="shared" si="192"/>
        <v>27.25</v>
      </c>
      <c r="I671" s="147">
        <f t="shared" si="193"/>
        <v>109</v>
      </c>
      <c r="J671" s="148"/>
      <c r="K671" s="148"/>
      <c r="L671" s="148"/>
      <c r="M671" s="148">
        <v>23.94</v>
      </c>
      <c r="N671" s="148">
        <v>30.36</v>
      </c>
      <c r="O671" s="148">
        <v>121.44</v>
      </c>
      <c r="P671" s="494"/>
      <c r="Q671" s="147">
        <f t="shared" si="185"/>
        <v>0</v>
      </c>
      <c r="R671" s="148"/>
      <c r="S671" s="148">
        <f t="shared" si="186"/>
        <v>0</v>
      </c>
      <c r="T671" s="148">
        <f t="shared" si="176"/>
        <v>4</v>
      </c>
      <c r="U671" s="148">
        <f t="shared" si="175"/>
        <v>121.44</v>
      </c>
      <c r="V671" s="379"/>
      <c r="W671" s="379"/>
      <c r="X671" s="57" t="e">
        <f>IF(B671&lt;&gt;0,VLOOKUP(B671,#REF!,4,FALSE),"")</f>
        <v>#REF!</v>
      </c>
      <c r="Y671" s="334" t="s">
        <v>3235</v>
      </c>
      <c r="Z671" s="58">
        <f t="shared" si="180"/>
        <v>-3.7920000000000016</v>
      </c>
      <c r="AA671" s="58">
        <f t="shared" si="181"/>
        <v>85.951999999999998</v>
      </c>
      <c r="AB671" s="58"/>
      <c r="AC671" s="58">
        <f t="shared" si="182"/>
        <v>109</v>
      </c>
      <c r="AD671" s="58" t="e">
        <f>IF(B671&lt;&gt;0,VLOOKUP(B671,#REF!,2,FALSE),"")</f>
        <v>#REF!</v>
      </c>
      <c r="AE671" s="55">
        <v>7</v>
      </c>
      <c r="AF671" s="55">
        <f t="shared" si="191"/>
        <v>3</v>
      </c>
    </row>
    <row r="672" spans="1:32" ht="53.25" customHeight="1">
      <c r="A672" s="21" t="s">
        <v>1256</v>
      </c>
      <c r="B672" s="20">
        <v>95778</v>
      </c>
      <c r="C672" s="19" t="s">
        <v>1709</v>
      </c>
      <c r="D672" s="21" t="s">
        <v>12</v>
      </c>
      <c r="E672" s="21" t="s">
        <v>17</v>
      </c>
      <c r="F672" s="22">
        <v>7</v>
      </c>
      <c r="G672" s="22">
        <f t="shared" si="179"/>
        <v>19.3035</v>
      </c>
      <c r="H672" s="22">
        <f t="shared" si="192"/>
        <v>24.48</v>
      </c>
      <c r="I672" s="147">
        <f t="shared" si="193"/>
        <v>171.36</v>
      </c>
      <c r="J672" s="148"/>
      <c r="K672" s="148"/>
      <c r="L672" s="148"/>
      <c r="M672" s="148">
        <v>21.5</v>
      </c>
      <c r="N672" s="148">
        <v>27.26</v>
      </c>
      <c r="O672" s="148">
        <v>190.82</v>
      </c>
      <c r="P672" s="494"/>
      <c r="Q672" s="147">
        <f t="shared" si="185"/>
        <v>0</v>
      </c>
      <c r="R672" s="148"/>
      <c r="S672" s="148">
        <f t="shared" si="186"/>
        <v>0</v>
      </c>
      <c r="T672" s="148">
        <f t="shared" si="176"/>
        <v>7</v>
      </c>
      <c r="U672" s="148">
        <f t="shared" si="175"/>
        <v>190.82</v>
      </c>
      <c r="V672" s="379"/>
      <c r="W672" s="379"/>
      <c r="X672" s="57" t="e">
        <f>IF(B672&lt;&gt;0,VLOOKUP(B672,#REF!,4,FALSE),"")</f>
        <v>#REF!</v>
      </c>
      <c r="Y672" s="334" t="s">
        <v>3134</v>
      </c>
      <c r="Z672" s="58">
        <f t="shared" si="180"/>
        <v>-3.4065000000000012</v>
      </c>
      <c r="AA672" s="58">
        <f t="shared" si="181"/>
        <v>135.12450000000001</v>
      </c>
      <c r="AB672" s="58"/>
      <c r="AC672" s="58">
        <f t="shared" si="182"/>
        <v>171.36</v>
      </c>
      <c r="AD672" s="58" t="e">
        <f>IF(B672&lt;&gt;0,VLOOKUP(B672,#REF!,2,FALSE),"")</f>
        <v>#REF!</v>
      </c>
      <c r="AE672" s="2">
        <v>5</v>
      </c>
      <c r="AF672" s="55">
        <f t="shared" si="191"/>
        <v>-2</v>
      </c>
    </row>
    <row r="673" spans="1:32" s="38" customFormat="1" ht="59.25" customHeight="1">
      <c r="A673" s="21" t="s">
        <v>1257</v>
      </c>
      <c r="B673" s="20">
        <v>95787</v>
      </c>
      <c r="C673" s="19" t="s">
        <v>1708</v>
      </c>
      <c r="D673" s="21" t="s">
        <v>12</v>
      </c>
      <c r="E673" s="21" t="s">
        <v>17</v>
      </c>
      <c r="F673" s="22">
        <v>5</v>
      </c>
      <c r="G673" s="22">
        <f t="shared" si="179"/>
        <v>18.614999999999998</v>
      </c>
      <c r="H673" s="22">
        <f t="shared" si="192"/>
        <v>23.61</v>
      </c>
      <c r="I673" s="147">
        <f t="shared" si="193"/>
        <v>118.05</v>
      </c>
      <c r="J673" s="148"/>
      <c r="K673" s="148"/>
      <c r="L673" s="148"/>
      <c r="M673" s="148">
        <v>20.74</v>
      </c>
      <c r="N673" s="148">
        <v>26.3</v>
      </c>
      <c r="O673" s="148">
        <v>131.5</v>
      </c>
      <c r="P673" s="494"/>
      <c r="Q673" s="147">
        <f t="shared" si="185"/>
        <v>0</v>
      </c>
      <c r="R673" s="148"/>
      <c r="S673" s="148">
        <f t="shared" si="186"/>
        <v>0</v>
      </c>
      <c r="T673" s="148">
        <f t="shared" si="176"/>
        <v>5</v>
      </c>
      <c r="U673" s="148">
        <f t="shared" ref="U673:U736" si="194">L673+Q673-S673+O673</f>
        <v>131.5</v>
      </c>
      <c r="V673" s="379"/>
      <c r="W673" s="379"/>
      <c r="X673" s="57" t="e">
        <f>IF(B673&lt;&gt;0,VLOOKUP(B673,#REF!,4,FALSE),"")</f>
        <v>#REF!</v>
      </c>
      <c r="Y673" s="334" t="s">
        <v>1887</v>
      </c>
      <c r="Z673" s="58">
        <f t="shared" si="180"/>
        <v>-3.2850000000000001</v>
      </c>
      <c r="AA673" s="58">
        <f t="shared" si="181"/>
        <v>93.074999999999989</v>
      </c>
      <c r="AB673" s="58"/>
      <c r="AC673" s="58">
        <f t="shared" si="182"/>
        <v>118.05</v>
      </c>
      <c r="AD673" s="58" t="e">
        <f>IF(B673&lt;&gt;0,VLOOKUP(B673,#REF!,2,FALSE),"")</f>
        <v>#REF!</v>
      </c>
      <c r="AE673" s="38">
        <v>149</v>
      </c>
      <c r="AF673" s="55">
        <f t="shared" si="191"/>
        <v>144</v>
      </c>
    </row>
    <row r="674" spans="1:32" s="55" customFormat="1" ht="48" customHeight="1">
      <c r="A674" s="21" t="s">
        <v>1258</v>
      </c>
      <c r="B674" s="20">
        <v>91936</v>
      </c>
      <c r="C674" s="19" t="s">
        <v>1726</v>
      </c>
      <c r="D674" s="21" t="s">
        <v>12</v>
      </c>
      <c r="E674" s="21" t="s">
        <v>17</v>
      </c>
      <c r="F674" s="22">
        <v>149</v>
      </c>
      <c r="G674" s="22">
        <f t="shared" si="179"/>
        <v>8.4065000000000012</v>
      </c>
      <c r="H674" s="22">
        <f t="shared" si="192"/>
        <v>10.66</v>
      </c>
      <c r="I674" s="147">
        <f t="shared" si="193"/>
        <v>1588.34</v>
      </c>
      <c r="J674" s="148"/>
      <c r="K674" s="148"/>
      <c r="L674" s="148"/>
      <c r="M674" s="148">
        <v>9.36</v>
      </c>
      <c r="N674" s="148">
        <v>11.87</v>
      </c>
      <c r="O674" s="148">
        <v>1768.63</v>
      </c>
      <c r="P674" s="494"/>
      <c r="Q674" s="147">
        <f t="shared" si="185"/>
        <v>0</v>
      </c>
      <c r="R674" s="148"/>
      <c r="S674" s="148">
        <f t="shared" si="186"/>
        <v>0</v>
      </c>
      <c r="T674" s="148">
        <f t="shared" si="176"/>
        <v>149</v>
      </c>
      <c r="U674" s="148">
        <f t="shared" si="194"/>
        <v>1768.63</v>
      </c>
      <c r="V674" s="379"/>
      <c r="W674" s="379"/>
      <c r="X674" s="57" t="e">
        <f>IF(B674&lt;&gt;0,VLOOKUP(B674,#REF!,4,FALSE),"")</f>
        <v>#REF!</v>
      </c>
      <c r="Y674" s="334" t="s">
        <v>1898</v>
      </c>
      <c r="Z674" s="58">
        <f t="shared" si="180"/>
        <v>-1.4834999999999994</v>
      </c>
      <c r="AA674" s="58">
        <f t="shared" si="181"/>
        <v>1252.5685000000001</v>
      </c>
      <c r="AB674" s="58"/>
      <c r="AC674" s="58">
        <f t="shared" si="182"/>
        <v>1588.34</v>
      </c>
      <c r="AD674" s="58" t="e">
        <f>IF(B674&lt;&gt;0,VLOOKUP(B674,#REF!,2,FALSE),"")</f>
        <v>#REF!</v>
      </c>
      <c r="AE674" s="55">
        <v>83</v>
      </c>
      <c r="AF674" s="55">
        <f t="shared" si="191"/>
        <v>-66</v>
      </c>
    </row>
    <row r="675" spans="1:32" s="55" customFormat="1" ht="49.5" customHeight="1">
      <c r="A675" s="21" t="s">
        <v>1259</v>
      </c>
      <c r="B675" s="20">
        <v>91941</v>
      </c>
      <c r="C675" s="19" t="s">
        <v>1716</v>
      </c>
      <c r="D675" s="21" t="s">
        <v>12</v>
      </c>
      <c r="E675" s="21" t="s">
        <v>17</v>
      </c>
      <c r="F675" s="22">
        <v>83</v>
      </c>
      <c r="G675" s="22">
        <f t="shared" si="179"/>
        <v>6.0775000000000006</v>
      </c>
      <c r="H675" s="22">
        <f t="shared" si="192"/>
        <v>7.71</v>
      </c>
      <c r="I675" s="147">
        <f t="shared" si="193"/>
        <v>639.92999999999995</v>
      </c>
      <c r="J675" s="148"/>
      <c r="K675" s="148"/>
      <c r="L675" s="148"/>
      <c r="M675" s="148">
        <v>6.77</v>
      </c>
      <c r="N675" s="148">
        <v>8.59</v>
      </c>
      <c r="O675" s="148">
        <v>712.97</v>
      </c>
      <c r="P675" s="494"/>
      <c r="Q675" s="147">
        <f t="shared" si="185"/>
        <v>0</v>
      </c>
      <c r="R675" s="148"/>
      <c r="S675" s="148">
        <f t="shared" si="186"/>
        <v>0</v>
      </c>
      <c r="T675" s="148">
        <f t="shared" ref="T675:T738" si="195">IF(F675&gt;0,F675+P675-R675," ")</f>
        <v>83</v>
      </c>
      <c r="U675" s="148">
        <f t="shared" si="194"/>
        <v>712.97</v>
      </c>
      <c r="V675" s="379"/>
      <c r="W675" s="379"/>
      <c r="X675" s="57" t="e">
        <f>IF(B675&lt;&gt;0,VLOOKUP(B675,#REF!,4,FALSE),"")</f>
        <v>#REF!</v>
      </c>
      <c r="Y675" s="334" t="s">
        <v>3125</v>
      </c>
      <c r="Z675" s="58">
        <f t="shared" si="180"/>
        <v>-1.0724999999999998</v>
      </c>
      <c r="AA675" s="58">
        <f t="shared" si="181"/>
        <v>504.43250000000006</v>
      </c>
      <c r="AB675" s="58"/>
      <c r="AC675" s="58">
        <f t="shared" si="182"/>
        <v>639.92999999999995</v>
      </c>
      <c r="AD675" s="58" t="e">
        <f>IF(B675&lt;&gt;0,VLOOKUP(B675,#REF!,2,FALSE),"")</f>
        <v>#REF!</v>
      </c>
      <c r="AE675" s="55">
        <v>74</v>
      </c>
      <c r="AF675" s="55">
        <f t="shared" si="191"/>
        <v>-9</v>
      </c>
    </row>
    <row r="676" spans="1:32" s="55" customFormat="1" ht="45">
      <c r="A676" s="21" t="s">
        <v>1260</v>
      </c>
      <c r="B676" s="20">
        <v>91940</v>
      </c>
      <c r="C676" s="19" t="s">
        <v>1727</v>
      </c>
      <c r="D676" s="21" t="s">
        <v>12</v>
      </c>
      <c r="E676" s="21" t="s">
        <v>17</v>
      </c>
      <c r="F676" s="22">
        <v>74</v>
      </c>
      <c r="G676" s="22">
        <f t="shared" si="179"/>
        <v>8.8484999999999996</v>
      </c>
      <c r="H676" s="22">
        <f t="shared" si="192"/>
        <v>11.22</v>
      </c>
      <c r="I676" s="147">
        <f t="shared" si="193"/>
        <v>830.28</v>
      </c>
      <c r="J676" s="148"/>
      <c r="K676" s="148"/>
      <c r="L676" s="148"/>
      <c r="M676" s="148">
        <v>9.86</v>
      </c>
      <c r="N676" s="148">
        <v>12.5</v>
      </c>
      <c r="O676" s="148">
        <v>925</v>
      </c>
      <c r="P676" s="494"/>
      <c r="Q676" s="147">
        <f t="shared" si="185"/>
        <v>0</v>
      </c>
      <c r="R676" s="148"/>
      <c r="S676" s="148">
        <f t="shared" si="186"/>
        <v>0</v>
      </c>
      <c r="T676" s="148">
        <f t="shared" si="195"/>
        <v>74</v>
      </c>
      <c r="U676" s="148">
        <f t="shared" si="194"/>
        <v>925</v>
      </c>
      <c r="V676" s="379"/>
      <c r="W676" s="379"/>
      <c r="X676" s="57" t="e">
        <f>IF(B676&lt;&gt;0,VLOOKUP(B676,#REF!,4,FALSE),"")</f>
        <v>#REF!</v>
      </c>
      <c r="Y676" s="334" t="s">
        <v>3190</v>
      </c>
      <c r="Z676" s="58">
        <f t="shared" si="180"/>
        <v>-1.5615000000000006</v>
      </c>
      <c r="AA676" s="58">
        <f t="shared" si="181"/>
        <v>654.78899999999999</v>
      </c>
      <c r="AB676" s="58"/>
      <c r="AC676" s="58">
        <f t="shared" si="182"/>
        <v>830.28000000000009</v>
      </c>
      <c r="AD676" s="58" t="e">
        <f>IF(B676&lt;&gt;0,VLOOKUP(B676,#REF!,2,FALSE),"")</f>
        <v>#REF!</v>
      </c>
      <c r="AE676" s="55">
        <v>24</v>
      </c>
      <c r="AF676" s="55">
        <f t="shared" si="191"/>
        <v>-50</v>
      </c>
    </row>
    <row r="677" spans="1:32" s="55" customFormat="1" ht="45">
      <c r="A677" s="21" t="s">
        <v>1261</v>
      </c>
      <c r="B677" s="20">
        <v>91939</v>
      </c>
      <c r="C677" s="19" t="s">
        <v>1715</v>
      </c>
      <c r="D677" s="21" t="s">
        <v>12</v>
      </c>
      <c r="E677" s="21" t="s">
        <v>17</v>
      </c>
      <c r="F677" s="22">
        <v>24</v>
      </c>
      <c r="G677" s="22">
        <f t="shared" si="179"/>
        <v>16.234999999999999</v>
      </c>
      <c r="H677" s="22">
        <f t="shared" si="192"/>
        <v>20.59</v>
      </c>
      <c r="I677" s="147">
        <f t="shared" si="193"/>
        <v>494.16</v>
      </c>
      <c r="J677" s="148"/>
      <c r="K677" s="148"/>
      <c r="L677" s="148"/>
      <c r="M677" s="148">
        <v>18.09</v>
      </c>
      <c r="N677" s="148">
        <v>22.94</v>
      </c>
      <c r="O677" s="148">
        <v>550.55999999999995</v>
      </c>
      <c r="P677" s="494"/>
      <c r="Q677" s="147">
        <f t="shared" si="185"/>
        <v>0</v>
      </c>
      <c r="R677" s="148"/>
      <c r="S677" s="148">
        <f t="shared" si="186"/>
        <v>0</v>
      </c>
      <c r="T677" s="148">
        <f t="shared" si="195"/>
        <v>24</v>
      </c>
      <c r="U677" s="148">
        <f t="shared" si="194"/>
        <v>550.55999999999995</v>
      </c>
      <c r="V677" s="379"/>
      <c r="W677" s="379"/>
      <c r="X677" s="57" t="e">
        <f>IF(B677&lt;&gt;0,VLOOKUP(B677,#REF!,4,FALSE),"")</f>
        <v>#REF!</v>
      </c>
      <c r="Y677" s="334" t="s">
        <v>3233</v>
      </c>
      <c r="Z677" s="58">
        <f t="shared" si="180"/>
        <v>-2.865000000000002</v>
      </c>
      <c r="AA677" s="58">
        <f t="shared" si="181"/>
        <v>389.64</v>
      </c>
      <c r="AB677" s="58"/>
      <c r="AC677" s="58">
        <f t="shared" si="182"/>
        <v>494.15999999999997</v>
      </c>
      <c r="AD677" s="58" t="e">
        <f>IF(B677&lt;&gt;0,VLOOKUP(B677,#REF!,2,FALSE),"")</f>
        <v>#REF!</v>
      </c>
      <c r="AE677" s="55">
        <v>7</v>
      </c>
      <c r="AF677" s="55">
        <f t="shared" si="191"/>
        <v>-17</v>
      </c>
    </row>
    <row r="678" spans="1:32" s="55" customFormat="1" ht="45">
      <c r="A678" s="21" t="s">
        <v>1262</v>
      </c>
      <c r="B678" s="20">
        <v>91944</v>
      </c>
      <c r="C678" s="19" t="s">
        <v>1728</v>
      </c>
      <c r="D678" s="21" t="s">
        <v>12</v>
      </c>
      <c r="E678" s="21" t="s">
        <v>17</v>
      </c>
      <c r="F678" s="22">
        <v>7</v>
      </c>
      <c r="G678" s="22">
        <f t="shared" si="179"/>
        <v>8.5</v>
      </c>
      <c r="H678" s="22">
        <f t="shared" si="192"/>
        <v>10.78</v>
      </c>
      <c r="I678" s="147">
        <f t="shared" si="193"/>
        <v>75.459999999999994</v>
      </c>
      <c r="J678" s="148"/>
      <c r="K678" s="148"/>
      <c r="L678" s="148"/>
      <c r="M678" s="148">
        <v>9.4700000000000006</v>
      </c>
      <c r="N678" s="148">
        <v>12.01</v>
      </c>
      <c r="O678" s="148">
        <v>84.07</v>
      </c>
      <c r="P678" s="494"/>
      <c r="Q678" s="147">
        <f t="shared" si="185"/>
        <v>0</v>
      </c>
      <c r="R678" s="148"/>
      <c r="S678" s="148">
        <f t="shared" si="186"/>
        <v>0</v>
      </c>
      <c r="T678" s="148">
        <f t="shared" si="195"/>
        <v>7</v>
      </c>
      <c r="U678" s="148">
        <f t="shared" si="194"/>
        <v>84.07</v>
      </c>
      <c r="V678" s="379"/>
      <c r="W678" s="379"/>
      <c r="X678" s="57" t="e">
        <f>IF(B678&lt;&gt;0,VLOOKUP(B678,#REF!,4,FALSE),"")</f>
        <v>#REF!</v>
      </c>
      <c r="Y678" s="334" t="s">
        <v>2643</v>
      </c>
      <c r="Z678" s="58">
        <f t="shared" si="180"/>
        <v>-1.5</v>
      </c>
      <c r="AA678" s="58">
        <f t="shared" si="181"/>
        <v>59.5</v>
      </c>
      <c r="AB678" s="58"/>
      <c r="AC678" s="58">
        <f t="shared" si="182"/>
        <v>75.459999999999994</v>
      </c>
      <c r="AD678" s="58" t="e">
        <f>IF(B678&lt;&gt;0,VLOOKUP(B678,#REF!,2,FALSE),"")</f>
        <v>#REF!</v>
      </c>
      <c r="AF678" s="55">
        <f t="shared" si="191"/>
        <v>-7</v>
      </c>
    </row>
    <row r="679" spans="1:32" s="55" customFormat="1">
      <c r="A679" s="69" t="s">
        <v>1264</v>
      </c>
      <c r="B679" s="129"/>
      <c r="C679" s="229" t="s">
        <v>252</v>
      </c>
      <c r="D679" s="230"/>
      <c r="E679" s="230"/>
      <c r="F679" s="230"/>
      <c r="G679" s="22"/>
      <c r="H679" s="230"/>
      <c r="I679" s="445"/>
      <c r="J679" s="440"/>
      <c r="K679" s="440"/>
      <c r="L679" s="440"/>
      <c r="M679" s="440"/>
      <c r="N679" s="440"/>
      <c r="O679" s="440"/>
      <c r="P679" s="492"/>
      <c r="Q679" s="147">
        <f t="shared" si="185"/>
        <v>0</v>
      </c>
      <c r="R679" s="440"/>
      <c r="S679" s="148">
        <f t="shared" si="186"/>
        <v>0</v>
      </c>
      <c r="T679" s="148" t="str">
        <f t="shared" si="195"/>
        <v xml:space="preserve"> </v>
      </c>
      <c r="U679" s="148">
        <f t="shared" si="194"/>
        <v>0</v>
      </c>
      <c r="V679" s="330"/>
      <c r="W679" s="330"/>
      <c r="X679" s="57" t="str">
        <f>IF(B679&lt;&gt;0,VLOOKUP(B679,#REF!,4,FALSE),"")</f>
        <v/>
      </c>
      <c r="Y679" s="334" t="s">
        <v>1891</v>
      </c>
      <c r="Z679" s="58"/>
      <c r="AA679" s="58">
        <f t="shared" si="181"/>
        <v>0</v>
      </c>
      <c r="AB679" s="58"/>
      <c r="AC679" s="58">
        <f t="shared" si="182"/>
        <v>0</v>
      </c>
      <c r="AD679" s="58" t="str">
        <f>IF(B679&lt;&gt;0,VLOOKUP(B679,#REF!,2,FALSE),"")</f>
        <v/>
      </c>
      <c r="AE679" s="55">
        <v>9</v>
      </c>
      <c r="AF679" s="55">
        <f t="shared" si="191"/>
        <v>9</v>
      </c>
    </row>
    <row r="680" spans="1:32" s="55" customFormat="1" ht="30.75" customHeight="1">
      <c r="A680" s="21" t="s">
        <v>1265</v>
      </c>
      <c r="B680" s="20">
        <v>97597</v>
      </c>
      <c r="C680" s="19" t="s">
        <v>253</v>
      </c>
      <c r="D680" s="21" t="s">
        <v>12</v>
      </c>
      <c r="E680" s="21" t="s">
        <v>17</v>
      </c>
      <c r="F680" s="22">
        <v>9</v>
      </c>
      <c r="G680" s="22">
        <f t="shared" si="179"/>
        <v>36.244</v>
      </c>
      <c r="H680" s="22">
        <f>ROUND(G680*(1+$X$13),2)</f>
        <v>45.96</v>
      </c>
      <c r="I680" s="147">
        <f>ROUND(H680*F680,2)</f>
        <v>413.64</v>
      </c>
      <c r="J680" s="148"/>
      <c r="K680" s="148"/>
      <c r="L680" s="148"/>
      <c r="M680" s="148">
        <v>40.380000000000003</v>
      </c>
      <c r="N680" s="148">
        <v>51.21</v>
      </c>
      <c r="O680" s="148">
        <v>460.89</v>
      </c>
      <c r="P680" s="494"/>
      <c r="Q680" s="147">
        <f>ROUND(P680*N680,2)</f>
        <v>0</v>
      </c>
      <c r="R680" s="148"/>
      <c r="S680" s="148">
        <f t="shared" si="186"/>
        <v>0</v>
      </c>
      <c r="T680" s="148">
        <f t="shared" si="195"/>
        <v>9</v>
      </c>
      <c r="U680" s="148">
        <f t="shared" si="194"/>
        <v>460.89</v>
      </c>
      <c r="V680" s="379"/>
      <c r="W680" s="379"/>
      <c r="X680" s="57" t="e">
        <f>IF(B680&lt;&gt;0,VLOOKUP(B680,#REF!,4,FALSE),"")</f>
        <v>#REF!</v>
      </c>
      <c r="Y680" s="334" t="s">
        <v>3143</v>
      </c>
      <c r="Z680" s="58">
        <f t="shared" si="180"/>
        <v>-6.3960000000000008</v>
      </c>
      <c r="AA680" s="58">
        <f t="shared" si="181"/>
        <v>326.19600000000003</v>
      </c>
      <c r="AB680" s="58"/>
      <c r="AC680" s="58">
        <f t="shared" si="182"/>
        <v>413.64</v>
      </c>
      <c r="AD680" s="58" t="e">
        <f>IF(B680&lt;&gt;0,VLOOKUP(B680,#REF!,2,FALSE),"")</f>
        <v>#REF!</v>
      </c>
      <c r="AF680" s="55">
        <f t="shared" si="191"/>
        <v>-9</v>
      </c>
    </row>
    <row r="681" spans="1:32" s="55" customFormat="1">
      <c r="A681" s="21"/>
      <c r="B681" s="20"/>
      <c r="C681" s="19"/>
      <c r="D681" s="21"/>
      <c r="E681" s="21"/>
      <c r="F681" s="22"/>
      <c r="G681" s="22"/>
      <c r="H681" s="22"/>
      <c r="I681" s="147"/>
      <c r="J681" s="148"/>
      <c r="K681" s="148"/>
      <c r="L681" s="148"/>
      <c r="M681" s="148"/>
      <c r="N681" s="148"/>
      <c r="O681" s="148"/>
      <c r="P681" s="494"/>
      <c r="Q681" s="147"/>
      <c r="R681" s="148"/>
      <c r="S681" s="148"/>
      <c r="T681" s="148" t="str">
        <f t="shared" si="195"/>
        <v xml:space="preserve"> </v>
      </c>
      <c r="U681" s="148"/>
      <c r="V681" s="379"/>
      <c r="W681" s="379"/>
      <c r="X681" s="57" t="str">
        <f>IF(B681&lt;&gt;0,VLOOKUP(B681,#REF!,4,FALSE),"")</f>
        <v/>
      </c>
      <c r="Y681" s="334" t="s">
        <v>1891</v>
      </c>
      <c r="Z681" s="58"/>
      <c r="AA681" s="58">
        <f t="shared" si="181"/>
        <v>0</v>
      </c>
      <c r="AB681" s="58"/>
      <c r="AC681" s="58">
        <f t="shared" si="182"/>
        <v>0</v>
      </c>
      <c r="AD681" s="58" t="str">
        <f>IF(B681&lt;&gt;0,VLOOKUP(B681,#REF!,2,FALSE),"")</f>
        <v/>
      </c>
      <c r="AF681" s="55">
        <f t="shared" si="191"/>
        <v>0</v>
      </c>
    </row>
    <row r="682" spans="1:32" s="55" customFormat="1" ht="15" customHeight="1">
      <c r="A682" s="69" t="s">
        <v>1346</v>
      </c>
      <c r="B682" s="129"/>
      <c r="C682" s="129" t="s">
        <v>254</v>
      </c>
      <c r="D682" s="230"/>
      <c r="E682" s="230"/>
      <c r="F682" s="230"/>
      <c r="G682" s="22"/>
      <c r="H682" s="230"/>
      <c r="I682" s="445">
        <f>SUM(I684:I837)</f>
        <v>30547.760000000002</v>
      </c>
      <c r="J682" s="440"/>
      <c r="K682" s="440"/>
      <c r="L682" s="440"/>
      <c r="M682" s="440"/>
      <c r="N682" s="440"/>
      <c r="O682" s="440">
        <v>34032.480000000032</v>
      </c>
      <c r="P682" s="492"/>
      <c r="Q682" s="445">
        <f>SUM(Q684:Q837)</f>
        <v>0</v>
      </c>
      <c r="R682" s="440"/>
      <c r="S682" s="440">
        <f>SUM(S684:S837)</f>
        <v>0</v>
      </c>
      <c r="T682" s="148" t="str">
        <f t="shared" si="195"/>
        <v xml:space="preserve"> </v>
      </c>
      <c r="U682" s="440">
        <f t="shared" si="194"/>
        <v>34032.480000000032</v>
      </c>
      <c r="V682" s="330"/>
      <c r="W682" s="330"/>
      <c r="X682" s="57" t="str">
        <f>IF(B682&lt;&gt;0,VLOOKUP(B682,#REF!,4,FALSE),"")</f>
        <v/>
      </c>
      <c r="Y682" s="334" t="s">
        <v>1891</v>
      </c>
      <c r="Z682" s="58"/>
      <c r="AA682" s="58">
        <f t="shared" si="181"/>
        <v>0</v>
      </c>
      <c r="AB682" s="58"/>
      <c r="AC682" s="58">
        <f t="shared" si="182"/>
        <v>0</v>
      </c>
      <c r="AD682" s="58" t="str">
        <f>IF(B682&lt;&gt;0,VLOOKUP(B682,#REF!,2,FALSE),"")</f>
        <v/>
      </c>
      <c r="AF682" s="55">
        <f t="shared" si="191"/>
        <v>0</v>
      </c>
    </row>
    <row r="683" spans="1:32" s="55" customFormat="1">
      <c r="A683" s="69" t="s">
        <v>1347</v>
      </c>
      <c r="B683" s="129"/>
      <c r="C683" s="129" t="s">
        <v>2841</v>
      </c>
      <c r="D683" s="230"/>
      <c r="E683" s="230"/>
      <c r="F683" s="230"/>
      <c r="G683" s="22"/>
      <c r="H683" s="230"/>
      <c r="I683" s="445"/>
      <c r="J683" s="440"/>
      <c r="K683" s="440"/>
      <c r="L683" s="440"/>
      <c r="M683" s="440"/>
      <c r="N683" s="440"/>
      <c r="O683" s="440"/>
      <c r="P683" s="492"/>
      <c r="Q683" s="445"/>
      <c r="R683" s="440"/>
      <c r="S683" s="440"/>
      <c r="T683" s="148" t="str">
        <f t="shared" si="195"/>
        <v xml:space="preserve"> </v>
      </c>
      <c r="U683" s="148"/>
      <c r="V683" s="330"/>
      <c r="W683" s="330"/>
      <c r="X683" s="57" t="str">
        <f>IF(B683&lt;&gt;0,VLOOKUP(B683,#REF!,4,FALSE),"")</f>
        <v/>
      </c>
      <c r="Y683" s="334" t="s">
        <v>1891</v>
      </c>
      <c r="Z683" s="58"/>
      <c r="AA683" s="58">
        <f t="shared" si="181"/>
        <v>0</v>
      </c>
      <c r="AB683" s="58"/>
      <c r="AC683" s="58">
        <f t="shared" si="182"/>
        <v>0</v>
      </c>
      <c r="AD683" s="58" t="str">
        <f>IF(B683&lt;&gt;0,VLOOKUP(B683,#REF!,2,FALSE),"")</f>
        <v/>
      </c>
      <c r="AE683" s="55">
        <v>1</v>
      </c>
      <c r="AF683" s="55">
        <f t="shared" si="191"/>
        <v>1</v>
      </c>
    </row>
    <row r="684" spans="1:32" s="55" customFormat="1" ht="60">
      <c r="A684" s="21" t="s">
        <v>1348</v>
      </c>
      <c r="B684" s="20">
        <v>101879</v>
      </c>
      <c r="C684" s="19" t="s">
        <v>2842</v>
      </c>
      <c r="D684" s="21" t="s">
        <v>12</v>
      </c>
      <c r="E684" s="21" t="s">
        <v>17</v>
      </c>
      <c r="F684" s="22">
        <v>1</v>
      </c>
      <c r="G684" s="22">
        <f t="shared" ref="G684:G746" si="196">Y684-(Y684*$Z$14)</f>
        <v>460.73399999999998</v>
      </c>
      <c r="H684" s="22">
        <f t="shared" ref="H684:H694" si="197">ROUND(G684*(1+$X$13),2)</f>
        <v>584.26</v>
      </c>
      <c r="I684" s="147">
        <f t="shared" ref="I684:I694" si="198">ROUND(H684*F684,2)</f>
        <v>584.26</v>
      </c>
      <c r="J684" s="148"/>
      <c r="K684" s="148"/>
      <c r="L684" s="148"/>
      <c r="M684" s="148">
        <v>513.26</v>
      </c>
      <c r="N684" s="148">
        <v>650.87</v>
      </c>
      <c r="O684" s="148">
        <v>650.87</v>
      </c>
      <c r="P684" s="494"/>
      <c r="Q684" s="147">
        <f t="shared" ref="Q684:Q747" si="199">ROUND(P684*N684,2)</f>
        <v>0</v>
      </c>
      <c r="R684" s="148"/>
      <c r="S684" s="148">
        <f>ROUND(R684*N684,2)</f>
        <v>0</v>
      </c>
      <c r="T684" s="148">
        <f t="shared" si="195"/>
        <v>1</v>
      </c>
      <c r="U684" s="148">
        <f t="shared" si="194"/>
        <v>650.87</v>
      </c>
      <c r="V684" s="379"/>
      <c r="W684" s="379"/>
      <c r="X684" s="58" t="e">
        <f>IF(B684&lt;&gt;0,VLOOKUP(B684,#REF!,4,FALSE),"")</f>
        <v>#REF!</v>
      </c>
      <c r="Y684" s="334" t="s">
        <v>3247</v>
      </c>
      <c r="Z684" s="58">
        <f t="shared" ref="Z684:Z746" si="200">G684-Y684</f>
        <v>-81.305999999999983</v>
      </c>
      <c r="AA684" s="58">
        <f t="shared" ref="AA684:AA747" si="201">F684*G684</f>
        <v>460.73399999999998</v>
      </c>
      <c r="AB684" s="58"/>
      <c r="AC684" s="58">
        <f t="shared" ref="AC684:AC747" si="202">F684*H684</f>
        <v>584.26</v>
      </c>
      <c r="AD684" s="58" t="e">
        <f>IF(B684&lt;&gt;0,VLOOKUP(B684,#REF!,2,FALSE),"")</f>
        <v>#REF!</v>
      </c>
      <c r="AE684" s="55">
        <v>4</v>
      </c>
      <c r="AF684" s="55">
        <f t="shared" si="191"/>
        <v>3</v>
      </c>
    </row>
    <row r="685" spans="1:32" s="55" customFormat="1" ht="30">
      <c r="A685" s="21" t="s">
        <v>1349</v>
      </c>
      <c r="B685" s="20">
        <v>9041</v>
      </c>
      <c r="C685" s="19" t="s">
        <v>1926</v>
      </c>
      <c r="D685" s="21" t="s">
        <v>44</v>
      </c>
      <c r="E685" s="21" t="s">
        <v>17</v>
      </c>
      <c r="F685" s="22">
        <v>4</v>
      </c>
      <c r="G685" s="22">
        <f t="shared" si="196"/>
        <v>97.393000000000001</v>
      </c>
      <c r="H685" s="22">
        <f t="shared" si="197"/>
        <v>123.5</v>
      </c>
      <c r="I685" s="147">
        <f t="shared" si="198"/>
        <v>494</v>
      </c>
      <c r="J685" s="148"/>
      <c r="K685" s="148"/>
      <c r="L685" s="148"/>
      <c r="M685" s="148">
        <v>108.5</v>
      </c>
      <c r="N685" s="148">
        <v>137.59</v>
      </c>
      <c r="O685" s="148">
        <v>550.36</v>
      </c>
      <c r="P685" s="494"/>
      <c r="Q685" s="147">
        <f t="shared" si="199"/>
        <v>0</v>
      </c>
      <c r="R685" s="148"/>
      <c r="S685" s="148">
        <f t="shared" ref="S685:S748" si="203">ROUND(R685*N685,2)</f>
        <v>0</v>
      </c>
      <c r="T685" s="148">
        <f t="shared" si="195"/>
        <v>4</v>
      </c>
      <c r="U685" s="148">
        <f t="shared" si="194"/>
        <v>550.36</v>
      </c>
      <c r="V685" s="379"/>
      <c r="W685" s="379"/>
      <c r="X685" s="57">
        <f>'COMPOSIÇÃO DE CUSTOS'!G1869</f>
        <v>97.39</v>
      </c>
      <c r="Y685" s="334">
        <v>114.58</v>
      </c>
      <c r="Z685" s="58">
        <f t="shared" si="200"/>
        <v>-17.186999999999998</v>
      </c>
      <c r="AA685" s="58">
        <f t="shared" si="201"/>
        <v>389.572</v>
      </c>
      <c r="AB685" s="58"/>
      <c r="AC685" s="58">
        <f t="shared" si="202"/>
        <v>494</v>
      </c>
      <c r="AD685" s="58" t="e">
        <f>IF(B685&lt;&gt;0,VLOOKUP(B685,#REF!,2,FALSE),"")</f>
        <v>#REF!</v>
      </c>
      <c r="AE685" s="55">
        <v>4</v>
      </c>
      <c r="AF685" s="55">
        <f t="shared" si="191"/>
        <v>0</v>
      </c>
    </row>
    <row r="686" spans="1:32" s="55" customFormat="1" ht="30">
      <c r="A686" s="21" t="s">
        <v>1350</v>
      </c>
      <c r="B686" s="20">
        <v>7996</v>
      </c>
      <c r="C686" s="19" t="s">
        <v>2843</v>
      </c>
      <c r="D686" s="21" t="s">
        <v>44</v>
      </c>
      <c r="E686" s="21" t="s">
        <v>17</v>
      </c>
      <c r="F686" s="22">
        <v>4</v>
      </c>
      <c r="G686" s="22">
        <f t="shared" si="196"/>
        <v>127.449</v>
      </c>
      <c r="H686" s="22">
        <f t="shared" si="197"/>
        <v>161.62</v>
      </c>
      <c r="I686" s="147">
        <f t="shared" si="198"/>
        <v>646.48</v>
      </c>
      <c r="J686" s="148"/>
      <c r="K686" s="148"/>
      <c r="L686" s="148"/>
      <c r="M686" s="148">
        <v>141.97999999999999</v>
      </c>
      <c r="N686" s="148">
        <v>180.04</v>
      </c>
      <c r="O686" s="148">
        <v>720.16</v>
      </c>
      <c r="P686" s="494"/>
      <c r="Q686" s="147">
        <f t="shared" si="199"/>
        <v>0</v>
      </c>
      <c r="R686" s="148"/>
      <c r="S686" s="148">
        <f t="shared" si="203"/>
        <v>0</v>
      </c>
      <c r="T686" s="148">
        <f t="shared" si="195"/>
        <v>4</v>
      </c>
      <c r="U686" s="148">
        <f t="shared" si="194"/>
        <v>720.16</v>
      </c>
      <c r="V686" s="379"/>
      <c r="W686" s="379"/>
      <c r="X686" s="57">
        <f>'COMPOSIÇÃO DE CUSTOS'!G1877</f>
        <v>127.45</v>
      </c>
      <c r="Y686" s="334">
        <v>149.94</v>
      </c>
      <c r="Z686" s="58">
        <f t="shared" si="200"/>
        <v>-22.491</v>
      </c>
      <c r="AA686" s="58">
        <f t="shared" si="201"/>
        <v>509.79599999999999</v>
      </c>
      <c r="AB686" s="58"/>
      <c r="AC686" s="58">
        <f t="shared" si="202"/>
        <v>646.48</v>
      </c>
      <c r="AD686" s="58" t="e">
        <f>IF(B686&lt;&gt;0,VLOOKUP(B686,#REF!,2,FALSE),"")</f>
        <v>#REF!</v>
      </c>
      <c r="AE686" s="55">
        <v>3</v>
      </c>
      <c r="AF686" s="55">
        <f t="shared" si="191"/>
        <v>-1</v>
      </c>
    </row>
    <row r="687" spans="1:32" s="55" customFormat="1" ht="45">
      <c r="A687" s="21" t="s">
        <v>1351</v>
      </c>
      <c r="B687" s="20">
        <v>93653</v>
      </c>
      <c r="C687" s="19" t="s">
        <v>1729</v>
      </c>
      <c r="D687" s="21" t="s">
        <v>12</v>
      </c>
      <c r="E687" s="21" t="s">
        <v>17</v>
      </c>
      <c r="F687" s="22">
        <v>3</v>
      </c>
      <c r="G687" s="22">
        <f t="shared" si="196"/>
        <v>9.2735000000000003</v>
      </c>
      <c r="H687" s="22">
        <f t="shared" si="197"/>
        <v>11.76</v>
      </c>
      <c r="I687" s="147">
        <f t="shared" si="198"/>
        <v>35.28</v>
      </c>
      <c r="J687" s="148"/>
      <c r="K687" s="148"/>
      <c r="L687" s="148"/>
      <c r="M687" s="148">
        <v>10.33</v>
      </c>
      <c r="N687" s="148">
        <v>13.1</v>
      </c>
      <c r="O687" s="148">
        <v>39.299999999999997</v>
      </c>
      <c r="P687" s="494"/>
      <c r="Q687" s="147">
        <f t="shared" si="199"/>
        <v>0</v>
      </c>
      <c r="R687" s="148"/>
      <c r="S687" s="148">
        <f t="shared" si="203"/>
        <v>0</v>
      </c>
      <c r="T687" s="148">
        <f t="shared" si="195"/>
        <v>3</v>
      </c>
      <c r="U687" s="148">
        <f t="shared" si="194"/>
        <v>39.299999999999997</v>
      </c>
      <c r="V687" s="379"/>
      <c r="W687" s="379"/>
      <c r="X687" s="58" t="e">
        <f>IF(B687&lt;&gt;0,VLOOKUP(B687,#REF!,4,FALSE),"")</f>
        <v>#REF!</v>
      </c>
      <c r="Y687" s="334" t="s">
        <v>3226</v>
      </c>
      <c r="Z687" s="58">
        <f t="shared" si="200"/>
        <v>-1.6364999999999998</v>
      </c>
      <c r="AA687" s="58">
        <f t="shared" si="201"/>
        <v>27.820500000000003</v>
      </c>
      <c r="AB687" s="58"/>
      <c r="AC687" s="58">
        <f t="shared" si="202"/>
        <v>35.28</v>
      </c>
      <c r="AD687" s="58" t="e">
        <f>IF(B687&lt;&gt;0,VLOOKUP(B687,#REF!,2,FALSE),"")</f>
        <v>#REF!</v>
      </c>
      <c r="AE687" s="55">
        <v>9</v>
      </c>
      <c r="AF687" s="55">
        <f t="shared" si="191"/>
        <v>6</v>
      </c>
    </row>
    <row r="688" spans="1:32" s="55" customFormat="1" ht="45">
      <c r="A688" s="21" t="s">
        <v>1352</v>
      </c>
      <c r="B688" s="20">
        <v>93654</v>
      </c>
      <c r="C688" s="19" t="s">
        <v>1730</v>
      </c>
      <c r="D688" s="21" t="s">
        <v>12</v>
      </c>
      <c r="E688" s="21" t="s">
        <v>17</v>
      </c>
      <c r="F688" s="22">
        <v>9</v>
      </c>
      <c r="G688" s="22">
        <f t="shared" si="196"/>
        <v>9.6050000000000004</v>
      </c>
      <c r="H688" s="22">
        <f t="shared" si="197"/>
        <v>12.18</v>
      </c>
      <c r="I688" s="147">
        <f t="shared" si="198"/>
        <v>109.62</v>
      </c>
      <c r="J688" s="148"/>
      <c r="K688" s="148"/>
      <c r="L688" s="148"/>
      <c r="M688" s="148">
        <v>10.7</v>
      </c>
      <c r="N688" s="148">
        <v>13.57</v>
      </c>
      <c r="O688" s="148">
        <v>122.13</v>
      </c>
      <c r="P688" s="494"/>
      <c r="Q688" s="147">
        <f t="shared" si="199"/>
        <v>0</v>
      </c>
      <c r="R688" s="148"/>
      <c r="S688" s="148">
        <f t="shared" si="203"/>
        <v>0</v>
      </c>
      <c r="T688" s="148">
        <f t="shared" si="195"/>
        <v>9</v>
      </c>
      <c r="U688" s="148">
        <f t="shared" si="194"/>
        <v>122.13</v>
      </c>
      <c r="V688" s="379"/>
      <c r="W688" s="379"/>
      <c r="X688" s="58" t="e">
        <f>IF(B688&lt;&gt;0,VLOOKUP(B688,#REF!,4,FALSE),"")</f>
        <v>#REF!</v>
      </c>
      <c r="Y688" s="334" t="s">
        <v>3240</v>
      </c>
      <c r="Z688" s="58">
        <f t="shared" si="200"/>
        <v>-1.6950000000000003</v>
      </c>
      <c r="AA688" s="58">
        <f t="shared" si="201"/>
        <v>86.445000000000007</v>
      </c>
      <c r="AB688" s="58"/>
      <c r="AC688" s="58">
        <f t="shared" si="202"/>
        <v>109.62</v>
      </c>
      <c r="AD688" s="58" t="e">
        <f>IF(B688&lt;&gt;0,VLOOKUP(B688,#REF!,2,FALSE),"")</f>
        <v>#REF!</v>
      </c>
      <c r="AE688" s="55">
        <v>1</v>
      </c>
      <c r="AF688" s="55">
        <f t="shared" si="191"/>
        <v>-8</v>
      </c>
    </row>
    <row r="689" spans="1:32" s="55" customFormat="1" ht="45">
      <c r="A689" s="235" t="s">
        <v>3555</v>
      </c>
      <c r="B689" s="20">
        <v>93673</v>
      </c>
      <c r="C689" s="439" t="s">
        <v>3770</v>
      </c>
      <c r="D689" s="21" t="s">
        <v>12</v>
      </c>
      <c r="E689" s="21" t="s">
        <v>17</v>
      </c>
      <c r="F689" s="22">
        <v>1</v>
      </c>
      <c r="G689" s="22">
        <f t="shared" si="196"/>
        <v>73.057500000000005</v>
      </c>
      <c r="H689" s="22">
        <f t="shared" si="197"/>
        <v>92.64</v>
      </c>
      <c r="I689" s="147">
        <f t="shared" si="198"/>
        <v>92.64</v>
      </c>
      <c r="J689" s="148"/>
      <c r="K689" s="148"/>
      <c r="L689" s="148"/>
      <c r="M689" s="148">
        <v>81.39</v>
      </c>
      <c r="N689" s="148">
        <v>103.21</v>
      </c>
      <c r="O689" s="148">
        <v>103.21</v>
      </c>
      <c r="P689" s="494"/>
      <c r="Q689" s="147">
        <f t="shared" si="199"/>
        <v>0</v>
      </c>
      <c r="R689" s="148"/>
      <c r="S689" s="148">
        <f t="shared" si="203"/>
        <v>0</v>
      </c>
      <c r="T689" s="148">
        <f t="shared" si="195"/>
        <v>1</v>
      </c>
      <c r="U689" s="148">
        <f t="shared" si="194"/>
        <v>103.21</v>
      </c>
      <c r="V689" s="379"/>
      <c r="W689" s="379"/>
      <c r="X689" s="58" t="e">
        <f>IF(B689&lt;&gt;0,VLOOKUP(B689,#REF!,4,FALSE),"")</f>
        <v>#REF!</v>
      </c>
      <c r="Y689" s="334" t="s">
        <v>3244</v>
      </c>
      <c r="Z689" s="58">
        <f t="shared" si="200"/>
        <v>-12.892499999999998</v>
      </c>
      <c r="AA689" s="58">
        <f t="shared" si="201"/>
        <v>73.057500000000005</v>
      </c>
      <c r="AB689" s="58"/>
      <c r="AC689" s="58">
        <f t="shared" si="202"/>
        <v>92.64</v>
      </c>
      <c r="AD689" s="58" t="e">
        <f>IF(B689&lt;&gt;0,VLOOKUP(B689,#REF!,2,FALSE),"")</f>
        <v>#REF!</v>
      </c>
      <c r="AE689" s="55">
        <v>48</v>
      </c>
      <c r="AF689" s="55">
        <f t="shared" si="191"/>
        <v>47</v>
      </c>
    </row>
    <row r="690" spans="1:32" s="55" customFormat="1" ht="45">
      <c r="A690" s="235" t="s">
        <v>3556</v>
      </c>
      <c r="B690" s="20">
        <v>1570</v>
      </c>
      <c r="C690" s="439" t="s">
        <v>3751</v>
      </c>
      <c r="D690" s="21" t="s">
        <v>12</v>
      </c>
      <c r="E690" s="21" t="s">
        <v>17</v>
      </c>
      <c r="F690" s="22">
        <v>48</v>
      </c>
      <c r="G690" s="22">
        <f t="shared" si="196"/>
        <v>0.77350000000000008</v>
      </c>
      <c r="H690" s="22">
        <f t="shared" si="197"/>
        <v>0.98</v>
      </c>
      <c r="I690" s="147">
        <f t="shared" si="198"/>
        <v>47.04</v>
      </c>
      <c r="J690" s="148"/>
      <c r="K690" s="148"/>
      <c r="L690" s="148"/>
      <c r="M690" s="148">
        <v>0.86</v>
      </c>
      <c r="N690" s="148">
        <v>1.0900000000000001</v>
      </c>
      <c r="O690" s="148">
        <v>52.32</v>
      </c>
      <c r="P690" s="494"/>
      <c r="Q690" s="147">
        <f t="shared" si="199"/>
        <v>0</v>
      </c>
      <c r="R690" s="148"/>
      <c r="S690" s="148">
        <f t="shared" si="203"/>
        <v>0</v>
      </c>
      <c r="T690" s="148">
        <f t="shared" si="195"/>
        <v>48</v>
      </c>
      <c r="U690" s="148">
        <f t="shared" si="194"/>
        <v>52.32</v>
      </c>
      <c r="V690" s="379"/>
      <c r="W690" s="379"/>
      <c r="X690" s="57" t="e">
        <f>IF(B690&lt;&gt;0,VLOOKUP(B690,#REF!,4,FALSE),"")</f>
        <v>#REF!</v>
      </c>
      <c r="Y690" s="334" t="s">
        <v>1858</v>
      </c>
      <c r="Z690" s="58">
        <f t="shared" si="200"/>
        <v>-0.13649999999999995</v>
      </c>
      <c r="AA690" s="58">
        <f t="shared" si="201"/>
        <v>37.128</v>
      </c>
      <c r="AB690" s="58"/>
      <c r="AC690" s="58">
        <f t="shared" si="202"/>
        <v>47.04</v>
      </c>
      <c r="AD690" s="58" t="e">
        <f>IF(B690&lt;&gt;0,VLOOKUP(B690,#REF!,2,FALSE),"")</f>
        <v>#REF!</v>
      </c>
      <c r="AE690" s="55">
        <v>22</v>
      </c>
      <c r="AF690" s="55">
        <f t="shared" si="191"/>
        <v>-26</v>
      </c>
    </row>
    <row r="691" spans="1:32" s="55" customFormat="1" ht="45">
      <c r="A691" s="235" t="s">
        <v>3558</v>
      </c>
      <c r="B691" s="20">
        <v>1573</v>
      </c>
      <c r="C691" s="439" t="s">
        <v>3752</v>
      </c>
      <c r="D691" s="21" t="s">
        <v>12</v>
      </c>
      <c r="E691" s="21" t="s">
        <v>221</v>
      </c>
      <c r="F691" s="22">
        <v>22</v>
      </c>
      <c r="G691" s="22">
        <f t="shared" si="196"/>
        <v>1.1984999999999999</v>
      </c>
      <c r="H691" s="22">
        <f t="shared" si="197"/>
        <v>1.52</v>
      </c>
      <c r="I691" s="147">
        <f t="shared" si="198"/>
        <v>33.44</v>
      </c>
      <c r="J691" s="148"/>
      <c r="K691" s="148"/>
      <c r="L691" s="148"/>
      <c r="M691" s="148">
        <v>1.34</v>
      </c>
      <c r="N691" s="148">
        <v>1.7</v>
      </c>
      <c r="O691" s="148">
        <v>37.4</v>
      </c>
      <c r="P691" s="494"/>
      <c r="Q691" s="147">
        <f t="shared" si="199"/>
        <v>0</v>
      </c>
      <c r="R691" s="148"/>
      <c r="S691" s="148">
        <f t="shared" si="203"/>
        <v>0</v>
      </c>
      <c r="T691" s="148">
        <f t="shared" si="195"/>
        <v>22</v>
      </c>
      <c r="U691" s="148">
        <f t="shared" si="194"/>
        <v>37.4</v>
      </c>
      <c r="V691" s="379"/>
      <c r="W691" s="379"/>
      <c r="X691" s="58" t="e">
        <f>IF(B691&lt;&gt;0,VLOOKUP(B691,#REF!,4,FALSE),"")</f>
        <v>#REF!</v>
      </c>
      <c r="Y691" s="334" t="s">
        <v>3188</v>
      </c>
      <c r="Z691" s="58">
        <f t="shared" si="200"/>
        <v>-0.21150000000000002</v>
      </c>
      <c r="AA691" s="58">
        <f t="shared" si="201"/>
        <v>26.366999999999997</v>
      </c>
      <c r="AB691" s="58"/>
      <c r="AC691" s="58">
        <f t="shared" si="202"/>
        <v>33.44</v>
      </c>
      <c r="AD691" s="58" t="e">
        <f>IF(B691&lt;&gt;0,VLOOKUP(B691,#REF!,2,FALSE),"")</f>
        <v>#REF!</v>
      </c>
      <c r="AE691" s="55">
        <v>1</v>
      </c>
      <c r="AF691" s="55">
        <f t="shared" si="191"/>
        <v>-21</v>
      </c>
    </row>
    <row r="692" spans="1:32" s="55" customFormat="1" ht="45">
      <c r="A692" s="235" t="s">
        <v>3559</v>
      </c>
      <c r="B692" s="20">
        <v>1576</v>
      </c>
      <c r="C692" s="439" t="s">
        <v>3760</v>
      </c>
      <c r="D692" s="21" t="s">
        <v>12</v>
      </c>
      <c r="E692" s="21" t="s">
        <v>17</v>
      </c>
      <c r="F692" s="22">
        <v>1</v>
      </c>
      <c r="G692" s="22">
        <f t="shared" si="196"/>
        <v>2.1334999999999997</v>
      </c>
      <c r="H692" s="22">
        <f t="shared" si="197"/>
        <v>2.71</v>
      </c>
      <c r="I692" s="147">
        <f t="shared" si="198"/>
        <v>2.71</v>
      </c>
      <c r="J692" s="148"/>
      <c r="K692" s="148"/>
      <c r="L692" s="148"/>
      <c r="M692" s="148">
        <v>2.38</v>
      </c>
      <c r="N692" s="148">
        <v>3.02</v>
      </c>
      <c r="O692" s="148">
        <v>3.02</v>
      </c>
      <c r="P692" s="494"/>
      <c r="Q692" s="147">
        <f t="shared" si="199"/>
        <v>0</v>
      </c>
      <c r="R692" s="148"/>
      <c r="S692" s="148">
        <f t="shared" si="203"/>
        <v>0</v>
      </c>
      <c r="T692" s="148">
        <f t="shared" si="195"/>
        <v>1</v>
      </c>
      <c r="U692" s="148">
        <f t="shared" si="194"/>
        <v>3.02</v>
      </c>
      <c r="V692" s="379"/>
      <c r="W692" s="379"/>
      <c r="X692" s="58" t="e">
        <f>IF(B692&lt;&gt;0,VLOOKUP(B692,#REF!,4,FALSE),"")</f>
        <v>#REF!</v>
      </c>
      <c r="Y692" s="334" t="s">
        <v>3139</v>
      </c>
      <c r="Z692" s="58">
        <f t="shared" si="200"/>
        <v>-0.37650000000000006</v>
      </c>
      <c r="AA692" s="58">
        <f t="shared" si="201"/>
        <v>2.1334999999999997</v>
      </c>
      <c r="AB692" s="58"/>
      <c r="AC692" s="58">
        <f t="shared" si="202"/>
        <v>2.71</v>
      </c>
      <c r="AD692" s="58" t="e">
        <f>IF(B692&lt;&gt;0,VLOOKUP(B692,#REF!,2,FALSE),"")</f>
        <v>#REF!</v>
      </c>
      <c r="AE692" s="55">
        <v>10</v>
      </c>
      <c r="AF692" s="55">
        <f t="shared" si="191"/>
        <v>9</v>
      </c>
    </row>
    <row r="693" spans="1:32" s="55" customFormat="1" ht="45">
      <c r="A693" s="235" t="s">
        <v>3561</v>
      </c>
      <c r="B693" s="20">
        <v>1578</v>
      </c>
      <c r="C693" s="439" t="s">
        <v>3746</v>
      </c>
      <c r="D693" s="21" t="s">
        <v>12</v>
      </c>
      <c r="E693" s="21" t="s">
        <v>17</v>
      </c>
      <c r="F693" s="22">
        <v>10</v>
      </c>
      <c r="G693" s="22">
        <f t="shared" si="196"/>
        <v>4.1820000000000004</v>
      </c>
      <c r="H693" s="22">
        <f t="shared" si="197"/>
        <v>5.3</v>
      </c>
      <c r="I693" s="147">
        <f t="shared" si="198"/>
        <v>53</v>
      </c>
      <c r="J693" s="148"/>
      <c r="K693" s="148"/>
      <c r="L693" s="148"/>
      <c r="M693" s="148">
        <v>4.66</v>
      </c>
      <c r="N693" s="148">
        <v>5.91</v>
      </c>
      <c r="O693" s="148">
        <v>59.1</v>
      </c>
      <c r="P693" s="494"/>
      <c r="Q693" s="147">
        <f t="shared" si="199"/>
        <v>0</v>
      </c>
      <c r="R693" s="148"/>
      <c r="S693" s="148">
        <f t="shared" si="203"/>
        <v>0</v>
      </c>
      <c r="T693" s="148">
        <f t="shared" si="195"/>
        <v>10</v>
      </c>
      <c r="U693" s="148">
        <f t="shared" si="194"/>
        <v>59.1</v>
      </c>
      <c r="V693" s="379"/>
      <c r="W693" s="379"/>
      <c r="X693" s="58" t="e">
        <f>IF(B693&lt;&gt;0,VLOOKUP(B693,#REF!,4,FALSE),"")</f>
        <v>#REF!</v>
      </c>
      <c r="Y693" s="334" t="s">
        <v>3141</v>
      </c>
      <c r="Z693" s="58">
        <f t="shared" si="200"/>
        <v>-0.73799999999999955</v>
      </c>
      <c r="AA693" s="58">
        <f t="shared" si="201"/>
        <v>41.820000000000007</v>
      </c>
      <c r="AB693" s="58"/>
      <c r="AC693" s="58">
        <f t="shared" si="202"/>
        <v>53</v>
      </c>
      <c r="AD693" s="58" t="e">
        <f>IF(B693&lt;&gt;0,VLOOKUP(B693,#REF!,2,FALSE),"")</f>
        <v>#REF!</v>
      </c>
      <c r="AE693" s="55">
        <v>2</v>
      </c>
      <c r="AF693" s="55">
        <f t="shared" si="191"/>
        <v>-8</v>
      </c>
    </row>
    <row r="694" spans="1:32" s="55" customFormat="1" ht="45">
      <c r="A694" s="21" t="s">
        <v>2844</v>
      </c>
      <c r="B694" s="20">
        <v>91930</v>
      </c>
      <c r="C694" s="19" t="s">
        <v>1731</v>
      </c>
      <c r="D694" s="21" t="s">
        <v>12</v>
      </c>
      <c r="E694" s="21" t="s">
        <v>52</v>
      </c>
      <c r="F694" s="22">
        <v>2</v>
      </c>
      <c r="G694" s="22">
        <f t="shared" si="196"/>
        <v>7.0379999999999994</v>
      </c>
      <c r="H694" s="22">
        <f t="shared" si="197"/>
        <v>8.92</v>
      </c>
      <c r="I694" s="147">
        <f t="shared" si="198"/>
        <v>17.84</v>
      </c>
      <c r="J694" s="148"/>
      <c r="K694" s="148"/>
      <c r="L694" s="148"/>
      <c r="M694" s="148">
        <v>7.84</v>
      </c>
      <c r="N694" s="148">
        <v>9.94</v>
      </c>
      <c r="O694" s="148">
        <v>19.88</v>
      </c>
      <c r="P694" s="494"/>
      <c r="Q694" s="147">
        <f t="shared" si="199"/>
        <v>0</v>
      </c>
      <c r="R694" s="148"/>
      <c r="S694" s="148">
        <f t="shared" si="203"/>
        <v>0</v>
      </c>
      <c r="T694" s="148">
        <f t="shared" si="195"/>
        <v>2</v>
      </c>
      <c r="U694" s="148">
        <f t="shared" si="194"/>
        <v>19.88</v>
      </c>
      <c r="V694" s="379"/>
      <c r="W694" s="379"/>
      <c r="X694" s="58" t="e">
        <f>IF(B694&lt;&gt;0,VLOOKUP(B694,#REF!,4,FALSE),"")</f>
        <v>#REF!</v>
      </c>
      <c r="Y694" s="334" t="s">
        <v>3110</v>
      </c>
      <c r="Z694" s="58">
        <f t="shared" si="200"/>
        <v>-1.242</v>
      </c>
      <c r="AA694" s="58">
        <f t="shared" si="201"/>
        <v>14.075999999999999</v>
      </c>
      <c r="AB694" s="58"/>
      <c r="AC694" s="58">
        <f t="shared" si="202"/>
        <v>17.84</v>
      </c>
      <c r="AD694" s="58" t="e">
        <f>IF(B694&lt;&gt;0,VLOOKUP(B694,#REF!,2,FALSE),"")</f>
        <v>#REF!</v>
      </c>
      <c r="AF694" s="55">
        <f t="shared" si="191"/>
        <v>-2</v>
      </c>
    </row>
    <row r="695" spans="1:32" s="55" customFormat="1">
      <c r="A695" s="69" t="s">
        <v>1356</v>
      </c>
      <c r="B695" s="129"/>
      <c r="C695" s="129" t="s">
        <v>2845</v>
      </c>
      <c r="D695" s="230"/>
      <c r="E695" s="230"/>
      <c r="F695" s="230"/>
      <c r="G695" s="22"/>
      <c r="H695" s="230"/>
      <c r="I695" s="445"/>
      <c r="J695" s="440"/>
      <c r="K695" s="440"/>
      <c r="L695" s="440"/>
      <c r="M695" s="440">
        <v>0</v>
      </c>
      <c r="N695" s="440">
        <v>0</v>
      </c>
      <c r="O695" s="440">
        <v>0</v>
      </c>
      <c r="P695" s="492"/>
      <c r="Q695" s="147">
        <f t="shared" si="199"/>
        <v>0</v>
      </c>
      <c r="R695" s="440"/>
      <c r="S695" s="148">
        <f t="shared" si="203"/>
        <v>0</v>
      </c>
      <c r="T695" s="148" t="str">
        <f t="shared" si="195"/>
        <v xml:space="preserve"> </v>
      </c>
      <c r="U695" s="148">
        <f t="shared" si="194"/>
        <v>0</v>
      </c>
      <c r="V695" s="330"/>
      <c r="W695" s="330"/>
      <c r="X695" s="58" t="str">
        <f>IF(B695&lt;&gt;0,VLOOKUP(B695,#REF!,4,FALSE),"")</f>
        <v/>
      </c>
      <c r="Y695" s="334" t="s">
        <v>1891</v>
      </c>
      <c r="Z695" s="58"/>
      <c r="AA695" s="58">
        <f t="shared" si="201"/>
        <v>0</v>
      </c>
      <c r="AB695" s="58"/>
      <c r="AC695" s="58">
        <f t="shared" si="202"/>
        <v>0</v>
      </c>
      <c r="AD695" s="58" t="str">
        <f>IF(B695&lt;&gt;0,VLOOKUP(B695,#REF!,2,FALSE),"")</f>
        <v/>
      </c>
      <c r="AE695" s="55">
        <v>1</v>
      </c>
      <c r="AF695" s="55">
        <f t="shared" si="191"/>
        <v>1</v>
      </c>
    </row>
    <row r="696" spans="1:32" s="55" customFormat="1" ht="60">
      <c r="A696" s="21" t="s">
        <v>1357</v>
      </c>
      <c r="B696" s="20">
        <v>101879</v>
      </c>
      <c r="C696" s="19" t="s">
        <v>2842</v>
      </c>
      <c r="D696" s="21" t="s">
        <v>12</v>
      </c>
      <c r="E696" s="21" t="s">
        <v>17</v>
      </c>
      <c r="F696" s="22">
        <v>1</v>
      </c>
      <c r="G696" s="22">
        <f t="shared" si="196"/>
        <v>460.73399999999998</v>
      </c>
      <c r="H696" s="22">
        <f t="shared" ref="H696:H706" si="204">ROUND(G696*(1+$X$13),2)</f>
        <v>584.26</v>
      </c>
      <c r="I696" s="147">
        <f t="shared" ref="I696:I706" si="205">ROUND(H696*F696,2)</f>
        <v>584.26</v>
      </c>
      <c r="J696" s="148"/>
      <c r="K696" s="148"/>
      <c r="L696" s="148"/>
      <c r="M696" s="148">
        <v>513.26</v>
      </c>
      <c r="N696" s="148">
        <v>650.87</v>
      </c>
      <c r="O696" s="148">
        <v>650.87</v>
      </c>
      <c r="P696" s="494"/>
      <c r="Q696" s="147">
        <f t="shared" si="199"/>
        <v>0</v>
      </c>
      <c r="R696" s="148"/>
      <c r="S696" s="148">
        <f t="shared" si="203"/>
        <v>0</v>
      </c>
      <c r="T696" s="148">
        <f t="shared" si="195"/>
        <v>1</v>
      </c>
      <c r="U696" s="148">
        <f t="shared" si="194"/>
        <v>650.87</v>
      </c>
      <c r="V696" s="379"/>
      <c r="W696" s="379"/>
      <c r="X696" s="58" t="e">
        <f>IF(B696&lt;&gt;0,VLOOKUP(B696,#REF!,4,FALSE),"")</f>
        <v>#REF!</v>
      </c>
      <c r="Y696" s="334" t="s">
        <v>3247</v>
      </c>
      <c r="Z696" s="58">
        <f t="shared" si="200"/>
        <v>-81.305999999999983</v>
      </c>
      <c r="AA696" s="58">
        <f t="shared" si="201"/>
        <v>460.73399999999998</v>
      </c>
      <c r="AB696" s="58"/>
      <c r="AC696" s="58">
        <f t="shared" si="202"/>
        <v>584.26</v>
      </c>
      <c r="AD696" s="58" t="e">
        <f>IF(B696&lt;&gt;0,VLOOKUP(B696,#REF!,2,FALSE),"")</f>
        <v>#REF!</v>
      </c>
      <c r="AE696" s="55">
        <v>4</v>
      </c>
      <c r="AF696" s="55">
        <f t="shared" si="191"/>
        <v>3</v>
      </c>
    </row>
    <row r="697" spans="1:32" s="55" customFormat="1" ht="30">
      <c r="A697" s="21" t="s">
        <v>1358</v>
      </c>
      <c r="B697" s="20">
        <v>9041</v>
      </c>
      <c r="C697" s="19" t="s">
        <v>1926</v>
      </c>
      <c r="D697" s="21" t="s">
        <v>44</v>
      </c>
      <c r="E697" s="21" t="s">
        <v>17</v>
      </c>
      <c r="F697" s="22">
        <v>4</v>
      </c>
      <c r="G697" s="22">
        <f t="shared" si="196"/>
        <v>97.393000000000001</v>
      </c>
      <c r="H697" s="22">
        <f t="shared" si="204"/>
        <v>123.5</v>
      </c>
      <c r="I697" s="147">
        <f t="shared" si="205"/>
        <v>494</v>
      </c>
      <c r="J697" s="148"/>
      <c r="K697" s="148"/>
      <c r="L697" s="148"/>
      <c r="M697" s="148">
        <v>108.5</v>
      </c>
      <c r="N697" s="148">
        <v>137.59</v>
      </c>
      <c r="O697" s="148">
        <v>550.36</v>
      </c>
      <c r="P697" s="494"/>
      <c r="Q697" s="147">
        <f t="shared" si="199"/>
        <v>0</v>
      </c>
      <c r="R697" s="148"/>
      <c r="S697" s="148">
        <f t="shared" si="203"/>
        <v>0</v>
      </c>
      <c r="T697" s="148">
        <f t="shared" si="195"/>
        <v>4</v>
      </c>
      <c r="U697" s="148">
        <f t="shared" si="194"/>
        <v>550.36</v>
      </c>
      <c r="V697" s="379"/>
      <c r="W697" s="379"/>
      <c r="X697" s="58">
        <f>'COMPOSIÇÃO DE CUSTOS'!G1869</f>
        <v>97.39</v>
      </c>
      <c r="Y697" s="334">
        <v>114.58</v>
      </c>
      <c r="Z697" s="58">
        <f t="shared" si="200"/>
        <v>-17.186999999999998</v>
      </c>
      <c r="AA697" s="58">
        <f t="shared" si="201"/>
        <v>389.572</v>
      </c>
      <c r="AB697" s="58"/>
      <c r="AC697" s="58">
        <f t="shared" si="202"/>
        <v>494</v>
      </c>
      <c r="AD697" s="58" t="e">
        <f>IF(B697&lt;&gt;0,VLOOKUP(B697,#REF!,2,FALSE),"")</f>
        <v>#REF!</v>
      </c>
      <c r="AE697" s="55">
        <v>4</v>
      </c>
      <c r="AF697" s="55">
        <f t="shared" si="191"/>
        <v>0</v>
      </c>
    </row>
    <row r="698" spans="1:32" s="55" customFormat="1" ht="30">
      <c r="A698" s="21" t="s">
        <v>2846</v>
      </c>
      <c r="B698" s="20">
        <v>7996</v>
      </c>
      <c r="C698" s="19" t="s">
        <v>2843</v>
      </c>
      <c r="D698" s="21" t="s">
        <v>44</v>
      </c>
      <c r="E698" s="21" t="s">
        <v>17</v>
      </c>
      <c r="F698" s="22">
        <v>4</v>
      </c>
      <c r="G698" s="22">
        <f t="shared" si="196"/>
        <v>127.449</v>
      </c>
      <c r="H698" s="22">
        <f t="shared" si="204"/>
        <v>161.62</v>
      </c>
      <c r="I698" s="147">
        <f t="shared" si="205"/>
        <v>646.48</v>
      </c>
      <c r="J698" s="148"/>
      <c r="K698" s="148"/>
      <c r="L698" s="148"/>
      <c r="M698" s="148">
        <v>141.97999999999999</v>
      </c>
      <c r="N698" s="148">
        <v>180.04</v>
      </c>
      <c r="O698" s="148">
        <v>720.16</v>
      </c>
      <c r="P698" s="494"/>
      <c r="Q698" s="147">
        <f t="shared" si="199"/>
        <v>0</v>
      </c>
      <c r="R698" s="148"/>
      <c r="S698" s="148">
        <f t="shared" si="203"/>
        <v>0</v>
      </c>
      <c r="T698" s="148">
        <f t="shared" si="195"/>
        <v>4</v>
      </c>
      <c r="U698" s="148">
        <f t="shared" si="194"/>
        <v>720.16</v>
      </c>
      <c r="V698" s="379"/>
      <c r="W698" s="379"/>
      <c r="X698" s="58">
        <f>'COMPOSIÇÃO DE CUSTOS'!G1877</f>
        <v>127.45</v>
      </c>
      <c r="Y698" s="334">
        <v>149.94</v>
      </c>
      <c r="Z698" s="58">
        <f t="shared" si="200"/>
        <v>-22.491</v>
      </c>
      <c r="AA698" s="58">
        <f t="shared" si="201"/>
        <v>509.79599999999999</v>
      </c>
      <c r="AB698" s="58"/>
      <c r="AC698" s="58">
        <f t="shared" si="202"/>
        <v>646.48</v>
      </c>
      <c r="AD698" s="58" t="e">
        <f>IF(B698&lt;&gt;0,VLOOKUP(B698,#REF!,2,FALSE),"")</f>
        <v>#REF!</v>
      </c>
      <c r="AE698" s="55">
        <v>4</v>
      </c>
      <c r="AF698" s="55">
        <f t="shared" si="191"/>
        <v>0</v>
      </c>
    </row>
    <row r="699" spans="1:32" s="55" customFormat="1" ht="45">
      <c r="A699" s="21" t="s">
        <v>2847</v>
      </c>
      <c r="B699" s="20">
        <v>93653</v>
      </c>
      <c r="C699" s="19" t="s">
        <v>1729</v>
      </c>
      <c r="D699" s="21" t="s">
        <v>12</v>
      </c>
      <c r="E699" s="21" t="s">
        <v>17</v>
      </c>
      <c r="F699" s="22">
        <v>4</v>
      </c>
      <c r="G699" s="22">
        <f t="shared" si="196"/>
        <v>9.2735000000000003</v>
      </c>
      <c r="H699" s="22">
        <f t="shared" si="204"/>
        <v>11.76</v>
      </c>
      <c r="I699" s="147">
        <f t="shared" si="205"/>
        <v>47.04</v>
      </c>
      <c r="J699" s="148"/>
      <c r="K699" s="148"/>
      <c r="L699" s="148"/>
      <c r="M699" s="148">
        <v>10.33</v>
      </c>
      <c r="N699" s="148">
        <v>13.1</v>
      </c>
      <c r="O699" s="148">
        <v>52.4</v>
      </c>
      <c r="P699" s="494"/>
      <c r="Q699" s="147">
        <f t="shared" si="199"/>
        <v>0</v>
      </c>
      <c r="R699" s="148"/>
      <c r="S699" s="148">
        <f t="shared" si="203"/>
        <v>0</v>
      </c>
      <c r="T699" s="148">
        <f t="shared" si="195"/>
        <v>4</v>
      </c>
      <c r="U699" s="148">
        <f t="shared" si="194"/>
        <v>52.4</v>
      </c>
      <c r="V699" s="379"/>
      <c r="W699" s="379"/>
      <c r="X699" s="58" t="e">
        <f>IF(B699&lt;&gt;0,VLOOKUP(B699,#REF!,4,FALSE),"")</f>
        <v>#REF!</v>
      </c>
      <c r="Y699" s="334" t="s">
        <v>3226</v>
      </c>
      <c r="Z699" s="58">
        <f t="shared" si="200"/>
        <v>-1.6364999999999998</v>
      </c>
      <c r="AA699" s="58">
        <f t="shared" si="201"/>
        <v>37.094000000000001</v>
      </c>
      <c r="AB699" s="58"/>
      <c r="AC699" s="58">
        <f t="shared" si="202"/>
        <v>47.04</v>
      </c>
      <c r="AD699" s="58" t="e">
        <f>IF(B699&lt;&gt;0,VLOOKUP(B699,#REF!,2,FALSE),"")</f>
        <v>#REF!</v>
      </c>
      <c r="AE699" s="55">
        <v>8</v>
      </c>
      <c r="AF699" s="55">
        <f t="shared" si="191"/>
        <v>4</v>
      </c>
    </row>
    <row r="700" spans="1:32" s="55" customFormat="1" ht="45">
      <c r="A700" s="21" t="s">
        <v>2848</v>
      </c>
      <c r="B700" s="20">
        <v>93654</v>
      </c>
      <c r="C700" s="19" t="s">
        <v>1730</v>
      </c>
      <c r="D700" s="21" t="s">
        <v>12</v>
      </c>
      <c r="E700" s="21" t="s">
        <v>17</v>
      </c>
      <c r="F700" s="22">
        <v>8</v>
      </c>
      <c r="G700" s="22">
        <f t="shared" si="196"/>
        <v>9.6050000000000004</v>
      </c>
      <c r="H700" s="22">
        <f t="shared" si="204"/>
        <v>12.18</v>
      </c>
      <c r="I700" s="147">
        <f t="shared" si="205"/>
        <v>97.44</v>
      </c>
      <c r="J700" s="148"/>
      <c r="K700" s="148"/>
      <c r="L700" s="148"/>
      <c r="M700" s="148">
        <v>10.7</v>
      </c>
      <c r="N700" s="148">
        <v>13.57</v>
      </c>
      <c r="O700" s="148">
        <v>108.56</v>
      </c>
      <c r="P700" s="494"/>
      <c r="Q700" s="147">
        <f t="shared" si="199"/>
        <v>0</v>
      </c>
      <c r="R700" s="148"/>
      <c r="S700" s="148">
        <f t="shared" si="203"/>
        <v>0</v>
      </c>
      <c r="T700" s="148">
        <f t="shared" si="195"/>
        <v>8</v>
      </c>
      <c r="U700" s="148">
        <f t="shared" si="194"/>
        <v>108.56</v>
      </c>
      <c r="V700" s="379"/>
      <c r="W700" s="379"/>
      <c r="X700" s="58" t="e">
        <f>IF(B700&lt;&gt;0,VLOOKUP(B700,#REF!,4,FALSE),"")</f>
        <v>#REF!</v>
      </c>
      <c r="Y700" s="334" t="s">
        <v>3240</v>
      </c>
      <c r="Z700" s="58">
        <f t="shared" si="200"/>
        <v>-1.6950000000000003</v>
      </c>
      <c r="AA700" s="58">
        <f t="shared" si="201"/>
        <v>76.84</v>
      </c>
      <c r="AB700" s="58"/>
      <c r="AC700" s="58">
        <f t="shared" si="202"/>
        <v>97.44</v>
      </c>
      <c r="AD700" s="58" t="e">
        <f>IF(B700&lt;&gt;0,VLOOKUP(B700,#REF!,2,FALSE),"")</f>
        <v>#REF!</v>
      </c>
      <c r="AE700" s="55">
        <v>1</v>
      </c>
      <c r="AF700" s="55">
        <f t="shared" si="191"/>
        <v>-7</v>
      </c>
    </row>
    <row r="701" spans="1:32" ht="45">
      <c r="A701" s="235" t="s">
        <v>3563</v>
      </c>
      <c r="B701" s="20">
        <v>93673</v>
      </c>
      <c r="C701" s="439" t="s">
        <v>3770</v>
      </c>
      <c r="D701" s="21" t="s">
        <v>12</v>
      </c>
      <c r="E701" s="21" t="s">
        <v>17</v>
      </c>
      <c r="F701" s="22">
        <v>1</v>
      </c>
      <c r="G701" s="22">
        <f t="shared" si="196"/>
        <v>73.057500000000005</v>
      </c>
      <c r="H701" s="22">
        <f t="shared" si="204"/>
        <v>92.64</v>
      </c>
      <c r="I701" s="147">
        <f t="shared" si="205"/>
        <v>92.64</v>
      </c>
      <c r="J701" s="148"/>
      <c r="K701" s="148"/>
      <c r="L701" s="148"/>
      <c r="M701" s="148">
        <v>81.39</v>
      </c>
      <c r="N701" s="148">
        <v>103.21</v>
      </c>
      <c r="O701" s="148">
        <v>103.21</v>
      </c>
      <c r="P701" s="494"/>
      <c r="Q701" s="147">
        <f t="shared" si="199"/>
        <v>0</v>
      </c>
      <c r="R701" s="148"/>
      <c r="S701" s="148">
        <f t="shared" si="203"/>
        <v>0</v>
      </c>
      <c r="T701" s="148">
        <f t="shared" si="195"/>
        <v>1</v>
      </c>
      <c r="U701" s="148">
        <f t="shared" si="194"/>
        <v>103.21</v>
      </c>
      <c r="V701" s="379"/>
      <c r="W701" s="379"/>
      <c r="X701" s="58" t="e">
        <f>IF(B701&lt;&gt;0,VLOOKUP(B701,#REF!,4,FALSE),"")</f>
        <v>#REF!</v>
      </c>
      <c r="Y701" s="334" t="s">
        <v>3244</v>
      </c>
      <c r="Z701" s="58">
        <f t="shared" si="200"/>
        <v>-12.892499999999998</v>
      </c>
      <c r="AA701" s="58">
        <f t="shared" si="201"/>
        <v>73.057500000000005</v>
      </c>
      <c r="AB701" s="58"/>
      <c r="AC701" s="58">
        <f t="shared" si="202"/>
        <v>92.64</v>
      </c>
      <c r="AD701" s="58" t="e">
        <f>IF(B701&lt;&gt;0,VLOOKUP(B701,#REF!,2,FALSE),"")</f>
        <v>#REF!</v>
      </c>
      <c r="AE701" s="2">
        <v>48</v>
      </c>
      <c r="AF701" s="55">
        <f t="shared" si="191"/>
        <v>47</v>
      </c>
    </row>
    <row r="702" spans="1:32" s="55" customFormat="1" ht="45">
      <c r="A702" s="235" t="s">
        <v>3564</v>
      </c>
      <c r="B702" s="20">
        <v>1570</v>
      </c>
      <c r="C702" s="439" t="s">
        <v>3751</v>
      </c>
      <c r="D702" s="21" t="s">
        <v>12</v>
      </c>
      <c r="E702" s="21" t="s">
        <v>17</v>
      </c>
      <c r="F702" s="22">
        <v>48</v>
      </c>
      <c r="G702" s="22">
        <f t="shared" si="196"/>
        <v>0.77350000000000008</v>
      </c>
      <c r="H702" s="22">
        <f t="shared" si="204"/>
        <v>0.98</v>
      </c>
      <c r="I702" s="147">
        <f t="shared" si="205"/>
        <v>47.04</v>
      </c>
      <c r="J702" s="148"/>
      <c r="K702" s="148"/>
      <c r="L702" s="148"/>
      <c r="M702" s="148">
        <v>0.86</v>
      </c>
      <c r="N702" s="148">
        <v>1.0900000000000001</v>
      </c>
      <c r="O702" s="148">
        <v>52.32</v>
      </c>
      <c r="P702" s="494"/>
      <c r="Q702" s="147">
        <f t="shared" si="199"/>
        <v>0</v>
      </c>
      <c r="R702" s="148"/>
      <c r="S702" s="148">
        <f t="shared" si="203"/>
        <v>0</v>
      </c>
      <c r="T702" s="148">
        <f t="shared" si="195"/>
        <v>48</v>
      </c>
      <c r="U702" s="148">
        <f t="shared" si="194"/>
        <v>52.32</v>
      </c>
      <c r="V702" s="379"/>
      <c r="W702" s="379"/>
      <c r="X702" s="57" t="e">
        <f>IF(B702&lt;&gt;0,VLOOKUP(B702,#REF!,4,FALSE),"")</f>
        <v>#REF!</v>
      </c>
      <c r="Y702" s="334" t="s">
        <v>1858</v>
      </c>
      <c r="Z702" s="58">
        <f t="shared" si="200"/>
        <v>-0.13649999999999995</v>
      </c>
      <c r="AA702" s="58">
        <f t="shared" si="201"/>
        <v>37.128</v>
      </c>
      <c r="AB702" s="58"/>
      <c r="AC702" s="58">
        <f t="shared" si="202"/>
        <v>47.04</v>
      </c>
      <c r="AD702" s="58" t="e">
        <f>IF(B702&lt;&gt;0,VLOOKUP(B702,#REF!,2,FALSE),"")</f>
        <v>#REF!</v>
      </c>
      <c r="AE702" s="55">
        <v>22</v>
      </c>
      <c r="AF702" s="55">
        <f t="shared" si="191"/>
        <v>-26</v>
      </c>
    </row>
    <row r="703" spans="1:32" s="55" customFormat="1" ht="45">
      <c r="A703" s="235" t="s">
        <v>3565</v>
      </c>
      <c r="B703" s="20">
        <v>1573</v>
      </c>
      <c r="C703" s="439" t="s">
        <v>3752</v>
      </c>
      <c r="D703" s="21" t="s">
        <v>12</v>
      </c>
      <c r="E703" s="21" t="s">
        <v>221</v>
      </c>
      <c r="F703" s="22">
        <v>22</v>
      </c>
      <c r="G703" s="22">
        <f t="shared" si="196"/>
        <v>1.1984999999999999</v>
      </c>
      <c r="H703" s="22">
        <f t="shared" si="204"/>
        <v>1.52</v>
      </c>
      <c r="I703" s="147">
        <f t="shared" si="205"/>
        <v>33.44</v>
      </c>
      <c r="J703" s="148"/>
      <c r="K703" s="148"/>
      <c r="L703" s="148"/>
      <c r="M703" s="148">
        <v>1.34</v>
      </c>
      <c r="N703" s="148">
        <v>1.7</v>
      </c>
      <c r="O703" s="148">
        <v>37.4</v>
      </c>
      <c r="P703" s="494"/>
      <c r="Q703" s="147">
        <f t="shared" si="199"/>
        <v>0</v>
      </c>
      <c r="R703" s="148"/>
      <c r="S703" s="148">
        <f t="shared" si="203"/>
        <v>0</v>
      </c>
      <c r="T703" s="148">
        <f t="shared" si="195"/>
        <v>22</v>
      </c>
      <c r="U703" s="148">
        <f t="shared" si="194"/>
        <v>37.4</v>
      </c>
      <c r="V703" s="379"/>
      <c r="W703" s="379"/>
      <c r="X703" s="57" t="e">
        <f>IF(B703&lt;&gt;0,VLOOKUP(B703,#REF!,4,FALSE),"")</f>
        <v>#REF!</v>
      </c>
      <c r="Y703" s="334" t="s">
        <v>3188</v>
      </c>
      <c r="Z703" s="58">
        <f t="shared" si="200"/>
        <v>-0.21150000000000002</v>
      </c>
      <c r="AA703" s="58">
        <f t="shared" si="201"/>
        <v>26.366999999999997</v>
      </c>
      <c r="AB703" s="58"/>
      <c r="AC703" s="58">
        <f t="shared" si="202"/>
        <v>33.44</v>
      </c>
      <c r="AD703" s="58" t="e">
        <f>IF(B703&lt;&gt;0,VLOOKUP(B703,#REF!,2,FALSE),"")</f>
        <v>#REF!</v>
      </c>
      <c r="AE703" s="55">
        <v>1</v>
      </c>
      <c r="AF703" s="55">
        <f t="shared" si="191"/>
        <v>-21</v>
      </c>
    </row>
    <row r="704" spans="1:32" s="55" customFormat="1" ht="45">
      <c r="A704" s="235" t="s">
        <v>3566</v>
      </c>
      <c r="B704" s="20">
        <v>1576</v>
      </c>
      <c r="C704" s="439" t="s">
        <v>3760</v>
      </c>
      <c r="D704" s="21" t="s">
        <v>12</v>
      </c>
      <c r="E704" s="21" t="s">
        <v>17</v>
      </c>
      <c r="F704" s="22">
        <v>1</v>
      </c>
      <c r="G704" s="22">
        <f t="shared" si="196"/>
        <v>2.1334999999999997</v>
      </c>
      <c r="H704" s="22">
        <f t="shared" si="204"/>
        <v>2.71</v>
      </c>
      <c r="I704" s="147">
        <f t="shared" si="205"/>
        <v>2.71</v>
      </c>
      <c r="J704" s="148"/>
      <c r="K704" s="148"/>
      <c r="L704" s="148"/>
      <c r="M704" s="148">
        <v>2.38</v>
      </c>
      <c r="N704" s="148">
        <v>3.02</v>
      </c>
      <c r="O704" s="148">
        <v>3.02</v>
      </c>
      <c r="P704" s="494"/>
      <c r="Q704" s="147">
        <f t="shared" si="199"/>
        <v>0</v>
      </c>
      <c r="R704" s="148"/>
      <c r="S704" s="148">
        <f t="shared" si="203"/>
        <v>0</v>
      </c>
      <c r="T704" s="148">
        <f t="shared" si="195"/>
        <v>1</v>
      </c>
      <c r="U704" s="148">
        <f t="shared" si="194"/>
        <v>3.02</v>
      </c>
      <c r="V704" s="379"/>
      <c r="W704" s="379"/>
      <c r="X704" s="57" t="e">
        <f>IF(B704&lt;&gt;0,VLOOKUP(B704,#REF!,4,FALSE),"")</f>
        <v>#REF!</v>
      </c>
      <c r="Y704" s="334" t="s">
        <v>3139</v>
      </c>
      <c r="Z704" s="58">
        <f t="shared" si="200"/>
        <v>-0.37650000000000006</v>
      </c>
      <c r="AA704" s="58">
        <f t="shared" si="201"/>
        <v>2.1334999999999997</v>
      </c>
      <c r="AB704" s="58"/>
      <c r="AC704" s="58">
        <f t="shared" si="202"/>
        <v>2.71</v>
      </c>
      <c r="AD704" s="58" t="e">
        <f>IF(B704&lt;&gt;0,VLOOKUP(B704,#REF!,2,FALSE),"")</f>
        <v>#REF!</v>
      </c>
      <c r="AE704" s="55">
        <v>10</v>
      </c>
      <c r="AF704" s="55">
        <f t="shared" si="191"/>
        <v>9</v>
      </c>
    </row>
    <row r="705" spans="1:32" s="55" customFormat="1" ht="45">
      <c r="A705" s="235" t="s">
        <v>3567</v>
      </c>
      <c r="B705" s="20">
        <v>1578</v>
      </c>
      <c r="C705" s="439" t="s">
        <v>3746</v>
      </c>
      <c r="D705" s="21" t="s">
        <v>12</v>
      </c>
      <c r="E705" s="21" t="s">
        <v>17</v>
      </c>
      <c r="F705" s="22">
        <v>10</v>
      </c>
      <c r="G705" s="22">
        <f t="shared" si="196"/>
        <v>4.1820000000000004</v>
      </c>
      <c r="H705" s="22">
        <f t="shared" si="204"/>
        <v>5.3</v>
      </c>
      <c r="I705" s="147">
        <f t="shared" si="205"/>
        <v>53</v>
      </c>
      <c r="J705" s="148"/>
      <c r="K705" s="148"/>
      <c r="L705" s="148"/>
      <c r="M705" s="148">
        <v>4.66</v>
      </c>
      <c r="N705" s="148">
        <v>5.91</v>
      </c>
      <c r="O705" s="148">
        <v>59.1</v>
      </c>
      <c r="P705" s="494"/>
      <c r="Q705" s="147">
        <f t="shared" si="199"/>
        <v>0</v>
      </c>
      <c r="R705" s="148"/>
      <c r="S705" s="148">
        <f t="shared" si="203"/>
        <v>0</v>
      </c>
      <c r="T705" s="148">
        <f t="shared" si="195"/>
        <v>10</v>
      </c>
      <c r="U705" s="148">
        <f t="shared" si="194"/>
        <v>59.1</v>
      </c>
      <c r="V705" s="379"/>
      <c r="W705" s="379"/>
      <c r="X705" s="57" t="e">
        <f>IF(B705&lt;&gt;0,VLOOKUP(B705,#REF!,4,FALSE),"")</f>
        <v>#REF!</v>
      </c>
      <c r="Y705" s="334" t="s">
        <v>3141</v>
      </c>
      <c r="Z705" s="58">
        <f t="shared" si="200"/>
        <v>-0.73799999999999955</v>
      </c>
      <c r="AA705" s="58">
        <f t="shared" si="201"/>
        <v>41.820000000000007</v>
      </c>
      <c r="AB705" s="58"/>
      <c r="AC705" s="58">
        <f t="shared" si="202"/>
        <v>53</v>
      </c>
      <c r="AD705" s="58" t="e">
        <f>IF(B705&lt;&gt;0,VLOOKUP(B705,#REF!,2,FALSE),"")</f>
        <v>#REF!</v>
      </c>
      <c r="AE705" s="55">
        <v>2</v>
      </c>
      <c r="AF705" s="55">
        <f t="shared" si="191"/>
        <v>-8</v>
      </c>
    </row>
    <row r="706" spans="1:32" s="55" customFormat="1" ht="15" customHeight="1">
      <c r="A706" s="21" t="s">
        <v>2849</v>
      </c>
      <c r="B706" s="20">
        <v>91930</v>
      </c>
      <c r="C706" s="19" t="s">
        <v>1731</v>
      </c>
      <c r="D706" s="21" t="s">
        <v>12</v>
      </c>
      <c r="E706" s="21" t="s">
        <v>52</v>
      </c>
      <c r="F706" s="22">
        <v>2</v>
      </c>
      <c r="G706" s="22">
        <f t="shared" si="196"/>
        <v>7.0379999999999994</v>
      </c>
      <c r="H706" s="22">
        <f t="shared" si="204"/>
        <v>8.92</v>
      </c>
      <c r="I706" s="147">
        <f t="shared" si="205"/>
        <v>17.84</v>
      </c>
      <c r="J706" s="148"/>
      <c r="K706" s="148"/>
      <c r="L706" s="148"/>
      <c r="M706" s="148">
        <v>7.84</v>
      </c>
      <c r="N706" s="148">
        <v>9.94</v>
      </c>
      <c r="O706" s="148">
        <v>19.88</v>
      </c>
      <c r="P706" s="494"/>
      <c r="Q706" s="147">
        <f t="shared" si="199"/>
        <v>0</v>
      </c>
      <c r="R706" s="148"/>
      <c r="S706" s="148">
        <f t="shared" si="203"/>
        <v>0</v>
      </c>
      <c r="T706" s="148">
        <f t="shared" si="195"/>
        <v>2</v>
      </c>
      <c r="U706" s="148">
        <f t="shared" si="194"/>
        <v>19.88</v>
      </c>
      <c r="V706" s="379"/>
      <c r="W706" s="379"/>
      <c r="X706" s="58" t="e">
        <f>IF(B706&lt;&gt;0,VLOOKUP(B706,#REF!,4,FALSE),"")</f>
        <v>#REF!</v>
      </c>
      <c r="Y706" s="334" t="s">
        <v>3110</v>
      </c>
      <c r="Z706" s="58">
        <f t="shared" si="200"/>
        <v>-1.242</v>
      </c>
      <c r="AA706" s="58">
        <f t="shared" si="201"/>
        <v>14.075999999999999</v>
      </c>
      <c r="AB706" s="58"/>
      <c r="AC706" s="58">
        <f t="shared" si="202"/>
        <v>17.84</v>
      </c>
      <c r="AD706" s="58" t="e">
        <f>IF(B706&lt;&gt;0,VLOOKUP(B706,#REF!,2,FALSE),"")</f>
        <v>#REF!</v>
      </c>
      <c r="AF706" s="55">
        <f t="shared" si="191"/>
        <v>-2</v>
      </c>
    </row>
    <row r="707" spans="1:32" s="55" customFormat="1">
      <c r="A707" s="69" t="s">
        <v>1359</v>
      </c>
      <c r="B707" s="129"/>
      <c r="C707" s="129" t="s">
        <v>2850</v>
      </c>
      <c r="D707" s="230"/>
      <c r="E707" s="230"/>
      <c r="F707" s="230"/>
      <c r="G707" s="22"/>
      <c r="H707" s="230"/>
      <c r="I707" s="445"/>
      <c r="J707" s="440"/>
      <c r="K707" s="440"/>
      <c r="L707" s="440"/>
      <c r="M707" s="440">
        <v>0</v>
      </c>
      <c r="N707" s="440">
        <v>0</v>
      </c>
      <c r="O707" s="440">
        <v>0</v>
      </c>
      <c r="P707" s="492"/>
      <c r="Q707" s="147">
        <f t="shared" si="199"/>
        <v>0</v>
      </c>
      <c r="R707" s="440"/>
      <c r="S707" s="148">
        <f t="shared" si="203"/>
        <v>0</v>
      </c>
      <c r="T707" s="148" t="str">
        <f t="shared" si="195"/>
        <v xml:space="preserve"> </v>
      </c>
      <c r="U707" s="148">
        <f t="shared" si="194"/>
        <v>0</v>
      </c>
      <c r="V707" s="330"/>
      <c r="W707" s="330"/>
      <c r="X707" s="58" t="str">
        <f>IF(B707&lt;&gt;0,VLOOKUP(B707,#REF!,4,FALSE),"")</f>
        <v/>
      </c>
      <c r="Y707" s="334" t="s">
        <v>1891</v>
      </c>
      <c r="Z707" s="58"/>
      <c r="AA707" s="58">
        <f t="shared" si="201"/>
        <v>0</v>
      </c>
      <c r="AB707" s="58"/>
      <c r="AC707" s="58">
        <f t="shared" si="202"/>
        <v>0</v>
      </c>
      <c r="AD707" s="58" t="str">
        <f>IF(B707&lt;&gt;0,VLOOKUP(B707,#REF!,2,FALSE),"")</f>
        <v/>
      </c>
      <c r="AE707" s="55">
        <v>1</v>
      </c>
      <c r="AF707" s="55">
        <f t="shared" si="191"/>
        <v>1</v>
      </c>
    </row>
    <row r="708" spans="1:32" s="55" customFormat="1" ht="60">
      <c r="A708" s="21" t="s">
        <v>1360</v>
      </c>
      <c r="B708" s="20">
        <v>101879</v>
      </c>
      <c r="C708" s="19" t="s">
        <v>2842</v>
      </c>
      <c r="D708" s="21" t="s">
        <v>12</v>
      </c>
      <c r="E708" s="21" t="s">
        <v>17</v>
      </c>
      <c r="F708" s="22">
        <v>1</v>
      </c>
      <c r="G708" s="22">
        <f t="shared" si="196"/>
        <v>460.73399999999998</v>
      </c>
      <c r="H708" s="22">
        <f t="shared" ref="H708:H718" si="206">ROUND(G708*(1+$X$13),2)</f>
        <v>584.26</v>
      </c>
      <c r="I708" s="147">
        <f t="shared" ref="I708:I718" si="207">ROUND(H708*F708,2)</f>
        <v>584.26</v>
      </c>
      <c r="J708" s="148"/>
      <c r="K708" s="148"/>
      <c r="L708" s="148"/>
      <c r="M708" s="148">
        <v>513.26</v>
      </c>
      <c r="N708" s="148">
        <v>650.87</v>
      </c>
      <c r="O708" s="148">
        <v>650.87</v>
      </c>
      <c r="P708" s="494"/>
      <c r="Q708" s="147">
        <f t="shared" si="199"/>
        <v>0</v>
      </c>
      <c r="R708" s="148"/>
      <c r="S708" s="148">
        <f t="shared" si="203"/>
        <v>0</v>
      </c>
      <c r="T708" s="148">
        <f t="shared" si="195"/>
        <v>1</v>
      </c>
      <c r="U708" s="148">
        <f t="shared" si="194"/>
        <v>650.87</v>
      </c>
      <c r="V708" s="379"/>
      <c r="W708" s="379"/>
      <c r="X708" s="58" t="e">
        <f>IF(B708&lt;&gt;0,VLOOKUP(B708,#REF!,4,FALSE),"")</f>
        <v>#REF!</v>
      </c>
      <c r="Y708" s="334" t="s">
        <v>3247</v>
      </c>
      <c r="Z708" s="58">
        <f t="shared" si="200"/>
        <v>-81.305999999999983</v>
      </c>
      <c r="AA708" s="58">
        <f t="shared" si="201"/>
        <v>460.73399999999998</v>
      </c>
      <c r="AB708" s="58"/>
      <c r="AC708" s="58">
        <f t="shared" si="202"/>
        <v>584.26</v>
      </c>
      <c r="AD708" s="58" t="e">
        <f>IF(B708&lt;&gt;0,VLOOKUP(B708,#REF!,2,FALSE),"")</f>
        <v>#REF!</v>
      </c>
      <c r="AE708" s="55">
        <v>4</v>
      </c>
      <c r="AF708" s="55">
        <f t="shared" si="191"/>
        <v>3</v>
      </c>
    </row>
    <row r="709" spans="1:32" s="55" customFormat="1" ht="30">
      <c r="A709" s="21" t="s">
        <v>1361</v>
      </c>
      <c r="B709" s="20">
        <v>9041</v>
      </c>
      <c r="C709" s="19" t="s">
        <v>1926</v>
      </c>
      <c r="D709" s="21" t="s">
        <v>44</v>
      </c>
      <c r="E709" s="21" t="s">
        <v>17</v>
      </c>
      <c r="F709" s="22">
        <v>4</v>
      </c>
      <c r="G709" s="22">
        <f t="shared" si="196"/>
        <v>97.393000000000001</v>
      </c>
      <c r="H709" s="22">
        <f t="shared" si="206"/>
        <v>123.5</v>
      </c>
      <c r="I709" s="147">
        <f t="shared" si="207"/>
        <v>494</v>
      </c>
      <c r="J709" s="148"/>
      <c r="K709" s="148"/>
      <c r="L709" s="148"/>
      <c r="M709" s="148">
        <v>108.5</v>
      </c>
      <c r="N709" s="148">
        <v>137.59</v>
      </c>
      <c r="O709" s="148">
        <v>550.36</v>
      </c>
      <c r="P709" s="494"/>
      <c r="Q709" s="147">
        <f t="shared" si="199"/>
        <v>0</v>
      </c>
      <c r="R709" s="148"/>
      <c r="S709" s="148">
        <f t="shared" si="203"/>
        <v>0</v>
      </c>
      <c r="T709" s="148">
        <f t="shared" si="195"/>
        <v>4</v>
      </c>
      <c r="U709" s="148">
        <f t="shared" si="194"/>
        <v>550.36</v>
      </c>
      <c r="V709" s="379"/>
      <c r="W709" s="379"/>
      <c r="X709" s="57">
        <f>'COMPOSIÇÃO DE CUSTOS'!G1869</f>
        <v>97.39</v>
      </c>
      <c r="Y709" s="334">
        <v>114.58</v>
      </c>
      <c r="Z709" s="58">
        <f t="shared" si="200"/>
        <v>-17.186999999999998</v>
      </c>
      <c r="AA709" s="58">
        <f t="shared" si="201"/>
        <v>389.572</v>
      </c>
      <c r="AB709" s="58"/>
      <c r="AC709" s="58">
        <f t="shared" si="202"/>
        <v>494</v>
      </c>
      <c r="AD709" s="58" t="e">
        <f>IF(B709&lt;&gt;0,VLOOKUP(B709,#REF!,2,FALSE),"")</f>
        <v>#REF!</v>
      </c>
      <c r="AE709" s="55">
        <v>8</v>
      </c>
      <c r="AF709" s="55">
        <f t="shared" si="191"/>
        <v>4</v>
      </c>
    </row>
    <row r="710" spans="1:32" s="55" customFormat="1" ht="30">
      <c r="A710" s="21" t="s">
        <v>1362</v>
      </c>
      <c r="B710" s="20">
        <v>7996</v>
      </c>
      <c r="C710" s="19" t="s">
        <v>2843</v>
      </c>
      <c r="D710" s="21" t="s">
        <v>44</v>
      </c>
      <c r="E710" s="21" t="s">
        <v>17</v>
      </c>
      <c r="F710" s="22">
        <v>8</v>
      </c>
      <c r="G710" s="22">
        <f t="shared" si="196"/>
        <v>127.449</v>
      </c>
      <c r="H710" s="22">
        <f t="shared" si="206"/>
        <v>161.62</v>
      </c>
      <c r="I710" s="147">
        <f t="shared" si="207"/>
        <v>1292.96</v>
      </c>
      <c r="J710" s="148"/>
      <c r="K710" s="148"/>
      <c r="L710" s="148"/>
      <c r="M710" s="148">
        <v>141.97999999999999</v>
      </c>
      <c r="N710" s="148">
        <v>180.04</v>
      </c>
      <c r="O710" s="148">
        <v>1440.32</v>
      </c>
      <c r="P710" s="494"/>
      <c r="Q710" s="147">
        <f t="shared" si="199"/>
        <v>0</v>
      </c>
      <c r="R710" s="148"/>
      <c r="S710" s="148">
        <f t="shared" si="203"/>
        <v>0</v>
      </c>
      <c r="T710" s="148">
        <f t="shared" si="195"/>
        <v>8</v>
      </c>
      <c r="U710" s="148">
        <f t="shared" si="194"/>
        <v>1440.32</v>
      </c>
      <c r="V710" s="379"/>
      <c r="W710" s="379"/>
      <c r="X710" s="57">
        <f>'COMPOSIÇÃO DE CUSTOS'!G1877</f>
        <v>127.45</v>
      </c>
      <c r="Y710" s="334">
        <v>149.94</v>
      </c>
      <c r="Z710" s="58">
        <f t="shared" si="200"/>
        <v>-22.491</v>
      </c>
      <c r="AA710" s="58">
        <f t="shared" si="201"/>
        <v>1019.592</v>
      </c>
      <c r="AB710" s="58"/>
      <c r="AC710" s="58">
        <f t="shared" si="202"/>
        <v>1292.96</v>
      </c>
      <c r="AD710" s="58" t="e">
        <f>IF(B710&lt;&gt;0,VLOOKUP(B710,#REF!,2,FALSE),"")</f>
        <v>#REF!</v>
      </c>
      <c r="AE710" s="55">
        <v>7</v>
      </c>
      <c r="AF710" s="55">
        <f t="shared" si="191"/>
        <v>-1</v>
      </c>
    </row>
    <row r="711" spans="1:32" s="55" customFormat="1" ht="30">
      <c r="A711" s="21" t="s">
        <v>1363</v>
      </c>
      <c r="B711" s="20">
        <v>93655</v>
      </c>
      <c r="C711" s="19" t="s">
        <v>2851</v>
      </c>
      <c r="D711" s="21" t="s">
        <v>12</v>
      </c>
      <c r="E711" s="21" t="s">
        <v>17</v>
      </c>
      <c r="F711" s="22">
        <v>7</v>
      </c>
      <c r="G711" s="22">
        <f t="shared" si="196"/>
        <v>10.3445</v>
      </c>
      <c r="H711" s="22">
        <f t="shared" si="206"/>
        <v>13.12</v>
      </c>
      <c r="I711" s="147">
        <f t="shared" si="207"/>
        <v>91.84</v>
      </c>
      <c r="J711" s="148"/>
      <c r="K711" s="148"/>
      <c r="L711" s="148"/>
      <c r="M711" s="148">
        <v>11.52</v>
      </c>
      <c r="N711" s="148">
        <v>14.61</v>
      </c>
      <c r="O711" s="148">
        <v>102.27</v>
      </c>
      <c r="P711" s="494"/>
      <c r="Q711" s="147">
        <f t="shared" si="199"/>
        <v>0</v>
      </c>
      <c r="R711" s="148"/>
      <c r="S711" s="148">
        <f t="shared" si="203"/>
        <v>0</v>
      </c>
      <c r="T711" s="148">
        <f t="shared" si="195"/>
        <v>7</v>
      </c>
      <c r="U711" s="148">
        <f t="shared" si="194"/>
        <v>102.27</v>
      </c>
      <c r="V711" s="379"/>
      <c r="W711" s="379"/>
      <c r="X711" s="58" t="e">
        <f>IF(B711&lt;&gt;0,VLOOKUP(B711,#REF!,4,FALSE),"")</f>
        <v>#REF!</v>
      </c>
      <c r="Y711" s="334" t="s">
        <v>1878</v>
      </c>
      <c r="Z711" s="58">
        <f t="shared" si="200"/>
        <v>-1.8254999999999999</v>
      </c>
      <c r="AA711" s="58">
        <f t="shared" si="201"/>
        <v>72.411500000000004</v>
      </c>
      <c r="AB711" s="58"/>
      <c r="AC711" s="58">
        <f t="shared" si="202"/>
        <v>91.839999999999989</v>
      </c>
      <c r="AD711" s="58" t="e">
        <f>IF(B711&lt;&gt;0,VLOOKUP(B711,#REF!,2,FALSE),"")</f>
        <v>#REF!</v>
      </c>
      <c r="AE711" s="55">
        <v>1</v>
      </c>
      <c r="AF711" s="55">
        <f t="shared" si="191"/>
        <v>-6</v>
      </c>
    </row>
    <row r="712" spans="1:32" s="55" customFormat="1">
      <c r="A712" s="21" t="s">
        <v>1364</v>
      </c>
      <c r="B712" s="20">
        <v>101894</v>
      </c>
      <c r="C712" s="19" t="s">
        <v>2852</v>
      </c>
      <c r="D712" s="21" t="s">
        <v>12</v>
      </c>
      <c r="E712" s="21" t="s">
        <v>17</v>
      </c>
      <c r="F712" s="22">
        <v>1</v>
      </c>
      <c r="G712" s="22">
        <f t="shared" si="196"/>
        <v>120.09649999999999</v>
      </c>
      <c r="H712" s="22">
        <f t="shared" si="206"/>
        <v>152.29</v>
      </c>
      <c r="I712" s="147">
        <f t="shared" si="207"/>
        <v>152.29</v>
      </c>
      <c r="J712" s="148"/>
      <c r="K712" s="148"/>
      <c r="L712" s="148"/>
      <c r="M712" s="148">
        <v>133.79</v>
      </c>
      <c r="N712" s="148">
        <v>169.66</v>
      </c>
      <c r="O712" s="148">
        <v>169.66</v>
      </c>
      <c r="P712" s="494"/>
      <c r="Q712" s="147">
        <f t="shared" si="199"/>
        <v>0</v>
      </c>
      <c r="R712" s="148"/>
      <c r="S712" s="148">
        <f t="shared" si="203"/>
        <v>0</v>
      </c>
      <c r="T712" s="148">
        <f t="shared" si="195"/>
        <v>1</v>
      </c>
      <c r="U712" s="148">
        <f t="shared" si="194"/>
        <v>169.66</v>
      </c>
      <c r="V712" s="379"/>
      <c r="W712" s="379"/>
      <c r="X712" s="58" t="e">
        <f>IF(B712&lt;&gt;0,VLOOKUP(B712,#REF!,4,FALSE),"")</f>
        <v>#REF!</v>
      </c>
      <c r="Y712" s="334" t="s">
        <v>3250</v>
      </c>
      <c r="Z712" s="58">
        <f t="shared" si="200"/>
        <v>-21.1935</v>
      </c>
      <c r="AA712" s="58">
        <f t="shared" si="201"/>
        <v>120.09649999999999</v>
      </c>
      <c r="AB712" s="58"/>
      <c r="AC712" s="58">
        <f t="shared" si="202"/>
        <v>152.29</v>
      </c>
      <c r="AD712" s="58" t="e">
        <f>IF(B712&lt;&gt;0,VLOOKUP(B712,#REF!,2,FALSE),"")</f>
        <v>#REF!</v>
      </c>
      <c r="AE712" s="55">
        <v>20</v>
      </c>
      <c r="AF712" s="55">
        <f t="shared" si="191"/>
        <v>19</v>
      </c>
    </row>
    <row r="713" spans="1:32" s="55" customFormat="1" ht="45">
      <c r="A713" s="235" t="s">
        <v>3568</v>
      </c>
      <c r="B713" s="20">
        <v>1570</v>
      </c>
      <c r="C713" s="439" t="s">
        <v>3751</v>
      </c>
      <c r="D713" s="21" t="s">
        <v>12</v>
      </c>
      <c r="E713" s="21" t="s">
        <v>17</v>
      </c>
      <c r="F713" s="22">
        <v>20</v>
      </c>
      <c r="G713" s="22">
        <f t="shared" si="196"/>
        <v>0.77350000000000008</v>
      </c>
      <c r="H713" s="22">
        <f t="shared" si="206"/>
        <v>0.98</v>
      </c>
      <c r="I713" s="147">
        <f t="shared" si="207"/>
        <v>19.600000000000001</v>
      </c>
      <c r="J713" s="148"/>
      <c r="K713" s="148"/>
      <c r="L713" s="148"/>
      <c r="M713" s="148">
        <v>0.86</v>
      </c>
      <c r="N713" s="148">
        <v>1.0900000000000001</v>
      </c>
      <c r="O713" s="148">
        <v>21.8</v>
      </c>
      <c r="P713" s="494"/>
      <c r="Q713" s="147">
        <f t="shared" si="199"/>
        <v>0</v>
      </c>
      <c r="R713" s="148"/>
      <c r="S713" s="148">
        <f t="shared" si="203"/>
        <v>0</v>
      </c>
      <c r="T713" s="148">
        <f t="shared" si="195"/>
        <v>20</v>
      </c>
      <c r="U713" s="148">
        <f t="shared" si="194"/>
        <v>21.8</v>
      </c>
      <c r="V713" s="379"/>
      <c r="W713" s="379"/>
      <c r="X713" s="57" t="e">
        <f>IF(B713&lt;&gt;0,VLOOKUP(B713,#REF!,4,FALSE),"")</f>
        <v>#REF!</v>
      </c>
      <c r="Y713" s="334" t="s">
        <v>1858</v>
      </c>
      <c r="Z713" s="58">
        <f t="shared" si="200"/>
        <v>-0.13649999999999995</v>
      </c>
      <c r="AA713" s="58">
        <f t="shared" si="201"/>
        <v>15.470000000000002</v>
      </c>
      <c r="AB713" s="58"/>
      <c r="AC713" s="58">
        <f t="shared" si="202"/>
        <v>19.600000000000001</v>
      </c>
      <c r="AD713" s="58" t="e">
        <f>IF(B713&lt;&gt;0,VLOOKUP(B713,#REF!,2,FALSE),"")</f>
        <v>#REF!</v>
      </c>
      <c r="AE713" s="55">
        <v>24</v>
      </c>
      <c r="AF713" s="55">
        <f t="shared" si="191"/>
        <v>4</v>
      </c>
    </row>
    <row r="714" spans="1:32" s="55" customFormat="1" ht="45">
      <c r="A714" s="235" t="s">
        <v>3569</v>
      </c>
      <c r="B714" s="20">
        <v>1571</v>
      </c>
      <c r="C714" s="439" t="s">
        <v>3754</v>
      </c>
      <c r="D714" s="21" t="s">
        <v>12</v>
      </c>
      <c r="E714" s="21" t="s">
        <v>17</v>
      </c>
      <c r="F714" s="22">
        <v>24</v>
      </c>
      <c r="G714" s="22">
        <f t="shared" si="196"/>
        <v>1.0114999999999998</v>
      </c>
      <c r="H714" s="22">
        <f t="shared" si="206"/>
        <v>1.28</v>
      </c>
      <c r="I714" s="147">
        <f t="shared" si="207"/>
        <v>30.72</v>
      </c>
      <c r="J714" s="148"/>
      <c r="K714" s="148"/>
      <c r="L714" s="148"/>
      <c r="M714" s="148">
        <v>1.1299999999999999</v>
      </c>
      <c r="N714" s="148">
        <v>1.43</v>
      </c>
      <c r="O714" s="148">
        <v>34.32</v>
      </c>
      <c r="P714" s="494"/>
      <c r="Q714" s="147">
        <f t="shared" si="199"/>
        <v>0</v>
      </c>
      <c r="R714" s="148"/>
      <c r="S714" s="148">
        <f t="shared" si="203"/>
        <v>0</v>
      </c>
      <c r="T714" s="148">
        <f t="shared" si="195"/>
        <v>24</v>
      </c>
      <c r="U714" s="148">
        <f t="shared" si="194"/>
        <v>34.32</v>
      </c>
      <c r="V714" s="379"/>
      <c r="W714" s="379"/>
      <c r="X714" s="57" t="e">
        <f>IF(B714&lt;&gt;0,VLOOKUP(B714,#REF!,4,FALSE),"")</f>
        <v>#REF!</v>
      </c>
      <c r="Y714" s="334" t="s">
        <v>1843</v>
      </c>
      <c r="Z714" s="58">
        <f t="shared" si="200"/>
        <v>-0.1785000000000001</v>
      </c>
      <c r="AA714" s="58">
        <f t="shared" si="201"/>
        <v>24.275999999999996</v>
      </c>
      <c r="AB714" s="58"/>
      <c r="AC714" s="58">
        <f t="shared" si="202"/>
        <v>30.72</v>
      </c>
      <c r="AD714" s="58" t="e">
        <f>IF(B714&lt;&gt;0,VLOOKUP(B714,#REF!,2,FALSE),"")</f>
        <v>#REF!</v>
      </c>
      <c r="AE714" s="55">
        <v>22</v>
      </c>
      <c r="AF714" s="55">
        <f t="shared" si="191"/>
        <v>-2</v>
      </c>
    </row>
    <row r="715" spans="1:32" s="55" customFormat="1" ht="45">
      <c r="A715" s="235" t="s">
        <v>3570</v>
      </c>
      <c r="B715" s="20">
        <v>1573</v>
      </c>
      <c r="C715" s="439" t="s">
        <v>3752</v>
      </c>
      <c r="D715" s="21" t="s">
        <v>12</v>
      </c>
      <c r="E715" s="21" t="s">
        <v>17</v>
      </c>
      <c r="F715" s="22">
        <v>22</v>
      </c>
      <c r="G715" s="22">
        <f t="shared" si="196"/>
        <v>1.1984999999999999</v>
      </c>
      <c r="H715" s="22">
        <f t="shared" si="206"/>
        <v>1.52</v>
      </c>
      <c r="I715" s="147">
        <f t="shared" si="207"/>
        <v>33.44</v>
      </c>
      <c r="J715" s="148"/>
      <c r="K715" s="148"/>
      <c r="L715" s="148"/>
      <c r="M715" s="148">
        <v>1.34</v>
      </c>
      <c r="N715" s="148">
        <v>1.7</v>
      </c>
      <c r="O715" s="148">
        <v>37.4</v>
      </c>
      <c r="P715" s="494"/>
      <c r="Q715" s="147">
        <f t="shared" si="199"/>
        <v>0</v>
      </c>
      <c r="R715" s="148"/>
      <c r="S715" s="148">
        <f t="shared" si="203"/>
        <v>0</v>
      </c>
      <c r="T715" s="148">
        <f t="shared" si="195"/>
        <v>22</v>
      </c>
      <c r="U715" s="148">
        <f t="shared" si="194"/>
        <v>37.4</v>
      </c>
      <c r="V715" s="379"/>
      <c r="W715" s="379"/>
      <c r="X715" s="57" t="e">
        <f>IF(B715&lt;&gt;0,VLOOKUP(B715,#REF!,4,FALSE),"")</f>
        <v>#REF!</v>
      </c>
      <c r="Y715" s="334" t="s">
        <v>3188</v>
      </c>
      <c r="Z715" s="58">
        <f t="shared" si="200"/>
        <v>-0.21150000000000002</v>
      </c>
      <c r="AA715" s="58">
        <f t="shared" si="201"/>
        <v>26.366999999999997</v>
      </c>
      <c r="AB715" s="58"/>
      <c r="AC715" s="58">
        <f t="shared" si="202"/>
        <v>33.44</v>
      </c>
      <c r="AD715" s="58" t="e">
        <f>IF(B715&lt;&gt;0,VLOOKUP(B715,#REF!,2,FALSE),"")</f>
        <v>#REF!</v>
      </c>
      <c r="AE715" s="55">
        <v>1</v>
      </c>
      <c r="AF715" s="55">
        <f t="shared" si="191"/>
        <v>-21</v>
      </c>
    </row>
    <row r="716" spans="1:32" s="55" customFormat="1" ht="45">
      <c r="A716" s="235" t="s">
        <v>3571</v>
      </c>
      <c r="B716" s="20">
        <v>1575</v>
      </c>
      <c r="C716" s="439" t="s">
        <v>3759</v>
      </c>
      <c r="D716" s="21" t="s">
        <v>12</v>
      </c>
      <c r="E716" s="21" t="s">
        <v>17</v>
      </c>
      <c r="F716" s="22">
        <v>1</v>
      </c>
      <c r="G716" s="22">
        <f t="shared" si="196"/>
        <v>1.5470000000000002</v>
      </c>
      <c r="H716" s="22">
        <f t="shared" si="206"/>
        <v>1.96</v>
      </c>
      <c r="I716" s="147">
        <f t="shared" si="207"/>
        <v>1.96</v>
      </c>
      <c r="J716" s="148"/>
      <c r="K716" s="148"/>
      <c r="L716" s="148"/>
      <c r="M716" s="148">
        <v>1.72</v>
      </c>
      <c r="N716" s="148">
        <v>2.1800000000000002</v>
      </c>
      <c r="O716" s="148">
        <v>2.1800000000000002</v>
      </c>
      <c r="P716" s="494"/>
      <c r="Q716" s="147">
        <f t="shared" si="199"/>
        <v>0</v>
      </c>
      <c r="R716" s="148"/>
      <c r="S716" s="148">
        <f t="shared" si="203"/>
        <v>0</v>
      </c>
      <c r="T716" s="148">
        <f t="shared" si="195"/>
        <v>1</v>
      </c>
      <c r="U716" s="148">
        <f t="shared" si="194"/>
        <v>2.1800000000000002</v>
      </c>
      <c r="V716" s="379"/>
      <c r="W716" s="379"/>
      <c r="X716" s="57" t="e">
        <f>IF(B716&lt;&gt;0,VLOOKUP(B716,#REF!,4,FALSE),"")</f>
        <v>#REF!</v>
      </c>
      <c r="Y716" s="334" t="s">
        <v>1861</v>
      </c>
      <c r="Z716" s="58">
        <f t="shared" si="200"/>
        <v>-0.27299999999999991</v>
      </c>
      <c r="AA716" s="58">
        <f t="shared" si="201"/>
        <v>1.5470000000000002</v>
      </c>
      <c r="AB716" s="58"/>
      <c r="AC716" s="58">
        <f t="shared" si="202"/>
        <v>1.96</v>
      </c>
      <c r="AD716" s="58" t="e">
        <f>IF(B716&lt;&gt;0,VLOOKUP(B716,#REF!,2,FALSE),"")</f>
        <v>#REF!</v>
      </c>
      <c r="AE716" s="55">
        <v>10</v>
      </c>
      <c r="AF716" s="55">
        <f t="shared" si="191"/>
        <v>9</v>
      </c>
    </row>
    <row r="717" spans="1:32" s="55" customFormat="1" ht="45">
      <c r="A717" s="235" t="s">
        <v>3573</v>
      </c>
      <c r="B717" s="20">
        <v>1577</v>
      </c>
      <c r="C717" s="439" t="s">
        <v>3747</v>
      </c>
      <c r="D717" s="21" t="s">
        <v>12</v>
      </c>
      <c r="E717" s="21" t="s">
        <v>17</v>
      </c>
      <c r="F717" s="22">
        <v>10</v>
      </c>
      <c r="G717" s="22">
        <f t="shared" si="196"/>
        <v>2.4055</v>
      </c>
      <c r="H717" s="22">
        <f t="shared" si="206"/>
        <v>3.05</v>
      </c>
      <c r="I717" s="147">
        <f t="shared" si="207"/>
        <v>30.5</v>
      </c>
      <c r="J717" s="148"/>
      <c r="K717" s="148"/>
      <c r="L717" s="148"/>
      <c r="M717" s="148">
        <v>2.68</v>
      </c>
      <c r="N717" s="148">
        <v>3.4</v>
      </c>
      <c r="O717" s="148">
        <v>34</v>
      </c>
      <c r="P717" s="494"/>
      <c r="Q717" s="147">
        <f t="shared" si="199"/>
        <v>0</v>
      </c>
      <c r="R717" s="148"/>
      <c r="S717" s="148">
        <f t="shared" si="203"/>
        <v>0</v>
      </c>
      <c r="T717" s="148">
        <f t="shared" si="195"/>
        <v>10</v>
      </c>
      <c r="U717" s="148">
        <f t="shared" si="194"/>
        <v>34</v>
      </c>
      <c r="V717" s="379"/>
      <c r="W717" s="379"/>
      <c r="X717" s="57" t="e">
        <f>IF(B717&lt;&gt;0,VLOOKUP(B717,#REF!,4,FALSE),"")</f>
        <v>#REF!</v>
      </c>
      <c r="Y717" s="334" t="s">
        <v>1894</v>
      </c>
      <c r="Z717" s="58">
        <f t="shared" si="200"/>
        <v>-0.4245000000000001</v>
      </c>
      <c r="AA717" s="58">
        <f t="shared" si="201"/>
        <v>24.055</v>
      </c>
      <c r="AB717" s="58"/>
      <c r="AC717" s="58">
        <f t="shared" si="202"/>
        <v>30.5</v>
      </c>
      <c r="AD717" s="58" t="e">
        <f>IF(B717&lt;&gt;0,VLOOKUP(B717,#REF!,2,FALSE),"")</f>
        <v>#REF!</v>
      </c>
      <c r="AE717" s="55">
        <v>2</v>
      </c>
      <c r="AF717" s="55">
        <f t="shared" si="191"/>
        <v>-8</v>
      </c>
    </row>
    <row r="718" spans="1:32" s="55" customFormat="1" ht="45">
      <c r="A718" s="21" t="s">
        <v>2853</v>
      </c>
      <c r="B718" s="20">
        <v>91930</v>
      </c>
      <c r="C718" s="19" t="s">
        <v>1731</v>
      </c>
      <c r="D718" s="21" t="s">
        <v>12</v>
      </c>
      <c r="E718" s="21" t="s">
        <v>52</v>
      </c>
      <c r="F718" s="22">
        <v>2</v>
      </c>
      <c r="G718" s="22">
        <f t="shared" si="196"/>
        <v>7.0379999999999994</v>
      </c>
      <c r="H718" s="22">
        <f t="shared" si="206"/>
        <v>8.92</v>
      </c>
      <c r="I718" s="147">
        <f t="shared" si="207"/>
        <v>17.84</v>
      </c>
      <c r="J718" s="148"/>
      <c r="K718" s="148"/>
      <c r="L718" s="148"/>
      <c r="M718" s="148">
        <v>7.84</v>
      </c>
      <c r="N718" s="148">
        <v>9.94</v>
      </c>
      <c r="O718" s="148">
        <v>19.88</v>
      </c>
      <c r="P718" s="494"/>
      <c r="Q718" s="147">
        <f t="shared" si="199"/>
        <v>0</v>
      </c>
      <c r="R718" s="148"/>
      <c r="S718" s="148">
        <f t="shared" si="203"/>
        <v>0</v>
      </c>
      <c r="T718" s="148">
        <f t="shared" si="195"/>
        <v>2</v>
      </c>
      <c r="U718" s="148">
        <f t="shared" si="194"/>
        <v>19.88</v>
      </c>
      <c r="V718" s="379"/>
      <c r="W718" s="379"/>
      <c r="X718" s="58" t="e">
        <f>IF(B718&lt;&gt;0,VLOOKUP(B718,#REF!,4,FALSE),"")</f>
        <v>#REF!</v>
      </c>
      <c r="Y718" s="334" t="s">
        <v>3110</v>
      </c>
      <c r="Z718" s="58">
        <f t="shared" si="200"/>
        <v>-1.242</v>
      </c>
      <c r="AA718" s="58">
        <f t="shared" si="201"/>
        <v>14.075999999999999</v>
      </c>
      <c r="AB718" s="58"/>
      <c r="AC718" s="58">
        <f t="shared" si="202"/>
        <v>17.84</v>
      </c>
      <c r="AD718" s="58" t="e">
        <f>IF(B718&lt;&gt;0,VLOOKUP(B718,#REF!,2,FALSE),"")</f>
        <v>#REF!</v>
      </c>
      <c r="AF718" s="55">
        <f t="shared" si="191"/>
        <v>-2</v>
      </c>
    </row>
    <row r="719" spans="1:32" s="55" customFormat="1">
      <c r="A719" s="69" t="s">
        <v>1365</v>
      </c>
      <c r="B719" s="129"/>
      <c r="C719" s="129" t="s">
        <v>2854</v>
      </c>
      <c r="D719" s="230"/>
      <c r="E719" s="230"/>
      <c r="F719" s="230"/>
      <c r="G719" s="22"/>
      <c r="H719" s="230"/>
      <c r="I719" s="445"/>
      <c r="J719" s="440"/>
      <c r="K719" s="440"/>
      <c r="L719" s="440"/>
      <c r="M719" s="440"/>
      <c r="N719" s="440"/>
      <c r="O719" s="440"/>
      <c r="P719" s="492"/>
      <c r="Q719" s="147">
        <f t="shared" si="199"/>
        <v>0</v>
      </c>
      <c r="R719" s="440"/>
      <c r="S719" s="148">
        <f t="shared" si="203"/>
        <v>0</v>
      </c>
      <c r="T719" s="148" t="str">
        <f t="shared" si="195"/>
        <v xml:space="preserve"> </v>
      </c>
      <c r="U719" s="148">
        <f t="shared" si="194"/>
        <v>0</v>
      </c>
      <c r="V719" s="330"/>
      <c r="W719" s="330"/>
      <c r="X719" s="58" t="str">
        <f>IF(B719&lt;&gt;0,VLOOKUP(B719,#REF!,4,FALSE),"")</f>
        <v/>
      </c>
      <c r="Y719" s="334" t="s">
        <v>1891</v>
      </c>
      <c r="Z719" s="58"/>
      <c r="AA719" s="58">
        <f t="shared" si="201"/>
        <v>0</v>
      </c>
      <c r="AB719" s="58"/>
      <c r="AC719" s="58">
        <f t="shared" si="202"/>
        <v>0</v>
      </c>
      <c r="AD719" s="58" t="str">
        <f>IF(B719&lt;&gt;0,VLOOKUP(B719,#REF!,2,FALSE),"")</f>
        <v/>
      </c>
      <c r="AE719" s="55">
        <v>1</v>
      </c>
      <c r="AF719" s="55">
        <f t="shared" si="191"/>
        <v>1</v>
      </c>
    </row>
    <row r="720" spans="1:32" s="55" customFormat="1" ht="77.25" customHeight="1">
      <c r="A720" s="21" t="s">
        <v>1366</v>
      </c>
      <c r="B720" s="20">
        <v>12233</v>
      </c>
      <c r="C720" s="19" t="s">
        <v>1933</v>
      </c>
      <c r="D720" s="21" t="s">
        <v>44</v>
      </c>
      <c r="E720" s="21" t="s">
        <v>17</v>
      </c>
      <c r="F720" s="22">
        <v>1</v>
      </c>
      <c r="G720" s="22">
        <f t="shared" si="196"/>
        <v>930.77549999999997</v>
      </c>
      <c r="H720" s="22">
        <f t="shared" ref="H720:H731" si="208">ROUND(G720*(1+$X$13),2)</f>
        <v>1180.32</v>
      </c>
      <c r="I720" s="147">
        <f t="shared" ref="I720:I731" si="209">ROUND(H720*F720,2)</f>
        <v>1180.32</v>
      </c>
      <c r="J720" s="148"/>
      <c r="K720" s="148"/>
      <c r="L720" s="148"/>
      <c r="M720" s="148">
        <v>1036.8900000000001</v>
      </c>
      <c r="N720" s="148">
        <v>1314.88</v>
      </c>
      <c r="O720" s="148">
        <v>1314.88</v>
      </c>
      <c r="P720" s="494"/>
      <c r="Q720" s="147">
        <f t="shared" si="199"/>
        <v>0</v>
      </c>
      <c r="R720" s="148"/>
      <c r="S720" s="148">
        <f t="shared" si="203"/>
        <v>0</v>
      </c>
      <c r="T720" s="148">
        <f t="shared" si="195"/>
        <v>1</v>
      </c>
      <c r="U720" s="148">
        <f t="shared" si="194"/>
        <v>1314.88</v>
      </c>
      <c r="V720" s="379"/>
      <c r="W720" s="379"/>
      <c r="X720" s="57">
        <f>'COMPOSIÇÃO DE CUSTOS'!G1895</f>
        <v>930.78</v>
      </c>
      <c r="Y720" s="334">
        <v>1095.03</v>
      </c>
      <c r="Z720" s="58">
        <f t="shared" si="200"/>
        <v>-164.25450000000001</v>
      </c>
      <c r="AA720" s="58">
        <f t="shared" si="201"/>
        <v>930.77549999999997</v>
      </c>
      <c r="AB720" s="58"/>
      <c r="AC720" s="58">
        <f t="shared" si="202"/>
        <v>1180.32</v>
      </c>
      <c r="AD720" s="58" t="e">
        <f>IF(B720&lt;&gt;0,VLOOKUP(B720,#REF!,2,FALSE),"")</f>
        <v>#REF!</v>
      </c>
      <c r="AE720" s="55">
        <v>4</v>
      </c>
      <c r="AF720" s="55">
        <f t="shared" si="191"/>
        <v>3</v>
      </c>
    </row>
    <row r="721" spans="1:32" s="55" customFormat="1" ht="30">
      <c r="A721" s="21" t="s">
        <v>1367</v>
      </c>
      <c r="B721" s="20">
        <v>9041</v>
      </c>
      <c r="C721" s="19" t="s">
        <v>1926</v>
      </c>
      <c r="D721" s="21" t="s">
        <v>44</v>
      </c>
      <c r="E721" s="21" t="s">
        <v>17</v>
      </c>
      <c r="F721" s="22">
        <v>4</v>
      </c>
      <c r="G721" s="22">
        <f t="shared" si="196"/>
        <v>97.393000000000001</v>
      </c>
      <c r="H721" s="22">
        <f t="shared" si="208"/>
        <v>123.5</v>
      </c>
      <c r="I721" s="147">
        <f t="shared" si="209"/>
        <v>494</v>
      </c>
      <c r="J721" s="148"/>
      <c r="K721" s="148"/>
      <c r="L721" s="148"/>
      <c r="M721" s="148">
        <v>108.5</v>
      </c>
      <c r="N721" s="148">
        <v>137.59</v>
      </c>
      <c r="O721" s="148">
        <v>550.36</v>
      </c>
      <c r="P721" s="494"/>
      <c r="Q721" s="147">
        <f t="shared" si="199"/>
        <v>0</v>
      </c>
      <c r="R721" s="148"/>
      <c r="S721" s="148">
        <f t="shared" si="203"/>
        <v>0</v>
      </c>
      <c r="T721" s="148">
        <f t="shared" si="195"/>
        <v>4</v>
      </c>
      <c r="U721" s="148">
        <f t="shared" si="194"/>
        <v>550.36</v>
      </c>
      <c r="V721" s="379"/>
      <c r="W721" s="379"/>
      <c r="X721" s="57">
        <f>'COMPOSIÇÃO DE CUSTOS'!G1869</f>
        <v>97.39</v>
      </c>
      <c r="Y721" s="334">
        <v>114.58</v>
      </c>
      <c r="Z721" s="58">
        <f t="shared" si="200"/>
        <v>-17.186999999999998</v>
      </c>
      <c r="AA721" s="58">
        <f t="shared" si="201"/>
        <v>389.572</v>
      </c>
      <c r="AB721" s="58"/>
      <c r="AC721" s="58">
        <f t="shared" si="202"/>
        <v>494</v>
      </c>
      <c r="AD721" s="58" t="e">
        <f>IF(B721&lt;&gt;0,VLOOKUP(B721,#REF!,2,FALSE),"")</f>
        <v>#REF!</v>
      </c>
      <c r="AE721" s="55">
        <v>1</v>
      </c>
      <c r="AF721" s="55">
        <f t="shared" si="191"/>
        <v>-3</v>
      </c>
    </row>
    <row r="722" spans="1:32" s="55" customFormat="1" ht="45">
      <c r="A722" s="21" t="s">
        <v>1368</v>
      </c>
      <c r="B722" s="20">
        <v>93653</v>
      </c>
      <c r="C722" s="19" t="s">
        <v>1729</v>
      </c>
      <c r="D722" s="21" t="s">
        <v>12</v>
      </c>
      <c r="E722" s="21" t="s">
        <v>17</v>
      </c>
      <c r="F722" s="22">
        <v>1</v>
      </c>
      <c r="G722" s="22">
        <f t="shared" si="196"/>
        <v>9.2735000000000003</v>
      </c>
      <c r="H722" s="22">
        <f t="shared" si="208"/>
        <v>11.76</v>
      </c>
      <c r="I722" s="147">
        <f t="shared" si="209"/>
        <v>11.76</v>
      </c>
      <c r="J722" s="148"/>
      <c r="K722" s="148"/>
      <c r="L722" s="148"/>
      <c r="M722" s="148">
        <v>10.33</v>
      </c>
      <c r="N722" s="148">
        <v>13.1</v>
      </c>
      <c r="O722" s="148">
        <v>13.1</v>
      </c>
      <c r="P722" s="494"/>
      <c r="Q722" s="147">
        <f t="shared" si="199"/>
        <v>0</v>
      </c>
      <c r="R722" s="148"/>
      <c r="S722" s="148">
        <f t="shared" si="203"/>
        <v>0</v>
      </c>
      <c r="T722" s="148">
        <f t="shared" si="195"/>
        <v>1</v>
      </c>
      <c r="U722" s="148">
        <f t="shared" si="194"/>
        <v>13.1</v>
      </c>
      <c r="V722" s="379"/>
      <c r="W722" s="379"/>
      <c r="X722" s="58" t="e">
        <f>IF(B722&lt;&gt;0,VLOOKUP(B722,#REF!,4,FALSE),"")</f>
        <v>#REF!</v>
      </c>
      <c r="Y722" s="334" t="s">
        <v>3226</v>
      </c>
      <c r="Z722" s="58">
        <f t="shared" si="200"/>
        <v>-1.6364999999999998</v>
      </c>
      <c r="AA722" s="58">
        <f t="shared" si="201"/>
        <v>9.2735000000000003</v>
      </c>
      <c r="AB722" s="58"/>
      <c r="AC722" s="58">
        <f t="shared" si="202"/>
        <v>11.76</v>
      </c>
      <c r="AD722" s="58" t="e">
        <f>IF(B722&lt;&gt;0,VLOOKUP(B722,#REF!,2,FALSE),"")</f>
        <v>#REF!</v>
      </c>
      <c r="AE722" s="55">
        <v>11</v>
      </c>
      <c r="AF722" s="55">
        <f t="shared" si="191"/>
        <v>10</v>
      </c>
    </row>
    <row r="723" spans="1:32" s="55" customFormat="1" ht="45">
      <c r="A723" s="21" t="s">
        <v>1369</v>
      </c>
      <c r="B723" s="20">
        <v>93654</v>
      </c>
      <c r="C723" s="19" t="s">
        <v>1730</v>
      </c>
      <c r="D723" s="21" t="s">
        <v>12</v>
      </c>
      <c r="E723" s="21" t="s">
        <v>17</v>
      </c>
      <c r="F723" s="22">
        <v>11</v>
      </c>
      <c r="G723" s="22">
        <f t="shared" si="196"/>
        <v>9.6050000000000004</v>
      </c>
      <c r="H723" s="22">
        <f t="shared" si="208"/>
        <v>12.18</v>
      </c>
      <c r="I723" s="147">
        <f t="shared" si="209"/>
        <v>133.97999999999999</v>
      </c>
      <c r="J723" s="148"/>
      <c r="K723" s="148"/>
      <c r="L723" s="148"/>
      <c r="M723" s="148">
        <v>10.7</v>
      </c>
      <c r="N723" s="148">
        <v>13.57</v>
      </c>
      <c r="O723" s="148">
        <v>149.27000000000001</v>
      </c>
      <c r="P723" s="494"/>
      <c r="Q723" s="147">
        <f t="shared" si="199"/>
        <v>0</v>
      </c>
      <c r="R723" s="148"/>
      <c r="S723" s="148">
        <f t="shared" si="203"/>
        <v>0</v>
      </c>
      <c r="T723" s="148">
        <f t="shared" si="195"/>
        <v>11</v>
      </c>
      <c r="U723" s="148">
        <f t="shared" si="194"/>
        <v>149.27000000000001</v>
      </c>
      <c r="V723" s="379"/>
      <c r="W723" s="379"/>
      <c r="X723" s="58" t="e">
        <f>IF(B723&lt;&gt;0,VLOOKUP(B723,#REF!,4,FALSE),"")</f>
        <v>#REF!</v>
      </c>
      <c r="Y723" s="334" t="s">
        <v>3240</v>
      </c>
      <c r="Z723" s="58">
        <f t="shared" si="200"/>
        <v>-1.6950000000000003</v>
      </c>
      <c r="AA723" s="58">
        <f t="shared" si="201"/>
        <v>105.655</v>
      </c>
      <c r="AB723" s="58"/>
      <c r="AC723" s="58">
        <f t="shared" si="202"/>
        <v>133.97999999999999</v>
      </c>
      <c r="AD723" s="58" t="e">
        <f>IF(B723&lt;&gt;0,VLOOKUP(B723,#REF!,2,FALSE),"")</f>
        <v>#REF!</v>
      </c>
      <c r="AE723" s="55">
        <v>10</v>
      </c>
      <c r="AF723" s="55">
        <f t="shared" ref="AF723:AF786" si="210">AE723-F723</f>
        <v>-1</v>
      </c>
    </row>
    <row r="724" spans="1:32" s="55" customFormat="1" ht="45">
      <c r="A724" s="21" t="s">
        <v>1370</v>
      </c>
      <c r="B724" s="20">
        <v>93655</v>
      </c>
      <c r="C724" s="19" t="s">
        <v>2855</v>
      </c>
      <c r="D724" s="21" t="s">
        <v>12</v>
      </c>
      <c r="E724" s="21" t="s">
        <v>17</v>
      </c>
      <c r="F724" s="22">
        <v>10</v>
      </c>
      <c r="G724" s="22">
        <f t="shared" si="196"/>
        <v>10.3445</v>
      </c>
      <c r="H724" s="22">
        <f t="shared" si="208"/>
        <v>13.12</v>
      </c>
      <c r="I724" s="147">
        <f t="shared" si="209"/>
        <v>131.19999999999999</v>
      </c>
      <c r="J724" s="148"/>
      <c r="K724" s="148"/>
      <c r="L724" s="148"/>
      <c r="M724" s="148">
        <v>11.52</v>
      </c>
      <c r="N724" s="148">
        <v>14.61</v>
      </c>
      <c r="O724" s="148">
        <v>146.1</v>
      </c>
      <c r="P724" s="494"/>
      <c r="Q724" s="147">
        <f t="shared" si="199"/>
        <v>0</v>
      </c>
      <c r="R724" s="148"/>
      <c r="S724" s="148">
        <f t="shared" si="203"/>
        <v>0</v>
      </c>
      <c r="T724" s="148">
        <f t="shared" si="195"/>
        <v>10</v>
      </c>
      <c r="U724" s="148">
        <f t="shared" si="194"/>
        <v>146.1</v>
      </c>
      <c r="V724" s="379"/>
      <c r="W724" s="379"/>
      <c r="X724" s="58" t="e">
        <f>IF(B724&lt;&gt;0,VLOOKUP(B724,#REF!,4,FALSE),"")</f>
        <v>#REF!</v>
      </c>
      <c r="Y724" s="334" t="s">
        <v>1878</v>
      </c>
      <c r="Z724" s="58">
        <f t="shared" si="200"/>
        <v>-1.8254999999999999</v>
      </c>
      <c r="AA724" s="58">
        <f t="shared" si="201"/>
        <v>103.44499999999999</v>
      </c>
      <c r="AB724" s="58"/>
      <c r="AC724" s="58">
        <f t="shared" si="202"/>
        <v>131.19999999999999</v>
      </c>
      <c r="AD724" s="58" t="e">
        <f>IF(B724&lt;&gt;0,VLOOKUP(B724,#REF!,2,FALSE),"")</f>
        <v>#REF!</v>
      </c>
      <c r="AE724" s="55">
        <v>1</v>
      </c>
      <c r="AF724" s="55">
        <f t="shared" si="210"/>
        <v>-9</v>
      </c>
    </row>
    <row r="725" spans="1:32" s="55" customFormat="1">
      <c r="A725" s="21" t="s">
        <v>1371</v>
      </c>
      <c r="B725" s="20">
        <v>101894</v>
      </c>
      <c r="C725" s="19" t="s">
        <v>2487</v>
      </c>
      <c r="D725" s="21" t="s">
        <v>12</v>
      </c>
      <c r="E725" s="21" t="s">
        <v>17</v>
      </c>
      <c r="F725" s="22">
        <v>1</v>
      </c>
      <c r="G725" s="22">
        <f t="shared" si="196"/>
        <v>120.09649999999999</v>
      </c>
      <c r="H725" s="22">
        <f t="shared" si="208"/>
        <v>152.29</v>
      </c>
      <c r="I725" s="147">
        <f t="shared" si="209"/>
        <v>152.29</v>
      </c>
      <c r="J725" s="148"/>
      <c r="K725" s="148"/>
      <c r="L725" s="148"/>
      <c r="M725" s="148">
        <v>133.79</v>
      </c>
      <c r="N725" s="148">
        <v>169.66</v>
      </c>
      <c r="O725" s="148">
        <v>169.66</v>
      </c>
      <c r="P725" s="494"/>
      <c r="Q725" s="147">
        <f t="shared" si="199"/>
        <v>0</v>
      </c>
      <c r="R725" s="148"/>
      <c r="S725" s="148">
        <f t="shared" si="203"/>
        <v>0</v>
      </c>
      <c r="T725" s="148">
        <f t="shared" si="195"/>
        <v>1</v>
      </c>
      <c r="U725" s="148">
        <f t="shared" si="194"/>
        <v>169.66</v>
      </c>
      <c r="V725" s="379"/>
      <c r="W725" s="379"/>
      <c r="X725" s="58" t="e">
        <f>IF(B725&lt;&gt;0,VLOOKUP(B725,#REF!,4,FALSE),"")</f>
        <v>#REF!</v>
      </c>
      <c r="Y725" s="334" t="s">
        <v>3250</v>
      </c>
      <c r="Z725" s="58">
        <f t="shared" si="200"/>
        <v>-21.1935</v>
      </c>
      <c r="AA725" s="58">
        <f t="shared" si="201"/>
        <v>120.09649999999999</v>
      </c>
      <c r="AB725" s="58"/>
      <c r="AC725" s="58">
        <f t="shared" si="202"/>
        <v>152.29</v>
      </c>
      <c r="AD725" s="58" t="e">
        <f>IF(B725&lt;&gt;0,VLOOKUP(B725,#REF!,2,FALSE),"")</f>
        <v>#REF!</v>
      </c>
      <c r="AE725" s="55">
        <v>8</v>
      </c>
      <c r="AF725" s="55">
        <f t="shared" si="210"/>
        <v>7</v>
      </c>
    </row>
    <row r="726" spans="1:32" s="55" customFormat="1" ht="45">
      <c r="A726" s="235" t="s">
        <v>3574</v>
      </c>
      <c r="B726" s="20">
        <v>1570</v>
      </c>
      <c r="C726" s="439" t="s">
        <v>3751</v>
      </c>
      <c r="D726" s="21" t="s">
        <v>12</v>
      </c>
      <c r="E726" s="21" t="s">
        <v>17</v>
      </c>
      <c r="F726" s="22">
        <v>8</v>
      </c>
      <c r="G726" s="22">
        <f t="shared" si="196"/>
        <v>0.77350000000000008</v>
      </c>
      <c r="H726" s="22">
        <f t="shared" si="208"/>
        <v>0.98</v>
      </c>
      <c r="I726" s="147">
        <f t="shared" si="209"/>
        <v>7.84</v>
      </c>
      <c r="J726" s="148"/>
      <c r="K726" s="148"/>
      <c r="L726" s="148"/>
      <c r="M726" s="148">
        <v>0.86</v>
      </c>
      <c r="N726" s="148">
        <v>1.0900000000000001</v>
      </c>
      <c r="O726" s="148">
        <v>8.7200000000000006</v>
      </c>
      <c r="P726" s="494"/>
      <c r="Q726" s="147">
        <f t="shared" si="199"/>
        <v>0</v>
      </c>
      <c r="R726" s="148"/>
      <c r="S726" s="148">
        <f t="shared" si="203"/>
        <v>0</v>
      </c>
      <c r="T726" s="148">
        <f t="shared" si="195"/>
        <v>8</v>
      </c>
      <c r="U726" s="148">
        <f t="shared" si="194"/>
        <v>8.7200000000000006</v>
      </c>
      <c r="V726" s="379"/>
      <c r="W726" s="379"/>
      <c r="X726" s="57" t="e">
        <f>IF(B726&lt;&gt;0,VLOOKUP(B726,#REF!,4,FALSE),"")</f>
        <v>#REF!</v>
      </c>
      <c r="Y726" s="334" t="s">
        <v>1858</v>
      </c>
      <c r="Z726" s="58">
        <f t="shared" si="200"/>
        <v>-0.13649999999999995</v>
      </c>
      <c r="AA726" s="58">
        <f t="shared" si="201"/>
        <v>6.1880000000000006</v>
      </c>
      <c r="AB726" s="58"/>
      <c r="AC726" s="58">
        <f t="shared" si="202"/>
        <v>7.84</v>
      </c>
      <c r="AD726" s="58" t="e">
        <f>IF(B726&lt;&gt;0,VLOOKUP(B726,#REF!,2,FALSE),"")</f>
        <v>#REF!</v>
      </c>
      <c r="AE726" s="55">
        <v>64</v>
      </c>
      <c r="AF726" s="55">
        <f t="shared" si="210"/>
        <v>56</v>
      </c>
    </row>
    <row r="727" spans="1:32" s="55" customFormat="1" ht="45">
      <c r="A727" s="235" t="s">
        <v>3575</v>
      </c>
      <c r="B727" s="20">
        <v>1571</v>
      </c>
      <c r="C727" s="439" t="s">
        <v>3754</v>
      </c>
      <c r="D727" s="21" t="s">
        <v>12</v>
      </c>
      <c r="E727" s="21" t="s">
        <v>17</v>
      </c>
      <c r="F727" s="22">
        <v>64</v>
      </c>
      <c r="G727" s="22">
        <f t="shared" si="196"/>
        <v>1.0114999999999998</v>
      </c>
      <c r="H727" s="22">
        <f t="shared" si="208"/>
        <v>1.28</v>
      </c>
      <c r="I727" s="147">
        <f t="shared" si="209"/>
        <v>81.92</v>
      </c>
      <c r="J727" s="148"/>
      <c r="K727" s="148"/>
      <c r="L727" s="148"/>
      <c r="M727" s="148">
        <v>1.1299999999999999</v>
      </c>
      <c r="N727" s="148">
        <v>1.43</v>
      </c>
      <c r="O727" s="148">
        <v>91.52</v>
      </c>
      <c r="P727" s="494"/>
      <c r="Q727" s="147">
        <f t="shared" si="199"/>
        <v>0</v>
      </c>
      <c r="R727" s="148"/>
      <c r="S727" s="148">
        <f t="shared" si="203"/>
        <v>0</v>
      </c>
      <c r="T727" s="148">
        <f t="shared" si="195"/>
        <v>64</v>
      </c>
      <c r="U727" s="148">
        <f t="shared" si="194"/>
        <v>91.52</v>
      </c>
      <c r="V727" s="379"/>
      <c r="W727" s="379"/>
      <c r="X727" s="57" t="e">
        <f>IF(B727&lt;&gt;0,VLOOKUP(B727,#REF!,4,FALSE),"")</f>
        <v>#REF!</v>
      </c>
      <c r="Y727" s="334" t="s">
        <v>1843</v>
      </c>
      <c r="Z727" s="58">
        <f t="shared" si="200"/>
        <v>-0.1785000000000001</v>
      </c>
      <c r="AA727" s="58">
        <f t="shared" si="201"/>
        <v>64.73599999999999</v>
      </c>
      <c r="AB727" s="58"/>
      <c r="AC727" s="58">
        <f t="shared" si="202"/>
        <v>81.92</v>
      </c>
      <c r="AD727" s="58" t="e">
        <f>IF(B727&lt;&gt;0,VLOOKUP(B727,#REF!,2,FALSE),"")</f>
        <v>#REF!</v>
      </c>
      <c r="AE727" s="55">
        <v>22</v>
      </c>
      <c r="AF727" s="55">
        <f t="shared" si="210"/>
        <v>-42</v>
      </c>
    </row>
    <row r="728" spans="1:32" s="55" customFormat="1" ht="45">
      <c r="A728" s="235" t="s">
        <v>3576</v>
      </c>
      <c r="B728" s="20">
        <v>1573</v>
      </c>
      <c r="C728" s="439" t="s">
        <v>3752</v>
      </c>
      <c r="D728" s="21" t="s">
        <v>12</v>
      </c>
      <c r="E728" s="21" t="s">
        <v>221</v>
      </c>
      <c r="F728" s="22">
        <v>22</v>
      </c>
      <c r="G728" s="22">
        <f t="shared" si="196"/>
        <v>1.1984999999999999</v>
      </c>
      <c r="H728" s="22">
        <f t="shared" si="208"/>
        <v>1.52</v>
      </c>
      <c r="I728" s="147">
        <f t="shared" si="209"/>
        <v>33.44</v>
      </c>
      <c r="J728" s="148"/>
      <c r="K728" s="148"/>
      <c r="L728" s="148"/>
      <c r="M728" s="148">
        <v>1.34</v>
      </c>
      <c r="N728" s="148">
        <v>1.7</v>
      </c>
      <c r="O728" s="148">
        <v>37.4</v>
      </c>
      <c r="P728" s="494"/>
      <c r="Q728" s="147">
        <f t="shared" si="199"/>
        <v>0</v>
      </c>
      <c r="R728" s="148"/>
      <c r="S728" s="148">
        <f t="shared" si="203"/>
        <v>0</v>
      </c>
      <c r="T728" s="148">
        <f t="shared" si="195"/>
        <v>22</v>
      </c>
      <c r="U728" s="148">
        <f t="shared" si="194"/>
        <v>37.4</v>
      </c>
      <c r="V728" s="379"/>
      <c r="W728" s="379"/>
      <c r="X728" s="57" t="e">
        <f>IF(B728&lt;&gt;0,VLOOKUP(B728,#REF!,4,FALSE),"")</f>
        <v>#REF!</v>
      </c>
      <c r="Y728" s="334" t="s">
        <v>3188</v>
      </c>
      <c r="Z728" s="58">
        <f t="shared" si="200"/>
        <v>-0.21150000000000002</v>
      </c>
      <c r="AA728" s="58">
        <f t="shared" si="201"/>
        <v>26.366999999999997</v>
      </c>
      <c r="AB728" s="58"/>
      <c r="AC728" s="58">
        <f t="shared" si="202"/>
        <v>33.44</v>
      </c>
      <c r="AD728" s="58" t="e">
        <f>IF(B728&lt;&gt;0,VLOOKUP(B728,#REF!,2,FALSE),"")</f>
        <v>#REF!</v>
      </c>
      <c r="AE728" s="55">
        <v>1</v>
      </c>
      <c r="AF728" s="55">
        <f t="shared" si="210"/>
        <v>-21</v>
      </c>
    </row>
    <row r="729" spans="1:32" s="55" customFormat="1" ht="45">
      <c r="A729" s="235" t="s">
        <v>3577</v>
      </c>
      <c r="B729" s="20">
        <v>1575</v>
      </c>
      <c r="C729" s="439" t="s">
        <v>3759</v>
      </c>
      <c r="D729" s="21" t="s">
        <v>12</v>
      </c>
      <c r="E729" s="21" t="s">
        <v>17</v>
      </c>
      <c r="F729" s="22">
        <v>1</v>
      </c>
      <c r="G729" s="22">
        <f t="shared" si="196"/>
        <v>1.5470000000000002</v>
      </c>
      <c r="H729" s="22">
        <f t="shared" si="208"/>
        <v>1.96</v>
      </c>
      <c r="I729" s="147">
        <f t="shared" si="209"/>
        <v>1.96</v>
      </c>
      <c r="J729" s="148"/>
      <c r="K729" s="148"/>
      <c r="L729" s="148"/>
      <c r="M729" s="148">
        <v>1.72</v>
      </c>
      <c r="N729" s="148">
        <v>2.1800000000000002</v>
      </c>
      <c r="O729" s="148">
        <v>2.1800000000000002</v>
      </c>
      <c r="P729" s="494"/>
      <c r="Q729" s="147">
        <f t="shared" si="199"/>
        <v>0</v>
      </c>
      <c r="R729" s="148"/>
      <c r="S729" s="148">
        <f t="shared" si="203"/>
        <v>0</v>
      </c>
      <c r="T729" s="148">
        <f t="shared" si="195"/>
        <v>1</v>
      </c>
      <c r="U729" s="148">
        <f t="shared" si="194"/>
        <v>2.1800000000000002</v>
      </c>
      <c r="V729" s="379"/>
      <c r="W729" s="379"/>
      <c r="X729" s="57" t="e">
        <f>IF(B729&lt;&gt;0,VLOOKUP(B729,#REF!,4,FALSE),"")</f>
        <v>#REF!</v>
      </c>
      <c r="Y729" s="334" t="s">
        <v>1861</v>
      </c>
      <c r="Z729" s="58">
        <f t="shared" si="200"/>
        <v>-0.27299999999999991</v>
      </c>
      <c r="AA729" s="58">
        <f t="shared" si="201"/>
        <v>1.5470000000000002</v>
      </c>
      <c r="AB729" s="58"/>
      <c r="AC729" s="58">
        <f t="shared" si="202"/>
        <v>1.96</v>
      </c>
      <c r="AD729" s="58" t="e">
        <f>IF(B729&lt;&gt;0,VLOOKUP(B729,#REF!,2,FALSE),"")</f>
        <v>#REF!</v>
      </c>
      <c r="AE729" s="55">
        <v>10</v>
      </c>
      <c r="AF729" s="55">
        <f t="shared" si="210"/>
        <v>9</v>
      </c>
    </row>
    <row r="730" spans="1:32" s="55" customFormat="1" ht="45">
      <c r="A730" s="235" t="s">
        <v>3578</v>
      </c>
      <c r="B730" s="20">
        <v>1577</v>
      </c>
      <c r="C730" s="439" t="s">
        <v>3747</v>
      </c>
      <c r="D730" s="21" t="s">
        <v>12</v>
      </c>
      <c r="E730" s="21" t="s">
        <v>17</v>
      </c>
      <c r="F730" s="22">
        <v>10</v>
      </c>
      <c r="G730" s="22">
        <f t="shared" si="196"/>
        <v>2.4055</v>
      </c>
      <c r="H730" s="22">
        <f t="shared" si="208"/>
        <v>3.05</v>
      </c>
      <c r="I730" s="147">
        <f t="shared" si="209"/>
        <v>30.5</v>
      </c>
      <c r="J730" s="148"/>
      <c r="K730" s="148"/>
      <c r="L730" s="148"/>
      <c r="M730" s="148">
        <v>2.68</v>
      </c>
      <c r="N730" s="148">
        <v>3.4</v>
      </c>
      <c r="O730" s="148">
        <v>34</v>
      </c>
      <c r="P730" s="494"/>
      <c r="Q730" s="147">
        <f t="shared" si="199"/>
        <v>0</v>
      </c>
      <c r="R730" s="148"/>
      <c r="S730" s="148">
        <f t="shared" si="203"/>
        <v>0</v>
      </c>
      <c r="T730" s="148">
        <f t="shared" si="195"/>
        <v>10</v>
      </c>
      <c r="U730" s="148">
        <f t="shared" si="194"/>
        <v>34</v>
      </c>
      <c r="V730" s="379"/>
      <c r="W730" s="379"/>
      <c r="X730" s="57" t="e">
        <f>IF(B730&lt;&gt;0,VLOOKUP(B730,#REF!,4,FALSE),"")</f>
        <v>#REF!</v>
      </c>
      <c r="Y730" s="334" t="s">
        <v>1894</v>
      </c>
      <c r="Z730" s="58">
        <f t="shared" si="200"/>
        <v>-0.4245000000000001</v>
      </c>
      <c r="AA730" s="58">
        <f t="shared" si="201"/>
        <v>24.055</v>
      </c>
      <c r="AB730" s="58"/>
      <c r="AC730" s="58">
        <f t="shared" si="202"/>
        <v>30.5</v>
      </c>
      <c r="AD730" s="58" t="e">
        <f>IF(B730&lt;&gt;0,VLOOKUP(B730,#REF!,2,FALSE),"")</f>
        <v>#REF!</v>
      </c>
      <c r="AE730" s="55">
        <v>2</v>
      </c>
      <c r="AF730" s="55">
        <f t="shared" si="210"/>
        <v>-8</v>
      </c>
    </row>
    <row r="731" spans="1:32" s="55" customFormat="1" ht="45">
      <c r="A731" s="21" t="s">
        <v>1372</v>
      </c>
      <c r="B731" s="20">
        <v>91930</v>
      </c>
      <c r="C731" s="19" t="s">
        <v>1731</v>
      </c>
      <c r="D731" s="21" t="s">
        <v>12</v>
      </c>
      <c r="E731" s="21" t="s">
        <v>52</v>
      </c>
      <c r="F731" s="22">
        <v>2</v>
      </c>
      <c r="G731" s="22">
        <f t="shared" si="196"/>
        <v>7.0379999999999994</v>
      </c>
      <c r="H731" s="22">
        <f t="shared" si="208"/>
        <v>8.92</v>
      </c>
      <c r="I731" s="147">
        <f t="shared" si="209"/>
        <v>17.84</v>
      </c>
      <c r="J731" s="148"/>
      <c r="K731" s="148"/>
      <c r="L731" s="148"/>
      <c r="M731" s="148">
        <v>7.84</v>
      </c>
      <c r="N731" s="148">
        <v>9.94</v>
      </c>
      <c r="O731" s="148">
        <v>19.88</v>
      </c>
      <c r="P731" s="494"/>
      <c r="Q731" s="147">
        <f t="shared" si="199"/>
        <v>0</v>
      </c>
      <c r="R731" s="148"/>
      <c r="S731" s="148">
        <f t="shared" si="203"/>
        <v>0</v>
      </c>
      <c r="T731" s="148">
        <f t="shared" si="195"/>
        <v>2</v>
      </c>
      <c r="U731" s="148">
        <f t="shared" si="194"/>
        <v>19.88</v>
      </c>
      <c r="V731" s="379"/>
      <c r="W731" s="379"/>
      <c r="X731" s="58" t="e">
        <f>IF(B731&lt;&gt;0,VLOOKUP(B731,#REF!,4,FALSE),"")</f>
        <v>#REF!</v>
      </c>
      <c r="Y731" s="334" t="s">
        <v>3110</v>
      </c>
      <c r="Z731" s="58">
        <f t="shared" si="200"/>
        <v>-1.242</v>
      </c>
      <c r="AA731" s="58">
        <f t="shared" si="201"/>
        <v>14.075999999999999</v>
      </c>
      <c r="AB731" s="58"/>
      <c r="AC731" s="58">
        <f t="shared" si="202"/>
        <v>17.84</v>
      </c>
      <c r="AD731" s="58" t="e">
        <f>IF(B731&lt;&gt;0,VLOOKUP(B731,#REF!,2,FALSE),"")</f>
        <v>#REF!</v>
      </c>
      <c r="AF731" s="55">
        <f t="shared" si="210"/>
        <v>-2</v>
      </c>
    </row>
    <row r="732" spans="1:32" s="55" customFormat="1">
      <c r="A732" s="69" t="s">
        <v>2856</v>
      </c>
      <c r="B732" s="129"/>
      <c r="C732" s="129" t="s">
        <v>2857</v>
      </c>
      <c r="D732" s="230"/>
      <c r="E732" s="230"/>
      <c r="F732" s="230"/>
      <c r="G732" s="22"/>
      <c r="H732" s="230"/>
      <c r="I732" s="445"/>
      <c r="J732" s="440"/>
      <c r="K732" s="440"/>
      <c r="L732" s="440"/>
      <c r="M732" s="440"/>
      <c r="N732" s="440"/>
      <c r="O732" s="440"/>
      <c r="P732" s="492"/>
      <c r="Q732" s="147">
        <f t="shared" si="199"/>
        <v>0</v>
      </c>
      <c r="R732" s="440"/>
      <c r="S732" s="148">
        <f t="shared" si="203"/>
        <v>0</v>
      </c>
      <c r="T732" s="148" t="str">
        <f t="shared" si="195"/>
        <v xml:space="preserve"> </v>
      </c>
      <c r="U732" s="148">
        <f t="shared" si="194"/>
        <v>0</v>
      </c>
      <c r="V732" s="330"/>
      <c r="W732" s="330"/>
      <c r="X732" s="58" t="str">
        <f>IF(B732&lt;&gt;0,VLOOKUP(B732,#REF!,4,FALSE),"")</f>
        <v/>
      </c>
      <c r="Y732" s="334" t="s">
        <v>1891</v>
      </c>
      <c r="Z732" s="58"/>
      <c r="AA732" s="58">
        <f t="shared" si="201"/>
        <v>0</v>
      </c>
      <c r="AB732" s="58"/>
      <c r="AC732" s="58">
        <f t="shared" si="202"/>
        <v>0</v>
      </c>
      <c r="AD732" s="58" t="str">
        <f>IF(B732&lt;&gt;0,VLOOKUP(B732,#REF!,2,FALSE),"")</f>
        <v/>
      </c>
      <c r="AE732" s="55">
        <v>1</v>
      </c>
      <c r="AF732" s="55">
        <f t="shared" si="210"/>
        <v>1</v>
      </c>
    </row>
    <row r="733" spans="1:32" ht="75">
      <c r="A733" s="235" t="s">
        <v>3579</v>
      </c>
      <c r="B733" s="20">
        <v>101882</v>
      </c>
      <c r="C733" s="439" t="s">
        <v>3771</v>
      </c>
      <c r="D733" s="21" t="s">
        <v>12</v>
      </c>
      <c r="E733" s="21" t="s">
        <v>17</v>
      </c>
      <c r="F733" s="22">
        <v>1</v>
      </c>
      <c r="G733" s="22">
        <f t="shared" si="196"/>
        <v>1091.0345</v>
      </c>
      <c r="H733" s="22">
        <f t="shared" ref="H733:H746" si="211">ROUND(G733*(1+$X$13),2)</f>
        <v>1383.54</v>
      </c>
      <c r="I733" s="147">
        <f t="shared" ref="I733:I746" si="212">ROUND(H733*F733,2)</f>
        <v>1383.54</v>
      </c>
      <c r="J733" s="148"/>
      <c r="K733" s="148"/>
      <c r="L733" s="148"/>
      <c r="M733" s="148">
        <v>1215.42</v>
      </c>
      <c r="N733" s="148">
        <v>1541.27</v>
      </c>
      <c r="O733" s="148">
        <v>1541.27</v>
      </c>
      <c r="P733" s="494"/>
      <c r="Q733" s="147">
        <f t="shared" si="199"/>
        <v>0</v>
      </c>
      <c r="R733" s="148"/>
      <c r="S733" s="148">
        <f t="shared" si="203"/>
        <v>0</v>
      </c>
      <c r="T733" s="148">
        <f t="shared" si="195"/>
        <v>1</v>
      </c>
      <c r="U733" s="148">
        <f t="shared" si="194"/>
        <v>1541.27</v>
      </c>
      <c r="V733" s="379"/>
      <c r="W733" s="379"/>
      <c r="X733" s="58" t="e">
        <f>IF(B733&lt;&gt;0,VLOOKUP(B733,#REF!,4,FALSE),"")</f>
        <v>#REF!</v>
      </c>
      <c r="Y733" s="334" t="s">
        <v>3249</v>
      </c>
      <c r="Z733" s="58">
        <f t="shared" si="200"/>
        <v>-192.53549999999996</v>
      </c>
      <c r="AA733" s="58">
        <f t="shared" si="201"/>
        <v>1091.0345</v>
      </c>
      <c r="AB733" s="58"/>
      <c r="AC733" s="58">
        <f t="shared" si="202"/>
        <v>1383.54</v>
      </c>
      <c r="AD733" s="58" t="e">
        <f>IF(B733&lt;&gt;0,VLOOKUP(B733,#REF!,2,FALSE),"")</f>
        <v>#REF!</v>
      </c>
      <c r="AE733" s="2">
        <v>4</v>
      </c>
      <c r="AF733" s="55">
        <f t="shared" si="210"/>
        <v>3</v>
      </c>
    </row>
    <row r="734" spans="1:32" ht="30">
      <c r="A734" s="21" t="s">
        <v>2858</v>
      </c>
      <c r="B734" s="20">
        <v>9041</v>
      </c>
      <c r="C734" s="19" t="s">
        <v>1926</v>
      </c>
      <c r="D734" s="21" t="s">
        <v>44</v>
      </c>
      <c r="E734" s="21" t="s">
        <v>17</v>
      </c>
      <c r="F734" s="22">
        <v>4</v>
      </c>
      <c r="G734" s="22">
        <f t="shared" si="196"/>
        <v>97.393000000000001</v>
      </c>
      <c r="H734" s="22">
        <f t="shared" si="211"/>
        <v>123.5</v>
      </c>
      <c r="I734" s="147">
        <f t="shared" si="212"/>
        <v>494</v>
      </c>
      <c r="J734" s="148"/>
      <c r="K734" s="148"/>
      <c r="L734" s="148"/>
      <c r="M734" s="148">
        <v>108.5</v>
      </c>
      <c r="N734" s="148">
        <v>137.59</v>
      </c>
      <c r="O734" s="148">
        <v>550.36</v>
      </c>
      <c r="P734" s="494"/>
      <c r="Q734" s="147">
        <f t="shared" si="199"/>
        <v>0</v>
      </c>
      <c r="R734" s="148"/>
      <c r="S734" s="148">
        <f t="shared" si="203"/>
        <v>0</v>
      </c>
      <c r="T734" s="148">
        <f t="shared" si="195"/>
        <v>4</v>
      </c>
      <c r="U734" s="148">
        <f t="shared" si="194"/>
        <v>550.36</v>
      </c>
      <c r="V734" s="379"/>
      <c r="W734" s="379"/>
      <c r="X734" s="58">
        <f>'COMPOSIÇÃO DE CUSTOS'!G1869</f>
        <v>97.39</v>
      </c>
      <c r="Y734" s="334">
        <v>114.58</v>
      </c>
      <c r="Z734" s="58">
        <f t="shared" si="200"/>
        <v>-17.186999999999998</v>
      </c>
      <c r="AA734" s="58">
        <f t="shared" si="201"/>
        <v>389.572</v>
      </c>
      <c r="AB734" s="58"/>
      <c r="AC734" s="58">
        <f t="shared" si="202"/>
        <v>494</v>
      </c>
      <c r="AD734" s="58" t="e">
        <f>IF(B734&lt;&gt;0,VLOOKUP(B734,#REF!,2,FALSE),"")</f>
        <v>#REF!</v>
      </c>
      <c r="AE734" s="2">
        <v>4</v>
      </c>
      <c r="AF734" s="55">
        <f t="shared" si="210"/>
        <v>0</v>
      </c>
    </row>
    <row r="735" spans="1:32" s="55" customFormat="1" ht="45">
      <c r="A735" s="21" t="s">
        <v>2859</v>
      </c>
      <c r="B735" s="20">
        <v>93655</v>
      </c>
      <c r="C735" s="19" t="s">
        <v>2855</v>
      </c>
      <c r="D735" s="21" t="s">
        <v>12</v>
      </c>
      <c r="E735" s="21" t="s">
        <v>17</v>
      </c>
      <c r="F735" s="22">
        <v>4</v>
      </c>
      <c r="G735" s="22">
        <f t="shared" si="196"/>
        <v>10.3445</v>
      </c>
      <c r="H735" s="22">
        <f t="shared" si="211"/>
        <v>13.12</v>
      </c>
      <c r="I735" s="147">
        <f t="shared" si="212"/>
        <v>52.48</v>
      </c>
      <c r="J735" s="148"/>
      <c r="K735" s="148"/>
      <c r="L735" s="148"/>
      <c r="M735" s="148">
        <v>11.52</v>
      </c>
      <c r="N735" s="148">
        <v>14.61</v>
      </c>
      <c r="O735" s="148">
        <v>58.44</v>
      </c>
      <c r="P735" s="494"/>
      <c r="Q735" s="147">
        <f t="shared" si="199"/>
        <v>0</v>
      </c>
      <c r="R735" s="148"/>
      <c r="S735" s="148">
        <f t="shared" si="203"/>
        <v>0</v>
      </c>
      <c r="T735" s="148">
        <f t="shared" si="195"/>
        <v>4</v>
      </c>
      <c r="U735" s="148">
        <f t="shared" si="194"/>
        <v>58.44</v>
      </c>
      <c r="V735" s="379"/>
      <c r="W735" s="379"/>
      <c r="X735" s="58" t="e">
        <f>IF(B735&lt;&gt;0,VLOOKUP(B735,#REF!,4,FALSE),"")</f>
        <v>#REF!</v>
      </c>
      <c r="Y735" s="334" t="s">
        <v>1878</v>
      </c>
      <c r="Z735" s="58">
        <f t="shared" si="200"/>
        <v>-1.8254999999999999</v>
      </c>
      <c r="AA735" s="58">
        <f t="shared" si="201"/>
        <v>41.378</v>
      </c>
      <c r="AB735" s="58"/>
      <c r="AC735" s="58">
        <f t="shared" si="202"/>
        <v>52.48</v>
      </c>
      <c r="AD735" s="58" t="e">
        <f>IF(B735&lt;&gt;0,VLOOKUP(B735,#REF!,2,FALSE),"")</f>
        <v>#REF!</v>
      </c>
      <c r="AE735" s="55">
        <v>1</v>
      </c>
      <c r="AF735" s="55">
        <f t="shared" si="210"/>
        <v>-3</v>
      </c>
    </row>
    <row r="736" spans="1:32" s="55" customFormat="1">
      <c r="A736" s="21" t="s">
        <v>2860</v>
      </c>
      <c r="B736" s="20">
        <v>101894</v>
      </c>
      <c r="C736" s="19" t="s">
        <v>266</v>
      </c>
      <c r="D736" s="21" t="s">
        <v>12</v>
      </c>
      <c r="E736" s="21" t="s">
        <v>17</v>
      </c>
      <c r="F736" s="22">
        <v>1</v>
      </c>
      <c r="G736" s="22">
        <f t="shared" si="196"/>
        <v>120.09649999999999</v>
      </c>
      <c r="H736" s="22">
        <f t="shared" si="211"/>
        <v>152.29</v>
      </c>
      <c r="I736" s="147">
        <f t="shared" si="212"/>
        <v>152.29</v>
      </c>
      <c r="J736" s="148"/>
      <c r="K736" s="148"/>
      <c r="L736" s="148"/>
      <c r="M736" s="148">
        <v>133.79</v>
      </c>
      <c r="N736" s="148">
        <v>169.66</v>
      </c>
      <c r="O736" s="148">
        <v>169.66</v>
      </c>
      <c r="P736" s="494"/>
      <c r="Q736" s="147">
        <f t="shared" si="199"/>
        <v>0</v>
      </c>
      <c r="R736" s="148"/>
      <c r="S736" s="148">
        <f t="shared" si="203"/>
        <v>0</v>
      </c>
      <c r="T736" s="148">
        <f t="shared" si="195"/>
        <v>1</v>
      </c>
      <c r="U736" s="148">
        <f t="shared" si="194"/>
        <v>169.66</v>
      </c>
      <c r="V736" s="379"/>
      <c r="W736" s="379"/>
      <c r="X736" s="58" t="e">
        <f>IF(B736&lt;&gt;0,VLOOKUP(B736,#REF!,4,FALSE),"")</f>
        <v>#REF!</v>
      </c>
      <c r="Y736" s="334" t="s">
        <v>3250</v>
      </c>
      <c r="Z736" s="58">
        <f t="shared" si="200"/>
        <v>-21.1935</v>
      </c>
      <c r="AA736" s="58">
        <f t="shared" si="201"/>
        <v>120.09649999999999</v>
      </c>
      <c r="AB736" s="58"/>
      <c r="AC736" s="58">
        <f t="shared" si="202"/>
        <v>152.29</v>
      </c>
      <c r="AD736" s="58" t="e">
        <f>IF(B736&lt;&gt;0,VLOOKUP(B736,#REF!,2,FALSE),"")</f>
        <v>#REF!</v>
      </c>
      <c r="AE736" s="55">
        <v>1</v>
      </c>
      <c r="AF736" s="55">
        <f t="shared" si="210"/>
        <v>0</v>
      </c>
    </row>
    <row r="737" spans="1:32" s="55" customFormat="1">
      <c r="A737" s="21" t="s">
        <v>2861</v>
      </c>
      <c r="B737" s="20">
        <v>101894</v>
      </c>
      <c r="C737" s="19" t="s">
        <v>2862</v>
      </c>
      <c r="D737" s="21" t="s">
        <v>12</v>
      </c>
      <c r="E737" s="21" t="s">
        <v>17</v>
      </c>
      <c r="F737" s="22">
        <v>1</v>
      </c>
      <c r="G737" s="22">
        <f t="shared" si="196"/>
        <v>120.09649999999999</v>
      </c>
      <c r="H737" s="22">
        <f t="shared" si="211"/>
        <v>152.29</v>
      </c>
      <c r="I737" s="147">
        <f t="shared" si="212"/>
        <v>152.29</v>
      </c>
      <c r="J737" s="148"/>
      <c r="K737" s="148"/>
      <c r="L737" s="148"/>
      <c r="M737" s="148">
        <v>133.79</v>
      </c>
      <c r="N737" s="148">
        <v>169.66</v>
      </c>
      <c r="O737" s="148">
        <v>169.66</v>
      </c>
      <c r="P737" s="494"/>
      <c r="Q737" s="147">
        <f t="shared" si="199"/>
        <v>0</v>
      </c>
      <c r="R737" s="148"/>
      <c r="S737" s="148">
        <f t="shared" si="203"/>
        <v>0</v>
      </c>
      <c r="T737" s="148">
        <f t="shared" si="195"/>
        <v>1</v>
      </c>
      <c r="U737" s="148">
        <f t="shared" ref="U737:U800" si="213">L737+Q737-S737+O737</f>
        <v>169.66</v>
      </c>
      <c r="V737" s="379"/>
      <c r="W737" s="379"/>
      <c r="X737" s="58" t="e">
        <f>IF(B737&lt;&gt;0,VLOOKUP(B737,#REF!,4,FALSE),"")</f>
        <v>#REF!</v>
      </c>
      <c r="Y737" s="334" t="s">
        <v>3250</v>
      </c>
      <c r="Z737" s="58">
        <f t="shared" si="200"/>
        <v>-21.1935</v>
      </c>
      <c r="AA737" s="58">
        <f t="shared" si="201"/>
        <v>120.09649999999999</v>
      </c>
      <c r="AB737" s="58"/>
      <c r="AC737" s="58">
        <f t="shared" si="202"/>
        <v>152.29</v>
      </c>
      <c r="AD737" s="58" t="e">
        <f>IF(B737&lt;&gt;0,VLOOKUP(B737,#REF!,2,FALSE),"")</f>
        <v>#REF!</v>
      </c>
      <c r="AE737" s="55">
        <v>1</v>
      </c>
      <c r="AF737" s="55">
        <f t="shared" si="210"/>
        <v>0</v>
      </c>
    </row>
    <row r="738" spans="1:32" s="55" customFormat="1" ht="30">
      <c r="A738" s="21" t="s">
        <v>2863</v>
      </c>
      <c r="B738" s="20">
        <v>101896</v>
      </c>
      <c r="C738" s="19" t="s">
        <v>2864</v>
      </c>
      <c r="D738" s="21" t="s">
        <v>12</v>
      </c>
      <c r="E738" s="21" t="s">
        <v>17</v>
      </c>
      <c r="F738" s="22">
        <v>1</v>
      </c>
      <c r="G738" s="22">
        <f t="shared" si="196"/>
        <v>515.48250000000007</v>
      </c>
      <c r="H738" s="22">
        <f t="shared" si="211"/>
        <v>653.67999999999995</v>
      </c>
      <c r="I738" s="147">
        <f t="shared" si="212"/>
        <v>653.67999999999995</v>
      </c>
      <c r="J738" s="148"/>
      <c r="K738" s="148"/>
      <c r="L738" s="148"/>
      <c r="M738" s="148">
        <v>574.25</v>
      </c>
      <c r="N738" s="148">
        <v>728.21</v>
      </c>
      <c r="O738" s="148">
        <v>728.21</v>
      </c>
      <c r="P738" s="494"/>
      <c r="Q738" s="147">
        <f t="shared" si="199"/>
        <v>0</v>
      </c>
      <c r="R738" s="148"/>
      <c r="S738" s="148">
        <f t="shared" si="203"/>
        <v>0</v>
      </c>
      <c r="T738" s="148">
        <f t="shared" si="195"/>
        <v>1</v>
      </c>
      <c r="U738" s="148">
        <f t="shared" si="213"/>
        <v>728.21</v>
      </c>
      <c r="V738" s="379"/>
      <c r="W738" s="379"/>
      <c r="X738" s="58" t="e">
        <f>IF(B738&lt;&gt;0,VLOOKUP(B738,#REF!,4,FALSE),"")</f>
        <v>#REF!</v>
      </c>
      <c r="Y738" s="334" t="s">
        <v>3152</v>
      </c>
      <c r="Z738" s="58">
        <f t="shared" si="200"/>
        <v>-90.967499999999973</v>
      </c>
      <c r="AA738" s="58">
        <f t="shared" si="201"/>
        <v>515.48250000000007</v>
      </c>
      <c r="AB738" s="58"/>
      <c r="AC738" s="58">
        <f t="shared" si="202"/>
        <v>653.67999999999995</v>
      </c>
      <c r="AD738" s="58" t="e">
        <f>IF(B738&lt;&gt;0,VLOOKUP(B738,#REF!,2,FALSE),"")</f>
        <v>#REF!</v>
      </c>
      <c r="AE738" s="55">
        <v>8</v>
      </c>
      <c r="AF738" s="55">
        <f t="shared" si="210"/>
        <v>7</v>
      </c>
    </row>
    <row r="739" spans="1:32" s="55" customFormat="1" ht="45">
      <c r="A739" s="235" t="s">
        <v>3580</v>
      </c>
      <c r="B739" s="20">
        <v>1571</v>
      </c>
      <c r="C739" s="439" t="s">
        <v>3754</v>
      </c>
      <c r="D739" s="21" t="s">
        <v>12</v>
      </c>
      <c r="E739" s="21" t="s">
        <v>17</v>
      </c>
      <c r="F739" s="22">
        <v>8</v>
      </c>
      <c r="G739" s="22">
        <f t="shared" si="196"/>
        <v>1.0114999999999998</v>
      </c>
      <c r="H739" s="22">
        <f t="shared" si="211"/>
        <v>1.28</v>
      </c>
      <c r="I739" s="147">
        <f t="shared" si="212"/>
        <v>10.24</v>
      </c>
      <c r="J739" s="148"/>
      <c r="K739" s="148"/>
      <c r="L739" s="148"/>
      <c r="M739" s="148">
        <v>1.1299999999999999</v>
      </c>
      <c r="N739" s="148">
        <v>1.43</v>
      </c>
      <c r="O739" s="148">
        <v>11.44</v>
      </c>
      <c r="P739" s="494"/>
      <c r="Q739" s="147">
        <f t="shared" si="199"/>
        <v>0</v>
      </c>
      <c r="R739" s="148"/>
      <c r="S739" s="148">
        <f t="shared" si="203"/>
        <v>0</v>
      </c>
      <c r="T739" s="148">
        <f t="shared" ref="T739:T802" si="214">IF(F739&gt;0,F739+P739-R739," ")</f>
        <v>8</v>
      </c>
      <c r="U739" s="148">
        <f t="shared" si="213"/>
        <v>11.44</v>
      </c>
      <c r="V739" s="379"/>
      <c r="W739" s="379"/>
      <c r="X739" s="57" t="e">
        <f>IF(B739&lt;&gt;0,VLOOKUP(B739,#REF!,4,FALSE),"")</f>
        <v>#REF!</v>
      </c>
      <c r="Y739" s="334" t="s">
        <v>1843</v>
      </c>
      <c r="Z739" s="58">
        <f t="shared" si="200"/>
        <v>-0.1785000000000001</v>
      </c>
      <c r="AA739" s="58">
        <f t="shared" si="201"/>
        <v>8.0919999999999987</v>
      </c>
      <c r="AB739" s="58"/>
      <c r="AC739" s="58">
        <f t="shared" si="202"/>
        <v>10.24</v>
      </c>
      <c r="AD739" s="58" t="e">
        <f>IF(B739&lt;&gt;0,VLOOKUP(B739,#REF!,2,FALSE),"")</f>
        <v>#REF!</v>
      </c>
      <c r="AE739" s="55">
        <v>22</v>
      </c>
      <c r="AF739" s="55">
        <f t="shared" si="210"/>
        <v>14</v>
      </c>
    </row>
    <row r="740" spans="1:32" s="55" customFormat="1" ht="45">
      <c r="A740" s="235" t="s">
        <v>3581</v>
      </c>
      <c r="B740" s="20">
        <v>1573</v>
      </c>
      <c r="C740" s="439" t="s">
        <v>3752</v>
      </c>
      <c r="D740" s="21" t="s">
        <v>12</v>
      </c>
      <c r="E740" s="21" t="s">
        <v>221</v>
      </c>
      <c r="F740" s="22">
        <v>22</v>
      </c>
      <c r="G740" s="22">
        <f t="shared" si="196"/>
        <v>1.1984999999999999</v>
      </c>
      <c r="H740" s="22">
        <f t="shared" si="211"/>
        <v>1.52</v>
      </c>
      <c r="I740" s="147">
        <f t="shared" si="212"/>
        <v>33.44</v>
      </c>
      <c r="J740" s="148"/>
      <c r="K740" s="148"/>
      <c r="L740" s="148"/>
      <c r="M740" s="148">
        <v>1.34</v>
      </c>
      <c r="N740" s="148">
        <v>1.7</v>
      </c>
      <c r="O740" s="148">
        <v>37.4</v>
      </c>
      <c r="P740" s="494"/>
      <c r="Q740" s="147">
        <f t="shared" si="199"/>
        <v>0</v>
      </c>
      <c r="R740" s="148"/>
      <c r="S740" s="148">
        <f t="shared" si="203"/>
        <v>0</v>
      </c>
      <c r="T740" s="148">
        <f t="shared" si="214"/>
        <v>22</v>
      </c>
      <c r="U740" s="148">
        <f t="shared" si="213"/>
        <v>37.4</v>
      </c>
      <c r="V740" s="379"/>
      <c r="W740" s="379"/>
      <c r="X740" s="57" t="e">
        <f>IF(B740&lt;&gt;0,VLOOKUP(B740,#REF!,4,FALSE),"")</f>
        <v>#REF!</v>
      </c>
      <c r="Y740" s="334" t="s">
        <v>3188</v>
      </c>
      <c r="Z740" s="58">
        <f t="shared" si="200"/>
        <v>-0.21150000000000002</v>
      </c>
      <c r="AA740" s="58">
        <f t="shared" si="201"/>
        <v>26.366999999999997</v>
      </c>
      <c r="AB740" s="58"/>
      <c r="AC740" s="58">
        <f t="shared" si="202"/>
        <v>33.44</v>
      </c>
      <c r="AD740" s="58" t="e">
        <f>IF(B740&lt;&gt;0,VLOOKUP(B740,#REF!,2,FALSE),"")</f>
        <v>#REF!</v>
      </c>
      <c r="AE740" s="55">
        <v>12</v>
      </c>
      <c r="AF740" s="55">
        <f t="shared" si="210"/>
        <v>-10</v>
      </c>
    </row>
    <row r="741" spans="1:32" s="55" customFormat="1" ht="45">
      <c r="A741" s="235" t="s">
        <v>3582</v>
      </c>
      <c r="B741" s="20">
        <v>1575</v>
      </c>
      <c r="C741" s="439" t="s">
        <v>3759</v>
      </c>
      <c r="D741" s="21" t="s">
        <v>12</v>
      </c>
      <c r="E741" s="21" t="s">
        <v>17</v>
      </c>
      <c r="F741" s="22">
        <v>12</v>
      </c>
      <c r="G741" s="22">
        <f t="shared" si="196"/>
        <v>1.5470000000000002</v>
      </c>
      <c r="H741" s="22">
        <f t="shared" si="211"/>
        <v>1.96</v>
      </c>
      <c r="I741" s="147">
        <f t="shared" si="212"/>
        <v>23.52</v>
      </c>
      <c r="J741" s="148"/>
      <c r="K741" s="148"/>
      <c r="L741" s="148"/>
      <c r="M741" s="148">
        <v>1.72</v>
      </c>
      <c r="N741" s="148">
        <v>2.1800000000000002</v>
      </c>
      <c r="O741" s="148">
        <v>26.16</v>
      </c>
      <c r="P741" s="494"/>
      <c r="Q741" s="147">
        <f t="shared" si="199"/>
        <v>0</v>
      </c>
      <c r="R741" s="148"/>
      <c r="S741" s="148">
        <f t="shared" si="203"/>
        <v>0</v>
      </c>
      <c r="T741" s="148">
        <f t="shared" si="214"/>
        <v>12</v>
      </c>
      <c r="U741" s="148">
        <f t="shared" si="213"/>
        <v>26.16</v>
      </c>
      <c r="V741" s="379"/>
      <c r="W741" s="379"/>
      <c r="X741" s="57" t="e">
        <f>IF(B741&lt;&gt;0,VLOOKUP(B741,#REF!,4,FALSE),"")</f>
        <v>#REF!</v>
      </c>
      <c r="Y741" s="334" t="s">
        <v>1861</v>
      </c>
      <c r="Z741" s="58">
        <f t="shared" si="200"/>
        <v>-0.27299999999999991</v>
      </c>
      <c r="AA741" s="58">
        <f t="shared" si="201"/>
        <v>18.564</v>
      </c>
      <c r="AB741" s="58"/>
      <c r="AC741" s="58">
        <f t="shared" si="202"/>
        <v>23.52</v>
      </c>
      <c r="AD741" s="58" t="e">
        <f>IF(B741&lt;&gt;0,VLOOKUP(B741,#REF!,2,FALSE),"")</f>
        <v>#REF!</v>
      </c>
      <c r="AE741" s="55">
        <v>10</v>
      </c>
      <c r="AF741" s="55">
        <f t="shared" si="210"/>
        <v>-2</v>
      </c>
    </row>
    <row r="742" spans="1:32" s="55" customFormat="1" ht="45">
      <c r="A742" s="235" t="s">
        <v>3583</v>
      </c>
      <c r="B742" s="20">
        <v>1576</v>
      </c>
      <c r="C742" s="439" t="s">
        <v>3760</v>
      </c>
      <c r="D742" s="21" t="s">
        <v>12</v>
      </c>
      <c r="E742" s="21" t="s">
        <v>17</v>
      </c>
      <c r="F742" s="22">
        <v>10</v>
      </c>
      <c r="G742" s="22">
        <f t="shared" si="196"/>
        <v>2.1334999999999997</v>
      </c>
      <c r="H742" s="22">
        <f t="shared" si="211"/>
        <v>2.71</v>
      </c>
      <c r="I742" s="147">
        <f t="shared" si="212"/>
        <v>27.1</v>
      </c>
      <c r="J742" s="148"/>
      <c r="K742" s="148"/>
      <c r="L742" s="148"/>
      <c r="M742" s="148">
        <v>2.38</v>
      </c>
      <c r="N742" s="148">
        <v>3.02</v>
      </c>
      <c r="O742" s="148">
        <v>30.2</v>
      </c>
      <c r="P742" s="494"/>
      <c r="Q742" s="147">
        <f t="shared" si="199"/>
        <v>0</v>
      </c>
      <c r="R742" s="148"/>
      <c r="S742" s="148">
        <f t="shared" si="203"/>
        <v>0</v>
      </c>
      <c r="T742" s="148">
        <f t="shared" si="214"/>
        <v>10</v>
      </c>
      <c r="U742" s="148">
        <f t="shared" si="213"/>
        <v>30.2</v>
      </c>
      <c r="V742" s="379"/>
      <c r="W742" s="379"/>
      <c r="X742" s="57" t="e">
        <f>IF(B742&lt;&gt;0,VLOOKUP(B742,#REF!,4,FALSE),"")</f>
        <v>#REF!</v>
      </c>
      <c r="Y742" s="334" t="s">
        <v>3139</v>
      </c>
      <c r="Z742" s="58">
        <f t="shared" si="200"/>
        <v>-0.37650000000000006</v>
      </c>
      <c r="AA742" s="58">
        <f t="shared" si="201"/>
        <v>21.334999999999997</v>
      </c>
      <c r="AB742" s="58"/>
      <c r="AC742" s="58">
        <f t="shared" si="202"/>
        <v>27.1</v>
      </c>
      <c r="AD742" s="58" t="e">
        <f>IF(B742&lt;&gt;0,VLOOKUP(B742,#REF!,2,FALSE),"")</f>
        <v>#REF!</v>
      </c>
      <c r="AE742" s="55">
        <v>10</v>
      </c>
      <c r="AF742" s="55">
        <f t="shared" si="210"/>
        <v>0</v>
      </c>
    </row>
    <row r="743" spans="1:32" s="55" customFormat="1" ht="45">
      <c r="A743" s="235" t="s">
        <v>3584</v>
      </c>
      <c r="B743" s="20">
        <v>1577</v>
      </c>
      <c r="C743" s="439" t="s">
        <v>3747</v>
      </c>
      <c r="D743" s="21" t="s">
        <v>12</v>
      </c>
      <c r="E743" s="21" t="s">
        <v>17</v>
      </c>
      <c r="F743" s="22">
        <v>10</v>
      </c>
      <c r="G743" s="22">
        <f t="shared" si="196"/>
        <v>2.4055</v>
      </c>
      <c r="H743" s="22">
        <f t="shared" si="211"/>
        <v>3.05</v>
      </c>
      <c r="I743" s="147">
        <f t="shared" si="212"/>
        <v>30.5</v>
      </c>
      <c r="J743" s="148"/>
      <c r="K743" s="148"/>
      <c r="L743" s="148"/>
      <c r="M743" s="148">
        <v>2.68</v>
      </c>
      <c r="N743" s="148">
        <v>3.4</v>
      </c>
      <c r="O743" s="148">
        <v>34</v>
      </c>
      <c r="P743" s="494"/>
      <c r="Q743" s="147">
        <f t="shared" si="199"/>
        <v>0</v>
      </c>
      <c r="R743" s="148"/>
      <c r="S743" s="148">
        <f t="shared" si="203"/>
        <v>0</v>
      </c>
      <c r="T743" s="148">
        <f t="shared" si="214"/>
        <v>10</v>
      </c>
      <c r="U743" s="148">
        <f t="shared" si="213"/>
        <v>34</v>
      </c>
      <c r="V743" s="379"/>
      <c r="W743" s="379"/>
      <c r="X743" s="57" t="e">
        <f>IF(B743&lt;&gt;0,VLOOKUP(B743,#REF!,4,FALSE),"")</f>
        <v>#REF!</v>
      </c>
      <c r="Y743" s="334" t="s">
        <v>1894</v>
      </c>
      <c r="Z743" s="58">
        <f t="shared" si="200"/>
        <v>-0.4245000000000001</v>
      </c>
      <c r="AA743" s="58">
        <f t="shared" si="201"/>
        <v>24.055</v>
      </c>
      <c r="AB743" s="58"/>
      <c r="AC743" s="58">
        <f t="shared" si="202"/>
        <v>30.5</v>
      </c>
      <c r="AD743" s="58" t="e">
        <f>IF(B743&lt;&gt;0,VLOOKUP(B743,#REF!,2,FALSE),"")</f>
        <v>#REF!</v>
      </c>
      <c r="AE743" s="55">
        <v>1</v>
      </c>
      <c r="AF743" s="55">
        <f t="shared" si="210"/>
        <v>-9</v>
      </c>
    </row>
    <row r="744" spans="1:32" s="55" customFormat="1" ht="45">
      <c r="A744" s="235" t="s">
        <v>3585</v>
      </c>
      <c r="B744" s="20">
        <v>1578</v>
      </c>
      <c r="C744" s="439" t="s">
        <v>3746</v>
      </c>
      <c r="D744" s="21" t="s">
        <v>12</v>
      </c>
      <c r="E744" s="21" t="s">
        <v>17</v>
      </c>
      <c r="F744" s="22">
        <v>1</v>
      </c>
      <c r="G744" s="22">
        <f t="shared" si="196"/>
        <v>4.1820000000000004</v>
      </c>
      <c r="H744" s="22">
        <f t="shared" si="211"/>
        <v>5.3</v>
      </c>
      <c r="I744" s="147">
        <f t="shared" si="212"/>
        <v>5.3</v>
      </c>
      <c r="J744" s="148"/>
      <c r="K744" s="148"/>
      <c r="L744" s="148"/>
      <c r="M744" s="148">
        <v>4.66</v>
      </c>
      <c r="N744" s="148">
        <v>5.91</v>
      </c>
      <c r="O744" s="148">
        <v>5.91</v>
      </c>
      <c r="P744" s="494"/>
      <c r="Q744" s="147">
        <f t="shared" si="199"/>
        <v>0</v>
      </c>
      <c r="R744" s="148"/>
      <c r="S744" s="148">
        <f t="shared" si="203"/>
        <v>0</v>
      </c>
      <c r="T744" s="148">
        <f t="shared" si="214"/>
        <v>1</v>
      </c>
      <c r="U744" s="148">
        <f t="shared" si="213"/>
        <v>5.91</v>
      </c>
      <c r="V744" s="379"/>
      <c r="W744" s="379"/>
      <c r="X744" s="57" t="e">
        <f>IF(B744&lt;&gt;0,VLOOKUP(B744,#REF!,4,FALSE),"")</f>
        <v>#REF!</v>
      </c>
      <c r="Y744" s="334" t="s">
        <v>3141</v>
      </c>
      <c r="Z744" s="58">
        <f t="shared" si="200"/>
        <v>-0.73799999999999955</v>
      </c>
      <c r="AA744" s="58">
        <f t="shared" si="201"/>
        <v>4.1820000000000004</v>
      </c>
      <c r="AB744" s="58"/>
      <c r="AC744" s="58">
        <f t="shared" si="202"/>
        <v>5.3</v>
      </c>
      <c r="AD744" s="58" t="e">
        <f>IF(B744&lt;&gt;0,VLOOKUP(B744,#REF!,2,FALSE),"")</f>
        <v>#REF!</v>
      </c>
      <c r="AE744" s="55">
        <v>10</v>
      </c>
      <c r="AF744" s="55">
        <f t="shared" si="210"/>
        <v>9</v>
      </c>
    </row>
    <row r="745" spans="1:32" s="55" customFormat="1" ht="45">
      <c r="A745" s="235" t="s">
        <v>3586</v>
      </c>
      <c r="B745" s="20">
        <v>1580</v>
      </c>
      <c r="C745" s="439" t="s">
        <v>3757</v>
      </c>
      <c r="D745" s="21" t="s">
        <v>12</v>
      </c>
      <c r="E745" s="21" t="s">
        <v>17</v>
      </c>
      <c r="F745" s="22">
        <v>10</v>
      </c>
      <c r="G745" s="22">
        <f t="shared" si="196"/>
        <v>6.4175000000000004</v>
      </c>
      <c r="H745" s="22">
        <f t="shared" si="211"/>
        <v>8.14</v>
      </c>
      <c r="I745" s="147">
        <f t="shared" si="212"/>
        <v>81.400000000000006</v>
      </c>
      <c r="J745" s="148"/>
      <c r="K745" s="148"/>
      <c r="L745" s="148"/>
      <c r="M745" s="148">
        <v>7.15</v>
      </c>
      <c r="N745" s="148">
        <v>9.07</v>
      </c>
      <c r="O745" s="148">
        <v>90.7</v>
      </c>
      <c r="P745" s="494"/>
      <c r="Q745" s="147">
        <f t="shared" si="199"/>
        <v>0</v>
      </c>
      <c r="R745" s="148"/>
      <c r="S745" s="148">
        <f t="shared" si="203"/>
        <v>0</v>
      </c>
      <c r="T745" s="148">
        <f t="shared" si="214"/>
        <v>10</v>
      </c>
      <c r="U745" s="148">
        <f t="shared" si="213"/>
        <v>90.7</v>
      </c>
      <c r="V745" s="379"/>
      <c r="W745" s="379"/>
      <c r="X745" s="57" t="e">
        <f>IF(B745&lt;&gt;0,VLOOKUP(B745,#REF!,4,FALSE),"")</f>
        <v>#REF!</v>
      </c>
      <c r="Y745" s="334" t="s">
        <v>3155</v>
      </c>
      <c r="Z745" s="58">
        <f t="shared" si="200"/>
        <v>-1.1324999999999994</v>
      </c>
      <c r="AA745" s="58">
        <f t="shared" si="201"/>
        <v>64.175000000000011</v>
      </c>
      <c r="AB745" s="58"/>
      <c r="AC745" s="58">
        <f t="shared" si="202"/>
        <v>81.400000000000006</v>
      </c>
      <c r="AD745" s="58" t="e">
        <f>IF(B745&lt;&gt;0,VLOOKUP(B745,#REF!,2,FALSE),"")</f>
        <v>#REF!</v>
      </c>
      <c r="AE745" s="55">
        <v>2</v>
      </c>
      <c r="AF745" s="55">
        <f t="shared" si="210"/>
        <v>-8</v>
      </c>
    </row>
    <row r="746" spans="1:32" s="55" customFormat="1" ht="45">
      <c r="A746" s="21" t="s">
        <v>2865</v>
      </c>
      <c r="B746" s="20">
        <v>91930</v>
      </c>
      <c r="C746" s="19" t="s">
        <v>1731</v>
      </c>
      <c r="D746" s="21" t="s">
        <v>12</v>
      </c>
      <c r="E746" s="21" t="s">
        <v>52</v>
      </c>
      <c r="F746" s="22">
        <v>2</v>
      </c>
      <c r="G746" s="22">
        <f t="shared" si="196"/>
        <v>7.0379999999999994</v>
      </c>
      <c r="H746" s="22">
        <f t="shared" si="211"/>
        <v>8.92</v>
      </c>
      <c r="I746" s="147">
        <f t="shared" si="212"/>
        <v>17.84</v>
      </c>
      <c r="J746" s="148"/>
      <c r="K746" s="148"/>
      <c r="L746" s="148"/>
      <c r="M746" s="148">
        <v>7.84</v>
      </c>
      <c r="N746" s="148">
        <v>9.94</v>
      </c>
      <c r="O746" s="148">
        <v>19.88</v>
      </c>
      <c r="P746" s="494"/>
      <c r="Q746" s="147">
        <f t="shared" si="199"/>
        <v>0</v>
      </c>
      <c r="R746" s="148"/>
      <c r="S746" s="148">
        <f t="shared" si="203"/>
        <v>0</v>
      </c>
      <c r="T746" s="148">
        <f t="shared" si="214"/>
        <v>2</v>
      </c>
      <c r="U746" s="148">
        <f t="shared" si="213"/>
        <v>19.88</v>
      </c>
      <c r="V746" s="379"/>
      <c r="W746" s="379"/>
      <c r="X746" s="58" t="e">
        <f>IF(B746&lt;&gt;0,VLOOKUP(B746,#REF!,4,FALSE),"")</f>
        <v>#REF!</v>
      </c>
      <c r="Y746" s="334" t="s">
        <v>3110</v>
      </c>
      <c r="Z746" s="58">
        <f t="shared" si="200"/>
        <v>-1.242</v>
      </c>
      <c r="AA746" s="58">
        <f t="shared" si="201"/>
        <v>14.075999999999999</v>
      </c>
      <c r="AB746" s="58"/>
      <c r="AC746" s="58">
        <f t="shared" si="202"/>
        <v>17.84</v>
      </c>
      <c r="AD746" s="58" t="e">
        <f>IF(B746&lt;&gt;0,VLOOKUP(B746,#REF!,2,FALSE),"")</f>
        <v>#REF!</v>
      </c>
      <c r="AF746" s="55">
        <f t="shared" si="210"/>
        <v>-2</v>
      </c>
    </row>
    <row r="747" spans="1:32" s="55" customFormat="1">
      <c r="A747" s="69" t="s">
        <v>2866</v>
      </c>
      <c r="B747" s="129"/>
      <c r="C747" s="129" t="s">
        <v>2867</v>
      </c>
      <c r="D747" s="230"/>
      <c r="E747" s="230"/>
      <c r="F747" s="230"/>
      <c r="G747" s="22"/>
      <c r="H747" s="230"/>
      <c r="I747" s="445"/>
      <c r="J747" s="440"/>
      <c r="K747" s="440"/>
      <c r="L747" s="440"/>
      <c r="M747" s="440"/>
      <c r="N747" s="440"/>
      <c r="O747" s="440"/>
      <c r="P747" s="492"/>
      <c r="Q747" s="147">
        <f t="shared" si="199"/>
        <v>0</v>
      </c>
      <c r="R747" s="440"/>
      <c r="S747" s="148">
        <f t="shared" si="203"/>
        <v>0</v>
      </c>
      <c r="T747" s="148" t="str">
        <f t="shared" si="214"/>
        <v xml:space="preserve"> </v>
      </c>
      <c r="U747" s="148">
        <f t="shared" si="213"/>
        <v>0</v>
      </c>
      <c r="V747" s="330"/>
      <c r="W747" s="330"/>
      <c r="X747" s="58" t="str">
        <f>IF(B747&lt;&gt;0,VLOOKUP(B747,#REF!,4,FALSE),"")</f>
        <v/>
      </c>
      <c r="Y747" s="334" t="s">
        <v>1891</v>
      </c>
      <c r="Z747" s="58"/>
      <c r="AA747" s="58">
        <f t="shared" si="201"/>
        <v>0</v>
      </c>
      <c r="AB747" s="58"/>
      <c r="AC747" s="58">
        <f t="shared" si="202"/>
        <v>0</v>
      </c>
      <c r="AD747" s="58" t="str">
        <f>IF(B747&lt;&gt;0,VLOOKUP(B747,#REF!,2,FALSE),"")</f>
        <v/>
      </c>
      <c r="AE747" s="55">
        <v>1</v>
      </c>
      <c r="AF747" s="55">
        <f t="shared" si="210"/>
        <v>1</v>
      </c>
    </row>
    <row r="748" spans="1:32" s="55" customFormat="1" ht="75">
      <c r="A748" s="235" t="s">
        <v>3587</v>
      </c>
      <c r="B748" s="20">
        <v>101882</v>
      </c>
      <c r="C748" s="439" t="s">
        <v>3771</v>
      </c>
      <c r="D748" s="21" t="s">
        <v>12</v>
      </c>
      <c r="E748" s="21" t="s">
        <v>17</v>
      </c>
      <c r="F748" s="22">
        <v>1</v>
      </c>
      <c r="G748" s="22">
        <f t="shared" ref="G748:G811" si="215">Y748-(Y748*$Z$14)</f>
        <v>1091.0345</v>
      </c>
      <c r="H748" s="22">
        <f t="shared" ref="H748:H759" si="216">ROUND(G748*(1+$X$13),2)</f>
        <v>1383.54</v>
      </c>
      <c r="I748" s="147">
        <f t="shared" ref="I748:I759" si="217">ROUND(H748*F748,2)</f>
        <v>1383.54</v>
      </c>
      <c r="J748" s="148"/>
      <c r="K748" s="148"/>
      <c r="L748" s="148"/>
      <c r="M748" s="148">
        <v>1215.42</v>
      </c>
      <c r="N748" s="148">
        <v>1541.27</v>
      </c>
      <c r="O748" s="148">
        <v>1541.27</v>
      </c>
      <c r="P748" s="494"/>
      <c r="Q748" s="147">
        <f t="shared" ref="Q748:Q811" si="218">ROUND(P748*N748,2)</f>
        <v>0</v>
      </c>
      <c r="R748" s="148"/>
      <c r="S748" s="148">
        <f t="shared" si="203"/>
        <v>0</v>
      </c>
      <c r="T748" s="148">
        <f t="shared" si="214"/>
        <v>1</v>
      </c>
      <c r="U748" s="148">
        <f t="shared" si="213"/>
        <v>1541.27</v>
      </c>
      <c r="V748" s="379"/>
      <c r="W748" s="379"/>
      <c r="X748" s="58" t="e">
        <f>IF(B748&lt;&gt;0,VLOOKUP(B748,#REF!,4,FALSE),"")</f>
        <v>#REF!</v>
      </c>
      <c r="Y748" s="334" t="s">
        <v>3249</v>
      </c>
      <c r="Z748" s="58">
        <f t="shared" ref="Z748:Z811" si="219">G748-Y748</f>
        <v>-192.53549999999996</v>
      </c>
      <c r="AA748" s="58">
        <f t="shared" ref="AA748:AA811" si="220">F748*G748</f>
        <v>1091.0345</v>
      </c>
      <c r="AB748" s="58"/>
      <c r="AC748" s="58">
        <f t="shared" ref="AC748:AC811" si="221">F748*H748</f>
        <v>1383.54</v>
      </c>
      <c r="AD748" s="58" t="e">
        <f>IF(B748&lt;&gt;0,VLOOKUP(B748,#REF!,2,FALSE),"")</f>
        <v>#REF!</v>
      </c>
      <c r="AE748" s="55">
        <v>4</v>
      </c>
      <c r="AF748" s="55">
        <f t="shared" si="210"/>
        <v>3</v>
      </c>
    </row>
    <row r="749" spans="1:32" s="55" customFormat="1" ht="30">
      <c r="A749" s="21" t="s">
        <v>2868</v>
      </c>
      <c r="B749" s="20">
        <v>9041</v>
      </c>
      <c r="C749" s="19" t="s">
        <v>1926</v>
      </c>
      <c r="D749" s="21" t="s">
        <v>44</v>
      </c>
      <c r="E749" s="21" t="s">
        <v>17</v>
      </c>
      <c r="F749" s="22">
        <v>4</v>
      </c>
      <c r="G749" s="22">
        <f t="shared" si="215"/>
        <v>97.393000000000001</v>
      </c>
      <c r="H749" s="22">
        <f t="shared" si="216"/>
        <v>123.5</v>
      </c>
      <c r="I749" s="147">
        <f t="shared" si="217"/>
        <v>494</v>
      </c>
      <c r="J749" s="148"/>
      <c r="K749" s="148"/>
      <c r="L749" s="148"/>
      <c r="M749" s="148">
        <v>108.5</v>
      </c>
      <c r="N749" s="148">
        <v>137.59</v>
      </c>
      <c r="O749" s="148">
        <v>550.36</v>
      </c>
      <c r="P749" s="494"/>
      <c r="Q749" s="147">
        <f t="shared" si="218"/>
        <v>0</v>
      </c>
      <c r="R749" s="148"/>
      <c r="S749" s="148">
        <f t="shared" ref="S749:S812" si="222">ROUND(R749*N749,2)</f>
        <v>0</v>
      </c>
      <c r="T749" s="148">
        <f t="shared" si="214"/>
        <v>4</v>
      </c>
      <c r="U749" s="148">
        <f t="shared" si="213"/>
        <v>550.36</v>
      </c>
      <c r="V749" s="379"/>
      <c r="W749" s="379"/>
      <c r="X749" s="58">
        <f>'COMPOSIÇÃO DE CUSTOS'!G1869</f>
        <v>97.39</v>
      </c>
      <c r="Y749" s="334">
        <v>114.58</v>
      </c>
      <c r="Z749" s="58">
        <f t="shared" si="219"/>
        <v>-17.186999999999998</v>
      </c>
      <c r="AA749" s="58">
        <f t="shared" si="220"/>
        <v>389.572</v>
      </c>
      <c r="AB749" s="58"/>
      <c r="AC749" s="58">
        <f t="shared" si="221"/>
        <v>494</v>
      </c>
      <c r="AD749" s="58" t="e">
        <f>IF(B749&lt;&gt;0,VLOOKUP(B749,#REF!,2,FALSE),"")</f>
        <v>#REF!</v>
      </c>
      <c r="AE749" s="55">
        <v>4</v>
      </c>
      <c r="AF749" s="55">
        <f t="shared" si="210"/>
        <v>0</v>
      </c>
    </row>
    <row r="750" spans="1:32" s="55" customFormat="1" ht="45">
      <c r="A750" s="21" t="s">
        <v>2869</v>
      </c>
      <c r="B750" s="20">
        <v>93655</v>
      </c>
      <c r="C750" s="19" t="s">
        <v>2855</v>
      </c>
      <c r="D750" s="21" t="s">
        <v>12</v>
      </c>
      <c r="E750" s="21" t="s">
        <v>17</v>
      </c>
      <c r="F750" s="22">
        <v>4</v>
      </c>
      <c r="G750" s="22">
        <f t="shared" si="215"/>
        <v>10.3445</v>
      </c>
      <c r="H750" s="22">
        <f t="shared" si="216"/>
        <v>13.12</v>
      </c>
      <c r="I750" s="147">
        <f t="shared" si="217"/>
        <v>52.48</v>
      </c>
      <c r="J750" s="148"/>
      <c r="K750" s="148"/>
      <c r="L750" s="148"/>
      <c r="M750" s="148">
        <v>11.52</v>
      </c>
      <c r="N750" s="148">
        <v>14.61</v>
      </c>
      <c r="O750" s="148">
        <v>58.44</v>
      </c>
      <c r="P750" s="494"/>
      <c r="Q750" s="147">
        <f t="shared" si="218"/>
        <v>0</v>
      </c>
      <c r="R750" s="148"/>
      <c r="S750" s="148">
        <f t="shared" si="222"/>
        <v>0</v>
      </c>
      <c r="T750" s="148">
        <f t="shared" si="214"/>
        <v>4</v>
      </c>
      <c r="U750" s="148">
        <f t="shared" si="213"/>
        <v>58.44</v>
      </c>
      <c r="V750" s="379"/>
      <c r="W750" s="379"/>
      <c r="X750" s="58" t="e">
        <f>IF(B750&lt;&gt;0,VLOOKUP(B750,#REF!,4,FALSE),"")</f>
        <v>#REF!</v>
      </c>
      <c r="Y750" s="334" t="s">
        <v>1878</v>
      </c>
      <c r="Z750" s="58">
        <f t="shared" si="219"/>
        <v>-1.8254999999999999</v>
      </c>
      <c r="AA750" s="58">
        <f t="shared" si="220"/>
        <v>41.378</v>
      </c>
      <c r="AB750" s="58"/>
      <c r="AC750" s="58">
        <f t="shared" si="221"/>
        <v>52.48</v>
      </c>
      <c r="AD750" s="58" t="e">
        <f>IF(B750&lt;&gt;0,VLOOKUP(B750,#REF!,2,FALSE),"")</f>
        <v>#REF!</v>
      </c>
      <c r="AE750" s="55">
        <v>1</v>
      </c>
      <c r="AF750" s="55">
        <f t="shared" si="210"/>
        <v>-3</v>
      </c>
    </row>
    <row r="751" spans="1:32" s="55" customFormat="1" ht="45">
      <c r="A751" s="235" t="s">
        <v>3588</v>
      </c>
      <c r="B751" s="20">
        <v>101895</v>
      </c>
      <c r="C751" s="439" t="s">
        <v>3753</v>
      </c>
      <c r="D751" s="21" t="s">
        <v>12</v>
      </c>
      <c r="E751" s="21" t="s">
        <v>17</v>
      </c>
      <c r="F751" s="22">
        <v>1</v>
      </c>
      <c r="G751" s="22">
        <f t="shared" si="215"/>
        <v>337.58600000000001</v>
      </c>
      <c r="H751" s="22">
        <f t="shared" si="216"/>
        <v>428.09</v>
      </c>
      <c r="I751" s="147">
        <f t="shared" si="217"/>
        <v>428.09</v>
      </c>
      <c r="J751" s="148"/>
      <c r="K751" s="148"/>
      <c r="L751" s="148"/>
      <c r="M751" s="148">
        <v>376.07</v>
      </c>
      <c r="N751" s="148">
        <v>476.89</v>
      </c>
      <c r="O751" s="148">
        <v>476.89</v>
      </c>
      <c r="P751" s="494"/>
      <c r="Q751" s="147">
        <f t="shared" si="218"/>
        <v>0</v>
      </c>
      <c r="R751" s="148"/>
      <c r="S751" s="148">
        <f t="shared" si="222"/>
        <v>0</v>
      </c>
      <c r="T751" s="148">
        <f t="shared" si="214"/>
        <v>1</v>
      </c>
      <c r="U751" s="148">
        <f t="shared" si="213"/>
        <v>476.89</v>
      </c>
      <c r="V751" s="379"/>
      <c r="W751" s="379"/>
      <c r="X751" s="58" t="e">
        <f>IF(B751&lt;&gt;0,VLOOKUP(B751,#REF!,4,FALSE),"")</f>
        <v>#REF!</v>
      </c>
      <c r="Y751" s="334" t="s">
        <v>3251</v>
      </c>
      <c r="Z751" s="58">
        <f t="shared" si="219"/>
        <v>-59.574000000000012</v>
      </c>
      <c r="AA751" s="58">
        <f t="shared" si="220"/>
        <v>337.58600000000001</v>
      </c>
      <c r="AB751" s="58"/>
      <c r="AC751" s="58">
        <f t="shared" si="221"/>
        <v>428.09</v>
      </c>
      <c r="AD751" s="58" t="e">
        <f>IF(B751&lt;&gt;0,VLOOKUP(B751,#REF!,2,FALSE),"")</f>
        <v>#REF!</v>
      </c>
      <c r="AE751" s="55">
        <v>1</v>
      </c>
      <c r="AF751" s="55">
        <f t="shared" si="210"/>
        <v>0</v>
      </c>
    </row>
    <row r="752" spans="1:32" s="55" customFormat="1">
      <c r="A752" s="21" t="s">
        <v>2870</v>
      </c>
      <c r="B752" s="20">
        <v>101896</v>
      </c>
      <c r="C752" s="19" t="s">
        <v>2871</v>
      </c>
      <c r="D752" s="21" t="s">
        <v>12</v>
      </c>
      <c r="E752" s="21" t="s">
        <v>17</v>
      </c>
      <c r="F752" s="22">
        <v>1</v>
      </c>
      <c r="G752" s="22">
        <f t="shared" si="215"/>
        <v>515.48250000000007</v>
      </c>
      <c r="H752" s="22">
        <f t="shared" si="216"/>
        <v>653.67999999999995</v>
      </c>
      <c r="I752" s="147">
        <f t="shared" si="217"/>
        <v>653.67999999999995</v>
      </c>
      <c r="J752" s="148"/>
      <c r="K752" s="148"/>
      <c r="L752" s="148"/>
      <c r="M752" s="148">
        <v>574.25</v>
      </c>
      <c r="N752" s="148">
        <v>728.21</v>
      </c>
      <c r="O752" s="148">
        <v>728.21</v>
      </c>
      <c r="P752" s="494"/>
      <c r="Q752" s="147">
        <f t="shared" si="218"/>
        <v>0</v>
      </c>
      <c r="R752" s="148"/>
      <c r="S752" s="148">
        <f t="shared" si="222"/>
        <v>0</v>
      </c>
      <c r="T752" s="148">
        <f t="shared" si="214"/>
        <v>1</v>
      </c>
      <c r="U752" s="148">
        <f t="shared" si="213"/>
        <v>728.21</v>
      </c>
      <c r="V752" s="379"/>
      <c r="W752" s="379"/>
      <c r="X752" s="58" t="e">
        <f>IF(B752&lt;&gt;0,VLOOKUP(B752,#REF!,4,FALSE),"")</f>
        <v>#REF!</v>
      </c>
      <c r="Y752" s="334" t="s">
        <v>3152</v>
      </c>
      <c r="Z752" s="58">
        <f t="shared" si="219"/>
        <v>-90.967499999999973</v>
      </c>
      <c r="AA752" s="58">
        <f t="shared" si="220"/>
        <v>515.48250000000007</v>
      </c>
      <c r="AB752" s="58"/>
      <c r="AC752" s="58">
        <f t="shared" si="221"/>
        <v>653.67999999999995</v>
      </c>
      <c r="AD752" s="58" t="e">
        <f>IF(B752&lt;&gt;0,VLOOKUP(B752,#REF!,2,FALSE),"")</f>
        <v>#REF!</v>
      </c>
      <c r="AE752" s="55">
        <v>8</v>
      </c>
      <c r="AF752" s="55">
        <f t="shared" si="210"/>
        <v>7</v>
      </c>
    </row>
    <row r="753" spans="1:32" s="55" customFormat="1" ht="45">
      <c r="A753" s="235" t="s">
        <v>3589</v>
      </c>
      <c r="B753" s="20">
        <v>1571</v>
      </c>
      <c r="C753" s="439" t="s">
        <v>3754</v>
      </c>
      <c r="D753" s="21" t="s">
        <v>12</v>
      </c>
      <c r="E753" s="21" t="s">
        <v>17</v>
      </c>
      <c r="F753" s="22">
        <v>8</v>
      </c>
      <c r="G753" s="22">
        <f t="shared" si="215"/>
        <v>1.0114999999999998</v>
      </c>
      <c r="H753" s="22">
        <f t="shared" si="216"/>
        <v>1.28</v>
      </c>
      <c r="I753" s="147">
        <f t="shared" si="217"/>
        <v>10.24</v>
      </c>
      <c r="J753" s="148"/>
      <c r="K753" s="148"/>
      <c r="L753" s="148"/>
      <c r="M753" s="148">
        <v>1.1299999999999999</v>
      </c>
      <c r="N753" s="148">
        <v>1.43</v>
      </c>
      <c r="O753" s="148">
        <v>11.44</v>
      </c>
      <c r="P753" s="494"/>
      <c r="Q753" s="147">
        <f t="shared" si="218"/>
        <v>0</v>
      </c>
      <c r="R753" s="148"/>
      <c r="S753" s="148">
        <f t="shared" si="222"/>
        <v>0</v>
      </c>
      <c r="T753" s="148">
        <f t="shared" si="214"/>
        <v>8</v>
      </c>
      <c r="U753" s="148">
        <f t="shared" si="213"/>
        <v>11.44</v>
      </c>
      <c r="V753" s="379"/>
      <c r="W753" s="379"/>
      <c r="X753" s="57" t="e">
        <f>IF(B753&lt;&gt;0,VLOOKUP(B753,#REF!,4,FALSE),"")</f>
        <v>#REF!</v>
      </c>
      <c r="Y753" s="334" t="s">
        <v>1843</v>
      </c>
      <c r="Z753" s="58">
        <f t="shared" si="219"/>
        <v>-0.1785000000000001</v>
      </c>
      <c r="AA753" s="58">
        <f t="shared" si="220"/>
        <v>8.0919999999999987</v>
      </c>
      <c r="AB753" s="58"/>
      <c r="AC753" s="58">
        <f t="shared" si="221"/>
        <v>10.24</v>
      </c>
      <c r="AD753" s="58" t="e">
        <f>IF(B753&lt;&gt;0,VLOOKUP(B753,#REF!,2,FALSE),"")</f>
        <v>#REF!</v>
      </c>
      <c r="AE753" s="55">
        <v>22</v>
      </c>
      <c r="AF753" s="55">
        <f t="shared" si="210"/>
        <v>14</v>
      </c>
    </row>
    <row r="754" spans="1:32" s="55" customFormat="1" ht="45">
      <c r="A754" s="235" t="s">
        <v>3590</v>
      </c>
      <c r="B754" s="20">
        <v>1573</v>
      </c>
      <c r="C754" s="439" t="s">
        <v>3752</v>
      </c>
      <c r="D754" s="21" t="s">
        <v>12</v>
      </c>
      <c r="E754" s="21" t="s">
        <v>221</v>
      </c>
      <c r="F754" s="22">
        <v>22</v>
      </c>
      <c r="G754" s="22">
        <f t="shared" si="215"/>
        <v>1.1984999999999999</v>
      </c>
      <c r="H754" s="22">
        <f t="shared" si="216"/>
        <v>1.52</v>
      </c>
      <c r="I754" s="147">
        <f t="shared" si="217"/>
        <v>33.44</v>
      </c>
      <c r="J754" s="148"/>
      <c r="K754" s="148"/>
      <c r="L754" s="148"/>
      <c r="M754" s="148">
        <v>1.34</v>
      </c>
      <c r="N754" s="148">
        <v>1.7</v>
      </c>
      <c r="O754" s="148">
        <v>37.4</v>
      </c>
      <c r="P754" s="494"/>
      <c r="Q754" s="147">
        <f t="shared" si="218"/>
        <v>0</v>
      </c>
      <c r="R754" s="148"/>
      <c r="S754" s="148">
        <f t="shared" si="222"/>
        <v>0</v>
      </c>
      <c r="T754" s="148">
        <f t="shared" si="214"/>
        <v>22</v>
      </c>
      <c r="U754" s="148">
        <f t="shared" si="213"/>
        <v>37.4</v>
      </c>
      <c r="V754" s="379"/>
      <c r="W754" s="379"/>
      <c r="X754" s="57" t="e">
        <f>IF(B754&lt;&gt;0,VLOOKUP(B754,#REF!,4,FALSE),"")</f>
        <v>#REF!</v>
      </c>
      <c r="Y754" s="334" t="s">
        <v>3188</v>
      </c>
      <c r="Z754" s="58">
        <f t="shared" si="219"/>
        <v>-0.21150000000000002</v>
      </c>
      <c r="AA754" s="58">
        <f t="shared" si="220"/>
        <v>26.366999999999997</v>
      </c>
      <c r="AB754" s="58"/>
      <c r="AC754" s="58">
        <f t="shared" si="221"/>
        <v>33.44</v>
      </c>
      <c r="AD754" s="58" t="e">
        <f>IF(B754&lt;&gt;0,VLOOKUP(B754,#REF!,2,FALSE),"")</f>
        <v>#REF!</v>
      </c>
      <c r="AE754" s="55">
        <v>1</v>
      </c>
      <c r="AF754" s="55">
        <f t="shared" si="210"/>
        <v>-21</v>
      </c>
    </row>
    <row r="755" spans="1:32" s="55" customFormat="1" ht="45">
      <c r="A755" s="235" t="s">
        <v>3591</v>
      </c>
      <c r="B755" s="20">
        <v>1575</v>
      </c>
      <c r="C755" s="439" t="s">
        <v>3759</v>
      </c>
      <c r="D755" s="21" t="s">
        <v>12</v>
      </c>
      <c r="E755" s="21" t="s">
        <v>17</v>
      </c>
      <c r="F755" s="22">
        <v>1</v>
      </c>
      <c r="G755" s="22">
        <f t="shared" si="215"/>
        <v>1.5470000000000002</v>
      </c>
      <c r="H755" s="22">
        <f t="shared" si="216"/>
        <v>1.96</v>
      </c>
      <c r="I755" s="147">
        <f t="shared" si="217"/>
        <v>1.96</v>
      </c>
      <c r="J755" s="148"/>
      <c r="K755" s="148"/>
      <c r="L755" s="148"/>
      <c r="M755" s="148">
        <v>1.72</v>
      </c>
      <c r="N755" s="148">
        <v>2.1800000000000002</v>
      </c>
      <c r="O755" s="148">
        <v>2.1800000000000002</v>
      </c>
      <c r="P755" s="494"/>
      <c r="Q755" s="147">
        <f t="shared" si="218"/>
        <v>0</v>
      </c>
      <c r="R755" s="148"/>
      <c r="S755" s="148">
        <f t="shared" si="222"/>
        <v>0</v>
      </c>
      <c r="T755" s="148">
        <f t="shared" si="214"/>
        <v>1</v>
      </c>
      <c r="U755" s="148">
        <f t="shared" si="213"/>
        <v>2.1800000000000002</v>
      </c>
      <c r="V755" s="379"/>
      <c r="W755" s="379"/>
      <c r="X755" s="57" t="e">
        <f>IF(B755&lt;&gt;0,VLOOKUP(B755,#REF!,4,FALSE),"")</f>
        <v>#REF!</v>
      </c>
      <c r="Y755" s="334" t="s">
        <v>1861</v>
      </c>
      <c r="Z755" s="58">
        <f t="shared" si="219"/>
        <v>-0.27299999999999991</v>
      </c>
      <c r="AA755" s="58">
        <f t="shared" si="220"/>
        <v>1.5470000000000002</v>
      </c>
      <c r="AB755" s="58"/>
      <c r="AC755" s="58">
        <f t="shared" si="221"/>
        <v>1.96</v>
      </c>
      <c r="AD755" s="58" t="e">
        <f>IF(B755&lt;&gt;0,VLOOKUP(B755,#REF!,2,FALSE),"")</f>
        <v>#REF!</v>
      </c>
      <c r="AE755" s="55">
        <v>10</v>
      </c>
      <c r="AF755" s="55">
        <f t="shared" si="210"/>
        <v>9</v>
      </c>
    </row>
    <row r="756" spans="1:32" s="55" customFormat="1" ht="45">
      <c r="A756" s="235" t="s">
        <v>3592</v>
      </c>
      <c r="B756" s="20">
        <v>1577</v>
      </c>
      <c r="C756" s="439" t="s">
        <v>3747</v>
      </c>
      <c r="D756" s="21" t="s">
        <v>12</v>
      </c>
      <c r="E756" s="21" t="s">
        <v>17</v>
      </c>
      <c r="F756" s="22">
        <v>10</v>
      </c>
      <c r="G756" s="22">
        <f t="shared" si="215"/>
        <v>2.4055</v>
      </c>
      <c r="H756" s="22">
        <f t="shared" si="216"/>
        <v>3.05</v>
      </c>
      <c r="I756" s="147">
        <f t="shared" si="217"/>
        <v>30.5</v>
      </c>
      <c r="J756" s="148"/>
      <c r="K756" s="148"/>
      <c r="L756" s="148"/>
      <c r="M756" s="148">
        <v>2.68</v>
      </c>
      <c r="N756" s="148">
        <v>3.4</v>
      </c>
      <c r="O756" s="148">
        <v>34</v>
      </c>
      <c r="P756" s="494"/>
      <c r="Q756" s="147">
        <f t="shared" si="218"/>
        <v>0</v>
      </c>
      <c r="R756" s="148"/>
      <c r="S756" s="148">
        <f t="shared" si="222"/>
        <v>0</v>
      </c>
      <c r="T756" s="148">
        <f t="shared" si="214"/>
        <v>10</v>
      </c>
      <c r="U756" s="148">
        <f t="shared" si="213"/>
        <v>34</v>
      </c>
      <c r="V756" s="379"/>
      <c r="W756" s="379"/>
      <c r="X756" s="57" t="e">
        <f>IF(B756&lt;&gt;0,VLOOKUP(B756,#REF!,4,FALSE),"")</f>
        <v>#REF!</v>
      </c>
      <c r="Y756" s="334" t="s">
        <v>1894</v>
      </c>
      <c r="Z756" s="58">
        <f t="shared" si="219"/>
        <v>-0.4245000000000001</v>
      </c>
      <c r="AA756" s="58">
        <f t="shared" si="220"/>
        <v>24.055</v>
      </c>
      <c r="AB756" s="58"/>
      <c r="AC756" s="58">
        <f t="shared" si="221"/>
        <v>30.5</v>
      </c>
      <c r="AD756" s="58" t="e">
        <f>IF(B756&lt;&gt;0,VLOOKUP(B756,#REF!,2,FALSE),"")</f>
        <v>#REF!</v>
      </c>
      <c r="AE756" s="55">
        <v>1</v>
      </c>
      <c r="AF756" s="55">
        <f t="shared" si="210"/>
        <v>-9</v>
      </c>
    </row>
    <row r="757" spans="1:32" s="55" customFormat="1" ht="45">
      <c r="A757" s="235" t="s">
        <v>3593</v>
      </c>
      <c r="B757" s="20">
        <v>1578</v>
      </c>
      <c r="C757" s="439" t="s">
        <v>3746</v>
      </c>
      <c r="D757" s="21" t="s">
        <v>12</v>
      </c>
      <c r="E757" s="21" t="s">
        <v>17</v>
      </c>
      <c r="F757" s="22">
        <v>1</v>
      </c>
      <c r="G757" s="22">
        <f t="shared" si="215"/>
        <v>4.1820000000000004</v>
      </c>
      <c r="H757" s="22">
        <f t="shared" si="216"/>
        <v>5.3</v>
      </c>
      <c r="I757" s="147">
        <f t="shared" si="217"/>
        <v>5.3</v>
      </c>
      <c r="J757" s="148"/>
      <c r="K757" s="148"/>
      <c r="L757" s="148"/>
      <c r="M757" s="148">
        <v>4.66</v>
      </c>
      <c r="N757" s="148">
        <v>5.91</v>
      </c>
      <c r="O757" s="148">
        <v>5.91</v>
      </c>
      <c r="P757" s="494"/>
      <c r="Q757" s="147">
        <f t="shared" si="218"/>
        <v>0</v>
      </c>
      <c r="R757" s="148"/>
      <c r="S757" s="148">
        <f t="shared" si="222"/>
        <v>0</v>
      </c>
      <c r="T757" s="148">
        <f t="shared" si="214"/>
        <v>1</v>
      </c>
      <c r="U757" s="148">
        <f t="shared" si="213"/>
        <v>5.91</v>
      </c>
      <c r="V757" s="379"/>
      <c r="W757" s="379"/>
      <c r="X757" s="57" t="e">
        <f>IF(B757&lt;&gt;0,VLOOKUP(B757,#REF!,4,FALSE),"")</f>
        <v>#REF!</v>
      </c>
      <c r="Y757" s="334" t="s">
        <v>3141</v>
      </c>
      <c r="Z757" s="58">
        <f t="shared" si="219"/>
        <v>-0.73799999999999955</v>
      </c>
      <c r="AA757" s="58">
        <f t="shared" si="220"/>
        <v>4.1820000000000004</v>
      </c>
      <c r="AB757" s="58"/>
      <c r="AC757" s="58">
        <f t="shared" si="221"/>
        <v>5.3</v>
      </c>
      <c r="AD757" s="58" t="e">
        <f>IF(B757&lt;&gt;0,VLOOKUP(B757,#REF!,2,FALSE),"")</f>
        <v>#REF!</v>
      </c>
      <c r="AE757" s="55">
        <v>10</v>
      </c>
      <c r="AF757" s="55">
        <f t="shared" si="210"/>
        <v>9</v>
      </c>
    </row>
    <row r="758" spans="1:32" s="55" customFormat="1" ht="45">
      <c r="A758" s="21" t="s">
        <v>2872</v>
      </c>
      <c r="B758" s="20">
        <v>1580</v>
      </c>
      <c r="C758" s="439" t="s">
        <v>3757</v>
      </c>
      <c r="D758" s="21" t="s">
        <v>12</v>
      </c>
      <c r="E758" s="21" t="s">
        <v>17</v>
      </c>
      <c r="F758" s="22">
        <v>10</v>
      </c>
      <c r="G758" s="22">
        <f t="shared" si="215"/>
        <v>6.4175000000000004</v>
      </c>
      <c r="H758" s="22">
        <f t="shared" si="216"/>
        <v>8.14</v>
      </c>
      <c r="I758" s="147">
        <f t="shared" si="217"/>
        <v>81.400000000000006</v>
      </c>
      <c r="J758" s="148"/>
      <c r="K758" s="148"/>
      <c r="L758" s="148"/>
      <c r="M758" s="148">
        <v>7.15</v>
      </c>
      <c r="N758" s="148">
        <v>9.07</v>
      </c>
      <c r="O758" s="148">
        <v>90.7</v>
      </c>
      <c r="P758" s="494"/>
      <c r="Q758" s="147">
        <f t="shared" si="218"/>
        <v>0</v>
      </c>
      <c r="R758" s="148"/>
      <c r="S758" s="148">
        <f t="shared" si="222"/>
        <v>0</v>
      </c>
      <c r="T758" s="148">
        <f t="shared" si="214"/>
        <v>10</v>
      </c>
      <c r="U758" s="148">
        <f t="shared" si="213"/>
        <v>90.7</v>
      </c>
      <c r="V758" s="379"/>
      <c r="W758" s="379"/>
      <c r="X758" s="57" t="e">
        <f>IF(B758&lt;&gt;0,VLOOKUP(B758,#REF!,4,FALSE),"")</f>
        <v>#REF!</v>
      </c>
      <c r="Y758" s="334" t="s">
        <v>3155</v>
      </c>
      <c r="Z758" s="58">
        <f t="shared" si="219"/>
        <v>-1.1324999999999994</v>
      </c>
      <c r="AA758" s="58">
        <f t="shared" si="220"/>
        <v>64.175000000000011</v>
      </c>
      <c r="AB758" s="58"/>
      <c r="AC758" s="58">
        <f t="shared" si="221"/>
        <v>81.400000000000006</v>
      </c>
      <c r="AD758" s="58" t="e">
        <f>IF(B758&lt;&gt;0,VLOOKUP(B758,#REF!,2,FALSE),"")</f>
        <v>#REF!</v>
      </c>
      <c r="AE758" s="55">
        <v>2</v>
      </c>
      <c r="AF758" s="55">
        <f t="shared" si="210"/>
        <v>-8</v>
      </c>
    </row>
    <row r="759" spans="1:32" s="55" customFormat="1" ht="45">
      <c r="A759" s="21" t="s">
        <v>2873</v>
      </c>
      <c r="B759" s="20">
        <v>91930</v>
      </c>
      <c r="C759" s="19" t="s">
        <v>1731</v>
      </c>
      <c r="D759" s="21" t="s">
        <v>12</v>
      </c>
      <c r="E759" s="21" t="s">
        <v>52</v>
      </c>
      <c r="F759" s="22">
        <v>2</v>
      </c>
      <c r="G759" s="22">
        <f t="shared" si="215"/>
        <v>7.0379999999999994</v>
      </c>
      <c r="H759" s="22">
        <f t="shared" si="216"/>
        <v>8.92</v>
      </c>
      <c r="I759" s="147">
        <f t="shared" si="217"/>
        <v>17.84</v>
      </c>
      <c r="J759" s="148"/>
      <c r="K759" s="148"/>
      <c r="L759" s="148"/>
      <c r="M759" s="148">
        <v>7.84</v>
      </c>
      <c r="N759" s="148">
        <v>9.94</v>
      </c>
      <c r="O759" s="148">
        <v>19.88</v>
      </c>
      <c r="P759" s="494"/>
      <c r="Q759" s="147">
        <f t="shared" si="218"/>
        <v>0</v>
      </c>
      <c r="R759" s="148"/>
      <c r="S759" s="148">
        <f t="shared" si="222"/>
        <v>0</v>
      </c>
      <c r="T759" s="148">
        <f t="shared" si="214"/>
        <v>2</v>
      </c>
      <c r="U759" s="148">
        <f t="shared" si="213"/>
        <v>19.88</v>
      </c>
      <c r="V759" s="379"/>
      <c r="W759" s="379"/>
      <c r="X759" s="58" t="e">
        <f>IF(B759&lt;&gt;0,VLOOKUP(B759,#REF!,4,FALSE),"")</f>
        <v>#REF!</v>
      </c>
      <c r="Y759" s="334" t="s">
        <v>3110</v>
      </c>
      <c r="Z759" s="58">
        <f t="shared" si="219"/>
        <v>-1.242</v>
      </c>
      <c r="AA759" s="58">
        <f t="shared" si="220"/>
        <v>14.075999999999999</v>
      </c>
      <c r="AB759" s="58"/>
      <c r="AC759" s="58">
        <f t="shared" si="221"/>
        <v>17.84</v>
      </c>
      <c r="AD759" s="58" t="e">
        <f>IF(B759&lt;&gt;0,VLOOKUP(B759,#REF!,2,FALSE),"")</f>
        <v>#REF!</v>
      </c>
      <c r="AF759" s="55">
        <f t="shared" si="210"/>
        <v>-2</v>
      </c>
    </row>
    <row r="760" spans="1:32" s="55" customFormat="1">
      <c r="A760" s="69" t="s">
        <v>2874</v>
      </c>
      <c r="B760" s="129"/>
      <c r="C760" s="129" t="s">
        <v>2875</v>
      </c>
      <c r="D760" s="230"/>
      <c r="E760" s="230"/>
      <c r="F760" s="230"/>
      <c r="G760" s="22"/>
      <c r="H760" s="230"/>
      <c r="I760" s="445"/>
      <c r="J760" s="440"/>
      <c r="K760" s="440"/>
      <c r="L760" s="440"/>
      <c r="M760" s="440"/>
      <c r="N760" s="440"/>
      <c r="O760" s="440"/>
      <c r="P760" s="492"/>
      <c r="Q760" s="147">
        <f t="shared" si="218"/>
        <v>0</v>
      </c>
      <c r="R760" s="440"/>
      <c r="S760" s="148">
        <f t="shared" si="222"/>
        <v>0</v>
      </c>
      <c r="T760" s="148" t="str">
        <f t="shared" si="214"/>
        <v xml:space="preserve"> </v>
      </c>
      <c r="U760" s="148">
        <f t="shared" si="213"/>
        <v>0</v>
      </c>
      <c r="V760" s="330"/>
      <c r="W760" s="330"/>
      <c r="X760" s="58" t="str">
        <f>IF(B760&lt;&gt;0,VLOOKUP(B760,#REF!,4,FALSE),"")</f>
        <v/>
      </c>
      <c r="Y760" s="334" t="s">
        <v>1891</v>
      </c>
      <c r="Z760" s="58"/>
      <c r="AA760" s="58">
        <f t="shared" si="220"/>
        <v>0</v>
      </c>
      <c r="AB760" s="58"/>
      <c r="AC760" s="58">
        <f t="shared" si="221"/>
        <v>0</v>
      </c>
      <c r="AD760" s="58" t="str">
        <f>IF(B760&lt;&gt;0,VLOOKUP(B760,#REF!,2,FALSE),"")</f>
        <v/>
      </c>
      <c r="AE760" s="55">
        <v>1</v>
      </c>
      <c r="AF760" s="55">
        <f t="shared" si="210"/>
        <v>1</v>
      </c>
    </row>
    <row r="761" spans="1:32" s="55" customFormat="1" ht="75">
      <c r="A761" s="235" t="s">
        <v>3594</v>
      </c>
      <c r="B761" s="20">
        <v>101875</v>
      </c>
      <c r="C761" s="439" t="s">
        <v>3763</v>
      </c>
      <c r="D761" s="21" t="s">
        <v>12</v>
      </c>
      <c r="E761" s="21" t="s">
        <v>17</v>
      </c>
      <c r="F761" s="22">
        <v>1</v>
      </c>
      <c r="G761" s="22">
        <f t="shared" si="215"/>
        <v>316.88</v>
      </c>
      <c r="H761" s="22">
        <f t="shared" ref="H761:H771" si="223">ROUND(G761*(1+$X$13),2)</f>
        <v>401.84</v>
      </c>
      <c r="I761" s="147">
        <f t="shared" ref="I761:I771" si="224">ROUND(H761*F761,2)</f>
        <v>401.84</v>
      </c>
      <c r="J761" s="148"/>
      <c r="K761" s="148"/>
      <c r="L761" s="148"/>
      <c r="M761" s="148">
        <v>353.01</v>
      </c>
      <c r="N761" s="148">
        <v>447.65</v>
      </c>
      <c r="O761" s="148">
        <v>447.65</v>
      </c>
      <c r="P761" s="494"/>
      <c r="Q761" s="147">
        <f t="shared" si="218"/>
        <v>0</v>
      </c>
      <c r="R761" s="148"/>
      <c r="S761" s="148">
        <f t="shared" si="222"/>
        <v>0</v>
      </c>
      <c r="T761" s="148">
        <f t="shared" si="214"/>
        <v>1</v>
      </c>
      <c r="U761" s="148">
        <f t="shared" si="213"/>
        <v>447.65</v>
      </c>
      <c r="V761" s="379"/>
      <c r="W761" s="379"/>
      <c r="X761" s="58" t="e">
        <f>IF(B761&lt;&gt;0,VLOOKUP(B761,#REF!,4,FALSE),"")</f>
        <v>#REF!</v>
      </c>
      <c r="Y761" s="334" t="s">
        <v>3245</v>
      </c>
      <c r="Z761" s="58">
        <f t="shared" si="219"/>
        <v>-55.920000000000016</v>
      </c>
      <c r="AA761" s="58">
        <f t="shared" si="220"/>
        <v>316.88</v>
      </c>
      <c r="AB761" s="58"/>
      <c r="AC761" s="58">
        <f t="shared" si="221"/>
        <v>401.84</v>
      </c>
      <c r="AD761" s="58" t="e">
        <f>IF(B761&lt;&gt;0,VLOOKUP(B761,#REF!,2,FALSE),"")</f>
        <v>#REF!</v>
      </c>
      <c r="AE761" s="55">
        <v>4</v>
      </c>
      <c r="AF761" s="55">
        <f t="shared" si="210"/>
        <v>3</v>
      </c>
    </row>
    <row r="762" spans="1:32" s="55" customFormat="1" ht="30">
      <c r="A762" s="21" t="s">
        <v>2876</v>
      </c>
      <c r="B762" s="20">
        <v>9041</v>
      </c>
      <c r="C762" s="19" t="s">
        <v>1926</v>
      </c>
      <c r="D762" s="21" t="s">
        <v>44</v>
      </c>
      <c r="E762" s="21" t="s">
        <v>17</v>
      </c>
      <c r="F762" s="22">
        <v>4</v>
      </c>
      <c r="G762" s="22">
        <f t="shared" si="215"/>
        <v>97.393000000000001</v>
      </c>
      <c r="H762" s="22">
        <f t="shared" si="223"/>
        <v>123.5</v>
      </c>
      <c r="I762" s="147">
        <f t="shared" si="224"/>
        <v>494</v>
      </c>
      <c r="J762" s="148"/>
      <c r="K762" s="148"/>
      <c r="L762" s="148"/>
      <c r="M762" s="148">
        <v>108.5</v>
      </c>
      <c r="N762" s="148">
        <v>137.59</v>
      </c>
      <c r="O762" s="148">
        <v>550.36</v>
      </c>
      <c r="P762" s="494"/>
      <c r="Q762" s="147">
        <f t="shared" si="218"/>
        <v>0</v>
      </c>
      <c r="R762" s="148"/>
      <c r="S762" s="148">
        <f t="shared" si="222"/>
        <v>0</v>
      </c>
      <c r="T762" s="148">
        <f t="shared" si="214"/>
        <v>4</v>
      </c>
      <c r="U762" s="148">
        <f t="shared" si="213"/>
        <v>550.36</v>
      </c>
      <c r="V762" s="379"/>
      <c r="W762" s="379"/>
      <c r="X762" s="58">
        <f>'COMPOSIÇÃO DE CUSTOS'!G1869</f>
        <v>97.39</v>
      </c>
      <c r="Y762" s="334">
        <v>114.58</v>
      </c>
      <c r="Z762" s="58">
        <f t="shared" si="219"/>
        <v>-17.186999999999998</v>
      </c>
      <c r="AA762" s="58">
        <f t="shared" si="220"/>
        <v>389.572</v>
      </c>
      <c r="AB762" s="58"/>
      <c r="AC762" s="58">
        <f t="shared" si="221"/>
        <v>494</v>
      </c>
      <c r="AD762" s="58" t="e">
        <f>IF(B762&lt;&gt;0,VLOOKUP(B762,#REF!,2,FALSE),"")</f>
        <v>#REF!</v>
      </c>
      <c r="AE762" s="55">
        <v>2</v>
      </c>
      <c r="AF762" s="55">
        <f t="shared" si="210"/>
        <v>-2</v>
      </c>
    </row>
    <row r="763" spans="1:32" s="55" customFormat="1" ht="45">
      <c r="A763" s="21" t="s">
        <v>2877</v>
      </c>
      <c r="B763" s="20">
        <v>93654</v>
      </c>
      <c r="C763" s="19" t="s">
        <v>1730</v>
      </c>
      <c r="D763" s="21" t="s">
        <v>12</v>
      </c>
      <c r="E763" s="21" t="s">
        <v>17</v>
      </c>
      <c r="F763" s="22">
        <v>2</v>
      </c>
      <c r="G763" s="22">
        <f t="shared" si="215"/>
        <v>9.6050000000000004</v>
      </c>
      <c r="H763" s="22">
        <f t="shared" si="223"/>
        <v>12.18</v>
      </c>
      <c r="I763" s="147">
        <f t="shared" si="224"/>
        <v>24.36</v>
      </c>
      <c r="J763" s="148"/>
      <c r="K763" s="148"/>
      <c r="L763" s="148"/>
      <c r="M763" s="148">
        <v>10.7</v>
      </c>
      <c r="N763" s="148">
        <v>13.57</v>
      </c>
      <c r="O763" s="148">
        <v>27.14</v>
      </c>
      <c r="P763" s="494"/>
      <c r="Q763" s="147">
        <f t="shared" si="218"/>
        <v>0</v>
      </c>
      <c r="R763" s="148"/>
      <c r="S763" s="148">
        <f t="shared" si="222"/>
        <v>0</v>
      </c>
      <c r="T763" s="148">
        <f t="shared" si="214"/>
        <v>2</v>
      </c>
      <c r="U763" s="148">
        <f t="shared" si="213"/>
        <v>27.14</v>
      </c>
      <c r="V763" s="379"/>
      <c r="W763" s="379"/>
      <c r="X763" s="58" t="e">
        <f>IF(B763&lt;&gt;0,VLOOKUP(B763,#REF!,4,FALSE),"")</f>
        <v>#REF!</v>
      </c>
      <c r="Y763" s="334" t="s">
        <v>3240</v>
      </c>
      <c r="Z763" s="58">
        <f t="shared" si="219"/>
        <v>-1.6950000000000003</v>
      </c>
      <c r="AA763" s="58">
        <f t="shared" si="220"/>
        <v>19.21</v>
      </c>
      <c r="AB763" s="58"/>
      <c r="AC763" s="58">
        <f t="shared" si="221"/>
        <v>24.36</v>
      </c>
      <c r="AD763" s="58" t="e">
        <f>IF(B763&lt;&gt;0,VLOOKUP(B763,#REF!,2,FALSE),"")</f>
        <v>#REF!</v>
      </c>
      <c r="AE763" s="55">
        <v>1</v>
      </c>
      <c r="AF763" s="55">
        <f t="shared" si="210"/>
        <v>-1</v>
      </c>
    </row>
    <row r="764" spans="1:32" s="55" customFormat="1" ht="45">
      <c r="A764" s="21" t="s">
        <v>2878</v>
      </c>
      <c r="B764" s="20">
        <v>93655</v>
      </c>
      <c r="C764" s="19" t="s">
        <v>2855</v>
      </c>
      <c r="D764" s="21" t="s">
        <v>12</v>
      </c>
      <c r="E764" s="21" t="s">
        <v>17</v>
      </c>
      <c r="F764" s="22">
        <v>1</v>
      </c>
      <c r="G764" s="22">
        <f t="shared" si="215"/>
        <v>10.3445</v>
      </c>
      <c r="H764" s="22">
        <f t="shared" si="223"/>
        <v>13.12</v>
      </c>
      <c r="I764" s="147">
        <f t="shared" si="224"/>
        <v>13.12</v>
      </c>
      <c r="J764" s="148"/>
      <c r="K764" s="148"/>
      <c r="L764" s="148"/>
      <c r="M764" s="148">
        <v>11.52</v>
      </c>
      <c r="N764" s="148">
        <v>14.61</v>
      </c>
      <c r="O764" s="148">
        <v>14.61</v>
      </c>
      <c r="P764" s="494"/>
      <c r="Q764" s="147">
        <f t="shared" si="218"/>
        <v>0</v>
      </c>
      <c r="R764" s="148"/>
      <c r="S764" s="148">
        <f t="shared" si="222"/>
        <v>0</v>
      </c>
      <c r="T764" s="148">
        <f t="shared" si="214"/>
        <v>1</v>
      </c>
      <c r="U764" s="148">
        <f t="shared" si="213"/>
        <v>14.61</v>
      </c>
      <c r="V764" s="379"/>
      <c r="W764" s="379"/>
      <c r="X764" s="58" t="e">
        <f>IF(B764&lt;&gt;0,VLOOKUP(B764,#REF!,4,FALSE),"")</f>
        <v>#REF!</v>
      </c>
      <c r="Y764" s="334" t="s">
        <v>1878</v>
      </c>
      <c r="Z764" s="58">
        <f t="shared" si="219"/>
        <v>-1.8254999999999999</v>
      </c>
      <c r="AA764" s="58">
        <f t="shared" si="220"/>
        <v>10.3445</v>
      </c>
      <c r="AB764" s="58"/>
      <c r="AC764" s="58">
        <f t="shared" si="221"/>
        <v>13.12</v>
      </c>
      <c r="AD764" s="58" t="e">
        <f>IF(B764&lt;&gt;0,VLOOKUP(B764,#REF!,2,FALSE),"")</f>
        <v>#REF!</v>
      </c>
      <c r="AE764" s="55">
        <v>1</v>
      </c>
      <c r="AF764" s="55">
        <f t="shared" si="210"/>
        <v>0</v>
      </c>
    </row>
    <row r="765" spans="1:32" s="55" customFormat="1" ht="45">
      <c r="A765" s="21" t="s">
        <v>2879</v>
      </c>
      <c r="B765" s="20">
        <v>93671</v>
      </c>
      <c r="C765" s="19" t="s">
        <v>1733</v>
      </c>
      <c r="D765" s="21" t="s">
        <v>12</v>
      </c>
      <c r="E765" s="21" t="s">
        <v>17</v>
      </c>
      <c r="F765" s="22">
        <v>1</v>
      </c>
      <c r="G765" s="22">
        <f t="shared" si="215"/>
        <v>64.021999999999991</v>
      </c>
      <c r="H765" s="22">
        <f t="shared" si="223"/>
        <v>81.19</v>
      </c>
      <c r="I765" s="147">
        <f t="shared" si="224"/>
        <v>81.19</v>
      </c>
      <c r="J765" s="148"/>
      <c r="K765" s="148"/>
      <c r="L765" s="148"/>
      <c r="M765" s="148">
        <v>71.319999999999993</v>
      </c>
      <c r="N765" s="148">
        <v>90.44</v>
      </c>
      <c r="O765" s="148">
        <v>90.44</v>
      </c>
      <c r="P765" s="494"/>
      <c r="Q765" s="147">
        <f t="shared" si="218"/>
        <v>0</v>
      </c>
      <c r="R765" s="148"/>
      <c r="S765" s="148">
        <f t="shared" si="222"/>
        <v>0</v>
      </c>
      <c r="T765" s="148">
        <f t="shared" si="214"/>
        <v>1</v>
      </c>
      <c r="U765" s="148">
        <f t="shared" si="213"/>
        <v>90.44</v>
      </c>
      <c r="V765" s="379"/>
      <c r="W765" s="379"/>
      <c r="X765" s="58" t="e">
        <f>IF(B765&lt;&gt;0,VLOOKUP(B765,#REF!,4,FALSE),"")</f>
        <v>#REF!</v>
      </c>
      <c r="Y765" s="334" t="s">
        <v>3178</v>
      </c>
      <c r="Z765" s="58">
        <f t="shared" si="219"/>
        <v>-11.298000000000002</v>
      </c>
      <c r="AA765" s="58">
        <f t="shared" si="220"/>
        <v>64.021999999999991</v>
      </c>
      <c r="AB765" s="58"/>
      <c r="AC765" s="58">
        <f t="shared" si="221"/>
        <v>81.19</v>
      </c>
      <c r="AD765" s="58" t="e">
        <f>IF(B765&lt;&gt;0,VLOOKUP(B765,#REF!,2,FALSE),"")</f>
        <v>#REF!</v>
      </c>
      <c r="AE765" s="55">
        <v>1</v>
      </c>
      <c r="AF765" s="55">
        <f t="shared" si="210"/>
        <v>0</v>
      </c>
    </row>
    <row r="766" spans="1:32" s="55" customFormat="1" ht="45">
      <c r="A766" s="21" t="s">
        <v>2880</v>
      </c>
      <c r="B766" s="20">
        <v>93672</v>
      </c>
      <c r="C766" s="19" t="s">
        <v>1734</v>
      </c>
      <c r="D766" s="21" t="s">
        <v>12</v>
      </c>
      <c r="E766" s="21" t="s">
        <v>17</v>
      </c>
      <c r="F766" s="22">
        <v>1</v>
      </c>
      <c r="G766" s="22">
        <f t="shared" si="215"/>
        <v>67.915000000000006</v>
      </c>
      <c r="H766" s="22">
        <f t="shared" si="223"/>
        <v>86.12</v>
      </c>
      <c r="I766" s="147">
        <f t="shared" si="224"/>
        <v>86.12</v>
      </c>
      <c r="J766" s="148"/>
      <c r="K766" s="148"/>
      <c r="L766" s="148"/>
      <c r="M766" s="148">
        <v>75.66</v>
      </c>
      <c r="N766" s="148">
        <v>95.94</v>
      </c>
      <c r="O766" s="148">
        <v>95.94</v>
      </c>
      <c r="P766" s="494"/>
      <c r="Q766" s="147">
        <f t="shared" si="218"/>
        <v>0</v>
      </c>
      <c r="R766" s="148"/>
      <c r="S766" s="148">
        <f t="shared" si="222"/>
        <v>0</v>
      </c>
      <c r="T766" s="148">
        <f t="shared" si="214"/>
        <v>1</v>
      </c>
      <c r="U766" s="148">
        <f t="shared" si="213"/>
        <v>95.94</v>
      </c>
      <c r="V766" s="379"/>
      <c r="W766" s="379"/>
      <c r="X766" s="58" t="e">
        <f>IF(B766&lt;&gt;0,VLOOKUP(B766,#REF!,4,FALSE),"")</f>
        <v>#REF!</v>
      </c>
      <c r="Y766" s="334" t="s">
        <v>3243</v>
      </c>
      <c r="Z766" s="58">
        <f t="shared" si="219"/>
        <v>-11.984999999999999</v>
      </c>
      <c r="AA766" s="58">
        <f t="shared" si="220"/>
        <v>67.915000000000006</v>
      </c>
      <c r="AB766" s="58"/>
      <c r="AC766" s="58">
        <f t="shared" si="221"/>
        <v>86.12</v>
      </c>
      <c r="AD766" s="58" t="e">
        <f>IF(B766&lt;&gt;0,VLOOKUP(B766,#REF!,2,FALSE),"")</f>
        <v>#REF!</v>
      </c>
      <c r="AE766" s="55">
        <v>4</v>
      </c>
      <c r="AF766" s="55">
        <f t="shared" si="210"/>
        <v>3</v>
      </c>
    </row>
    <row r="767" spans="1:32" s="55" customFormat="1" ht="45">
      <c r="A767" s="235" t="s">
        <v>3595</v>
      </c>
      <c r="B767" s="20">
        <v>1571</v>
      </c>
      <c r="C767" s="439" t="s">
        <v>3754</v>
      </c>
      <c r="D767" s="21" t="s">
        <v>12</v>
      </c>
      <c r="E767" s="21" t="s">
        <v>17</v>
      </c>
      <c r="F767" s="22">
        <v>4</v>
      </c>
      <c r="G767" s="22">
        <f t="shared" si="215"/>
        <v>1.0114999999999998</v>
      </c>
      <c r="H767" s="22">
        <f t="shared" si="223"/>
        <v>1.28</v>
      </c>
      <c r="I767" s="147">
        <f t="shared" si="224"/>
        <v>5.12</v>
      </c>
      <c r="J767" s="148"/>
      <c r="K767" s="148"/>
      <c r="L767" s="148"/>
      <c r="M767" s="148">
        <v>1.1299999999999999</v>
      </c>
      <c r="N767" s="148">
        <v>1.43</v>
      </c>
      <c r="O767" s="148">
        <v>5.72</v>
      </c>
      <c r="P767" s="494"/>
      <c r="Q767" s="147">
        <f t="shared" si="218"/>
        <v>0</v>
      </c>
      <c r="R767" s="148"/>
      <c r="S767" s="148">
        <f t="shared" si="222"/>
        <v>0</v>
      </c>
      <c r="T767" s="148">
        <f t="shared" si="214"/>
        <v>4</v>
      </c>
      <c r="U767" s="148">
        <f t="shared" si="213"/>
        <v>5.72</v>
      </c>
      <c r="V767" s="379"/>
      <c r="W767" s="379"/>
      <c r="X767" s="57" t="e">
        <f>IF(B767&lt;&gt;0,VLOOKUP(B767,#REF!,4,FALSE),"")</f>
        <v>#REF!</v>
      </c>
      <c r="Y767" s="334" t="s">
        <v>1843</v>
      </c>
      <c r="Z767" s="58">
        <f t="shared" si="219"/>
        <v>-0.1785000000000001</v>
      </c>
      <c r="AA767" s="58">
        <f t="shared" si="220"/>
        <v>4.0459999999999994</v>
      </c>
      <c r="AB767" s="58"/>
      <c r="AC767" s="58">
        <f t="shared" si="221"/>
        <v>5.12</v>
      </c>
      <c r="AD767" s="58" t="e">
        <f>IF(B767&lt;&gt;0,VLOOKUP(B767,#REF!,2,FALSE),"")</f>
        <v>#REF!</v>
      </c>
      <c r="AE767" s="55">
        <v>22</v>
      </c>
      <c r="AF767" s="55">
        <f t="shared" si="210"/>
        <v>18</v>
      </c>
    </row>
    <row r="768" spans="1:32" s="55" customFormat="1" ht="45">
      <c r="A768" s="235" t="s">
        <v>3596</v>
      </c>
      <c r="B768" s="20">
        <v>1573</v>
      </c>
      <c r="C768" s="439" t="s">
        <v>3752</v>
      </c>
      <c r="D768" s="21" t="s">
        <v>12</v>
      </c>
      <c r="E768" s="21" t="s">
        <v>221</v>
      </c>
      <c r="F768" s="22">
        <v>22</v>
      </c>
      <c r="G768" s="22">
        <f t="shared" si="215"/>
        <v>1.1984999999999999</v>
      </c>
      <c r="H768" s="22">
        <f t="shared" si="223"/>
        <v>1.52</v>
      </c>
      <c r="I768" s="147">
        <f t="shared" si="224"/>
        <v>33.44</v>
      </c>
      <c r="J768" s="148"/>
      <c r="K768" s="148"/>
      <c r="L768" s="148"/>
      <c r="M768" s="148">
        <v>1.34</v>
      </c>
      <c r="N768" s="148">
        <v>1.7</v>
      </c>
      <c r="O768" s="148">
        <v>37.4</v>
      </c>
      <c r="P768" s="494"/>
      <c r="Q768" s="147">
        <f t="shared" si="218"/>
        <v>0</v>
      </c>
      <c r="R768" s="148"/>
      <c r="S768" s="148">
        <f t="shared" si="222"/>
        <v>0</v>
      </c>
      <c r="T768" s="148">
        <f t="shared" si="214"/>
        <v>22</v>
      </c>
      <c r="U768" s="148">
        <f t="shared" si="213"/>
        <v>37.4</v>
      </c>
      <c r="V768" s="379"/>
      <c r="W768" s="379"/>
      <c r="X768" s="57" t="e">
        <f>IF(B768&lt;&gt;0,VLOOKUP(B768,#REF!,4,FALSE),"")</f>
        <v>#REF!</v>
      </c>
      <c r="Y768" s="334" t="s">
        <v>3188</v>
      </c>
      <c r="Z768" s="58">
        <f t="shared" si="219"/>
        <v>-0.21150000000000002</v>
      </c>
      <c r="AA768" s="58">
        <f t="shared" si="220"/>
        <v>26.366999999999997</v>
      </c>
      <c r="AB768" s="58"/>
      <c r="AC768" s="58">
        <f t="shared" si="221"/>
        <v>33.44</v>
      </c>
      <c r="AD768" s="58" t="e">
        <f>IF(B768&lt;&gt;0,VLOOKUP(B768,#REF!,2,FALSE),"")</f>
        <v>#REF!</v>
      </c>
      <c r="AE768" s="55">
        <v>1</v>
      </c>
      <c r="AF768" s="55">
        <f t="shared" si="210"/>
        <v>-21</v>
      </c>
    </row>
    <row r="769" spans="1:32" s="55" customFormat="1" ht="45">
      <c r="A769" s="235" t="s">
        <v>3597</v>
      </c>
      <c r="B769" s="20">
        <v>1575</v>
      </c>
      <c r="C769" s="439" t="s">
        <v>3759</v>
      </c>
      <c r="D769" s="21" t="s">
        <v>12</v>
      </c>
      <c r="E769" s="21" t="s">
        <v>17</v>
      </c>
      <c r="F769" s="22">
        <v>1</v>
      </c>
      <c r="G769" s="22">
        <f t="shared" si="215"/>
        <v>1.5470000000000002</v>
      </c>
      <c r="H769" s="22">
        <f t="shared" si="223"/>
        <v>1.96</v>
      </c>
      <c r="I769" s="147">
        <f t="shared" si="224"/>
        <v>1.96</v>
      </c>
      <c r="J769" s="148"/>
      <c r="K769" s="148"/>
      <c r="L769" s="148"/>
      <c r="M769" s="148">
        <v>1.72</v>
      </c>
      <c r="N769" s="148">
        <v>2.1800000000000002</v>
      </c>
      <c r="O769" s="148">
        <v>2.1800000000000002</v>
      </c>
      <c r="P769" s="494"/>
      <c r="Q769" s="147">
        <f t="shared" si="218"/>
        <v>0</v>
      </c>
      <c r="R769" s="148"/>
      <c r="S769" s="148">
        <f t="shared" si="222"/>
        <v>0</v>
      </c>
      <c r="T769" s="148">
        <f t="shared" si="214"/>
        <v>1</v>
      </c>
      <c r="U769" s="148">
        <f t="shared" si="213"/>
        <v>2.1800000000000002</v>
      </c>
      <c r="V769" s="379"/>
      <c r="W769" s="379"/>
      <c r="X769" s="57" t="e">
        <f>IF(B769&lt;&gt;0,VLOOKUP(B769,#REF!,4,FALSE),"")</f>
        <v>#REF!</v>
      </c>
      <c r="Y769" s="334" t="s">
        <v>1861</v>
      </c>
      <c r="Z769" s="58">
        <f t="shared" si="219"/>
        <v>-0.27299999999999991</v>
      </c>
      <c r="AA769" s="58">
        <f t="shared" si="220"/>
        <v>1.5470000000000002</v>
      </c>
      <c r="AB769" s="58"/>
      <c r="AC769" s="58">
        <f t="shared" si="221"/>
        <v>1.96</v>
      </c>
      <c r="AD769" s="58" t="e">
        <f>IF(B769&lt;&gt;0,VLOOKUP(B769,#REF!,2,FALSE),"")</f>
        <v>#REF!</v>
      </c>
      <c r="AE769" s="55">
        <v>10</v>
      </c>
      <c r="AF769" s="55">
        <f t="shared" si="210"/>
        <v>9</v>
      </c>
    </row>
    <row r="770" spans="1:32" s="55" customFormat="1" ht="45">
      <c r="A770" s="235" t="s">
        <v>3598</v>
      </c>
      <c r="B770" s="20">
        <v>1576</v>
      </c>
      <c r="C770" s="439" t="s">
        <v>3772</v>
      </c>
      <c r="D770" s="21" t="s">
        <v>12</v>
      </c>
      <c r="E770" s="21" t="s">
        <v>17</v>
      </c>
      <c r="F770" s="22">
        <v>10</v>
      </c>
      <c r="G770" s="22">
        <f t="shared" si="215"/>
        <v>2.1334999999999997</v>
      </c>
      <c r="H770" s="22">
        <f t="shared" si="223"/>
        <v>2.71</v>
      </c>
      <c r="I770" s="147">
        <f t="shared" si="224"/>
        <v>27.1</v>
      </c>
      <c r="J770" s="148"/>
      <c r="K770" s="148"/>
      <c r="L770" s="148"/>
      <c r="M770" s="148">
        <v>2.38</v>
      </c>
      <c r="N770" s="148">
        <v>3.02</v>
      </c>
      <c r="O770" s="148">
        <v>30.2</v>
      </c>
      <c r="P770" s="494"/>
      <c r="Q770" s="147">
        <f t="shared" si="218"/>
        <v>0</v>
      </c>
      <c r="R770" s="148"/>
      <c r="S770" s="148">
        <f t="shared" si="222"/>
        <v>0</v>
      </c>
      <c r="T770" s="148">
        <f t="shared" si="214"/>
        <v>10</v>
      </c>
      <c r="U770" s="148">
        <f t="shared" si="213"/>
        <v>30.2</v>
      </c>
      <c r="V770" s="379"/>
      <c r="W770" s="379"/>
      <c r="X770" s="58" t="e">
        <f>IF(B770&lt;&gt;0,VLOOKUP(B770,#REF!,4,FALSE),"")</f>
        <v>#REF!</v>
      </c>
      <c r="Y770" s="334" t="s">
        <v>3139</v>
      </c>
      <c r="Z770" s="58">
        <f t="shared" si="219"/>
        <v>-0.37650000000000006</v>
      </c>
      <c r="AA770" s="58">
        <f t="shared" si="220"/>
        <v>21.334999999999997</v>
      </c>
      <c r="AB770" s="58"/>
      <c r="AC770" s="58">
        <f t="shared" si="221"/>
        <v>27.1</v>
      </c>
      <c r="AD770" s="58" t="e">
        <f>IF(B770&lt;&gt;0,VLOOKUP(B770,#REF!,2,FALSE),"")</f>
        <v>#REF!</v>
      </c>
      <c r="AE770" s="55">
        <v>2</v>
      </c>
      <c r="AF770" s="55">
        <f t="shared" si="210"/>
        <v>-8</v>
      </c>
    </row>
    <row r="771" spans="1:32" s="55" customFormat="1" ht="45">
      <c r="A771" s="21" t="s">
        <v>2881</v>
      </c>
      <c r="B771" s="20">
        <v>91930</v>
      </c>
      <c r="C771" s="19" t="s">
        <v>1731</v>
      </c>
      <c r="D771" s="21" t="s">
        <v>12</v>
      </c>
      <c r="E771" s="21" t="s">
        <v>52</v>
      </c>
      <c r="F771" s="22">
        <v>2</v>
      </c>
      <c r="G771" s="22">
        <f t="shared" si="215"/>
        <v>7.0379999999999994</v>
      </c>
      <c r="H771" s="22">
        <f t="shared" si="223"/>
        <v>8.92</v>
      </c>
      <c r="I771" s="147">
        <f t="shared" si="224"/>
        <v>17.84</v>
      </c>
      <c r="J771" s="148"/>
      <c r="K771" s="148"/>
      <c r="L771" s="148"/>
      <c r="M771" s="148">
        <v>7.84</v>
      </c>
      <c r="N771" s="148">
        <v>9.94</v>
      </c>
      <c r="O771" s="148">
        <v>19.88</v>
      </c>
      <c r="P771" s="494"/>
      <c r="Q771" s="147">
        <f t="shared" si="218"/>
        <v>0</v>
      </c>
      <c r="R771" s="148"/>
      <c r="S771" s="148">
        <f t="shared" si="222"/>
        <v>0</v>
      </c>
      <c r="T771" s="148">
        <f t="shared" si="214"/>
        <v>2</v>
      </c>
      <c r="U771" s="148">
        <f t="shared" si="213"/>
        <v>19.88</v>
      </c>
      <c r="V771" s="379"/>
      <c r="W771" s="379"/>
      <c r="X771" s="58" t="e">
        <f>IF(B771&lt;&gt;0,VLOOKUP(B771,#REF!,4,FALSE),"")</f>
        <v>#REF!</v>
      </c>
      <c r="Y771" s="334" t="s">
        <v>3110</v>
      </c>
      <c r="Z771" s="58">
        <f t="shared" si="219"/>
        <v>-1.242</v>
      </c>
      <c r="AA771" s="58">
        <f t="shared" si="220"/>
        <v>14.075999999999999</v>
      </c>
      <c r="AB771" s="58"/>
      <c r="AC771" s="58">
        <f t="shared" si="221"/>
        <v>17.84</v>
      </c>
      <c r="AD771" s="58" t="e">
        <f>IF(B771&lt;&gt;0,VLOOKUP(B771,#REF!,2,FALSE),"")</f>
        <v>#REF!</v>
      </c>
      <c r="AF771" s="55">
        <f t="shared" si="210"/>
        <v>-2</v>
      </c>
    </row>
    <row r="772" spans="1:32" s="55" customFormat="1">
      <c r="A772" s="69" t="s">
        <v>2882</v>
      </c>
      <c r="B772" s="129"/>
      <c r="C772" s="129" t="s">
        <v>2883</v>
      </c>
      <c r="D772" s="230"/>
      <c r="E772" s="230"/>
      <c r="F772" s="230"/>
      <c r="G772" s="22"/>
      <c r="H772" s="230"/>
      <c r="I772" s="445"/>
      <c r="J772" s="440"/>
      <c r="K772" s="440"/>
      <c r="L772" s="440"/>
      <c r="M772" s="440"/>
      <c r="N772" s="440"/>
      <c r="O772" s="440"/>
      <c r="P772" s="492"/>
      <c r="Q772" s="147">
        <f t="shared" si="218"/>
        <v>0</v>
      </c>
      <c r="R772" s="440"/>
      <c r="S772" s="148">
        <f t="shared" si="222"/>
        <v>0</v>
      </c>
      <c r="T772" s="148" t="str">
        <f t="shared" si="214"/>
        <v xml:space="preserve"> </v>
      </c>
      <c r="U772" s="148">
        <f t="shared" si="213"/>
        <v>0</v>
      </c>
      <c r="V772" s="330"/>
      <c r="W772" s="330"/>
      <c r="X772" s="58" t="str">
        <f>IF(B772&lt;&gt;0,VLOOKUP(B772,#REF!,4,FALSE),"")</f>
        <v/>
      </c>
      <c r="Y772" s="334" t="s">
        <v>1891</v>
      </c>
      <c r="Z772" s="58"/>
      <c r="AA772" s="58">
        <f t="shared" si="220"/>
        <v>0</v>
      </c>
      <c r="AB772" s="58"/>
      <c r="AC772" s="58">
        <f t="shared" si="221"/>
        <v>0</v>
      </c>
      <c r="AD772" s="58" t="str">
        <f>IF(B772&lt;&gt;0,VLOOKUP(B772,#REF!,2,FALSE),"")</f>
        <v/>
      </c>
      <c r="AE772" s="55">
        <v>1</v>
      </c>
      <c r="AF772" s="55">
        <f t="shared" si="210"/>
        <v>1</v>
      </c>
    </row>
    <row r="773" spans="1:32" s="55" customFormat="1" ht="75">
      <c r="A773" s="235" t="s">
        <v>3599</v>
      </c>
      <c r="B773" s="20">
        <v>101875</v>
      </c>
      <c r="C773" s="439" t="s">
        <v>3763</v>
      </c>
      <c r="D773" s="21" t="s">
        <v>12</v>
      </c>
      <c r="E773" s="21" t="s">
        <v>17</v>
      </c>
      <c r="F773" s="22">
        <v>1</v>
      </c>
      <c r="G773" s="22">
        <f t="shared" si="215"/>
        <v>316.88</v>
      </c>
      <c r="H773" s="22">
        <f t="shared" ref="H773:H786" si="225">ROUND(G773*(1+$X$13),2)</f>
        <v>401.84</v>
      </c>
      <c r="I773" s="147">
        <f t="shared" ref="I773:I786" si="226">ROUND(H773*F773,2)</f>
        <v>401.84</v>
      </c>
      <c r="J773" s="148"/>
      <c r="K773" s="148"/>
      <c r="L773" s="148"/>
      <c r="M773" s="148">
        <v>353.01</v>
      </c>
      <c r="N773" s="148">
        <v>447.65</v>
      </c>
      <c r="O773" s="148">
        <v>447.65</v>
      </c>
      <c r="P773" s="494"/>
      <c r="Q773" s="147">
        <f t="shared" si="218"/>
        <v>0</v>
      </c>
      <c r="R773" s="148"/>
      <c r="S773" s="148">
        <f t="shared" si="222"/>
        <v>0</v>
      </c>
      <c r="T773" s="148">
        <f t="shared" si="214"/>
        <v>1</v>
      </c>
      <c r="U773" s="148">
        <f t="shared" si="213"/>
        <v>447.65</v>
      </c>
      <c r="V773" s="379"/>
      <c r="W773" s="379"/>
      <c r="X773" s="58" t="e">
        <f>IF(B773&lt;&gt;0,VLOOKUP(B773,#REF!,4,FALSE),"")</f>
        <v>#REF!</v>
      </c>
      <c r="Y773" s="334" t="s">
        <v>3245</v>
      </c>
      <c r="Z773" s="58">
        <f t="shared" si="219"/>
        <v>-55.920000000000016</v>
      </c>
      <c r="AA773" s="58">
        <f t="shared" si="220"/>
        <v>316.88</v>
      </c>
      <c r="AB773" s="58"/>
      <c r="AC773" s="58">
        <f t="shared" si="221"/>
        <v>401.84</v>
      </c>
      <c r="AD773" s="58" t="e">
        <f>IF(B773&lt;&gt;0,VLOOKUP(B773,#REF!,2,FALSE),"")</f>
        <v>#REF!</v>
      </c>
      <c r="AE773" s="55">
        <v>4</v>
      </c>
      <c r="AF773" s="55">
        <f t="shared" si="210"/>
        <v>3</v>
      </c>
    </row>
    <row r="774" spans="1:32" s="55" customFormat="1" ht="30">
      <c r="A774" s="21" t="s">
        <v>2884</v>
      </c>
      <c r="B774" s="20">
        <v>9041</v>
      </c>
      <c r="C774" s="19" t="s">
        <v>1926</v>
      </c>
      <c r="D774" s="21" t="s">
        <v>44</v>
      </c>
      <c r="E774" s="21" t="s">
        <v>17</v>
      </c>
      <c r="F774" s="22">
        <v>4</v>
      </c>
      <c r="G774" s="22">
        <f t="shared" si="215"/>
        <v>97.393000000000001</v>
      </c>
      <c r="H774" s="22">
        <f t="shared" si="225"/>
        <v>123.5</v>
      </c>
      <c r="I774" s="147">
        <f t="shared" si="226"/>
        <v>494</v>
      </c>
      <c r="J774" s="148"/>
      <c r="K774" s="148"/>
      <c r="L774" s="148"/>
      <c r="M774" s="148">
        <v>108.5</v>
      </c>
      <c r="N774" s="148">
        <v>137.59</v>
      </c>
      <c r="O774" s="148">
        <v>550.36</v>
      </c>
      <c r="P774" s="494"/>
      <c r="Q774" s="147">
        <f t="shared" si="218"/>
        <v>0</v>
      </c>
      <c r="R774" s="148"/>
      <c r="S774" s="148">
        <f t="shared" si="222"/>
        <v>0</v>
      </c>
      <c r="T774" s="148">
        <f t="shared" si="214"/>
        <v>4</v>
      </c>
      <c r="U774" s="148">
        <f t="shared" si="213"/>
        <v>550.36</v>
      </c>
      <c r="V774" s="379"/>
      <c r="W774" s="379"/>
      <c r="X774" s="57">
        <f>'COMPOSIÇÃO DE CUSTOS'!G1869</f>
        <v>97.39</v>
      </c>
      <c r="Y774" s="334">
        <v>114.58</v>
      </c>
      <c r="Z774" s="58">
        <f t="shared" si="219"/>
        <v>-17.186999999999998</v>
      </c>
      <c r="AA774" s="58">
        <f t="shared" si="220"/>
        <v>389.572</v>
      </c>
      <c r="AB774" s="58"/>
      <c r="AC774" s="58">
        <f t="shared" si="221"/>
        <v>494</v>
      </c>
      <c r="AD774" s="58" t="e">
        <f>IF(B774&lt;&gt;0,VLOOKUP(B774,#REF!,2,FALSE),"")</f>
        <v>#REF!</v>
      </c>
      <c r="AE774" s="55">
        <v>1</v>
      </c>
      <c r="AF774" s="55">
        <f t="shared" si="210"/>
        <v>-3</v>
      </c>
    </row>
    <row r="775" spans="1:32" s="55" customFormat="1" ht="30">
      <c r="A775" s="21" t="s">
        <v>2885</v>
      </c>
      <c r="B775" s="20">
        <v>93653</v>
      </c>
      <c r="C775" s="19" t="s">
        <v>1735</v>
      </c>
      <c r="D775" s="21" t="s">
        <v>12</v>
      </c>
      <c r="E775" s="21" t="s">
        <v>17</v>
      </c>
      <c r="F775" s="22">
        <v>1</v>
      </c>
      <c r="G775" s="22">
        <f t="shared" si="215"/>
        <v>9.2735000000000003</v>
      </c>
      <c r="H775" s="22">
        <f t="shared" si="225"/>
        <v>11.76</v>
      </c>
      <c r="I775" s="147">
        <f t="shared" si="226"/>
        <v>11.76</v>
      </c>
      <c r="J775" s="148"/>
      <c r="K775" s="148"/>
      <c r="L775" s="148"/>
      <c r="M775" s="148">
        <v>10.33</v>
      </c>
      <c r="N775" s="148">
        <v>13.1</v>
      </c>
      <c r="O775" s="148">
        <v>13.1</v>
      </c>
      <c r="P775" s="494"/>
      <c r="Q775" s="147">
        <f t="shared" si="218"/>
        <v>0</v>
      </c>
      <c r="R775" s="148"/>
      <c r="S775" s="148">
        <f t="shared" si="222"/>
        <v>0</v>
      </c>
      <c r="T775" s="148">
        <f t="shared" si="214"/>
        <v>1</v>
      </c>
      <c r="U775" s="148">
        <f t="shared" si="213"/>
        <v>13.1</v>
      </c>
      <c r="V775" s="379"/>
      <c r="W775" s="379"/>
      <c r="X775" s="58" t="e">
        <f>IF(B775&lt;&gt;0,VLOOKUP(B775,#REF!,4,FALSE),"")</f>
        <v>#REF!</v>
      </c>
      <c r="Y775" s="334" t="s">
        <v>3226</v>
      </c>
      <c r="Z775" s="58">
        <f t="shared" si="219"/>
        <v>-1.6364999999999998</v>
      </c>
      <c r="AA775" s="58">
        <f t="shared" si="220"/>
        <v>9.2735000000000003</v>
      </c>
      <c r="AB775" s="58"/>
      <c r="AC775" s="58">
        <f t="shared" si="221"/>
        <v>11.76</v>
      </c>
      <c r="AD775" s="58" t="e">
        <f>IF(B775&lt;&gt;0,VLOOKUP(B775,#REF!,2,FALSE),"")</f>
        <v>#REF!</v>
      </c>
      <c r="AE775" s="55">
        <v>3</v>
      </c>
      <c r="AF775" s="55">
        <f t="shared" si="210"/>
        <v>2</v>
      </c>
    </row>
    <row r="776" spans="1:32" s="55" customFormat="1" ht="45">
      <c r="A776" s="21" t="s">
        <v>2886</v>
      </c>
      <c r="B776" s="20">
        <v>93672</v>
      </c>
      <c r="C776" s="19" t="s">
        <v>1734</v>
      </c>
      <c r="D776" s="21" t="s">
        <v>12</v>
      </c>
      <c r="E776" s="21" t="s">
        <v>17</v>
      </c>
      <c r="F776" s="22">
        <v>3</v>
      </c>
      <c r="G776" s="22">
        <f t="shared" si="215"/>
        <v>67.915000000000006</v>
      </c>
      <c r="H776" s="22">
        <f t="shared" si="225"/>
        <v>86.12</v>
      </c>
      <c r="I776" s="147">
        <f t="shared" si="226"/>
        <v>258.36</v>
      </c>
      <c r="J776" s="148"/>
      <c r="K776" s="148"/>
      <c r="L776" s="148"/>
      <c r="M776" s="148">
        <v>75.66</v>
      </c>
      <c r="N776" s="148">
        <v>95.94</v>
      </c>
      <c r="O776" s="148">
        <v>287.82</v>
      </c>
      <c r="P776" s="494"/>
      <c r="Q776" s="147">
        <f t="shared" si="218"/>
        <v>0</v>
      </c>
      <c r="R776" s="148"/>
      <c r="S776" s="148">
        <f t="shared" si="222"/>
        <v>0</v>
      </c>
      <c r="T776" s="148">
        <f t="shared" si="214"/>
        <v>3</v>
      </c>
      <c r="U776" s="148">
        <f t="shared" si="213"/>
        <v>287.82</v>
      </c>
      <c r="V776" s="379"/>
      <c r="W776" s="379"/>
      <c r="X776" s="58" t="e">
        <f>IF(B776&lt;&gt;0,VLOOKUP(B776,#REF!,4,FALSE),"")</f>
        <v>#REF!</v>
      </c>
      <c r="Y776" s="334" t="s">
        <v>3243</v>
      </c>
      <c r="Z776" s="58">
        <f t="shared" si="219"/>
        <v>-11.984999999999999</v>
      </c>
      <c r="AA776" s="58">
        <f t="shared" si="220"/>
        <v>203.745</v>
      </c>
      <c r="AB776" s="58"/>
      <c r="AC776" s="58">
        <f t="shared" si="221"/>
        <v>258.36</v>
      </c>
      <c r="AD776" s="58" t="e">
        <f>IF(B776&lt;&gt;0,VLOOKUP(B776,#REF!,2,FALSE),"")</f>
        <v>#REF!</v>
      </c>
      <c r="AE776" s="55">
        <v>2</v>
      </c>
      <c r="AF776" s="55">
        <f t="shared" si="210"/>
        <v>-1</v>
      </c>
    </row>
    <row r="777" spans="1:32" s="55" customFormat="1">
      <c r="A777" s="21" t="s">
        <v>2887</v>
      </c>
      <c r="B777" s="21" t="s">
        <v>2321</v>
      </c>
      <c r="C777" s="19" t="s">
        <v>277</v>
      </c>
      <c r="D777" s="21" t="s">
        <v>1914</v>
      </c>
      <c r="E777" s="21" t="s">
        <v>17</v>
      </c>
      <c r="F777" s="22">
        <v>2</v>
      </c>
      <c r="G777" s="22">
        <f t="shared" si="215"/>
        <v>100.232</v>
      </c>
      <c r="H777" s="22">
        <f t="shared" si="225"/>
        <v>127.1</v>
      </c>
      <c r="I777" s="147">
        <f t="shared" si="226"/>
        <v>254.2</v>
      </c>
      <c r="J777" s="148"/>
      <c r="K777" s="148"/>
      <c r="L777" s="148"/>
      <c r="M777" s="148">
        <v>111.66</v>
      </c>
      <c r="N777" s="148">
        <v>141.6</v>
      </c>
      <c r="O777" s="148">
        <v>283.2</v>
      </c>
      <c r="P777" s="494"/>
      <c r="Q777" s="147">
        <f t="shared" si="218"/>
        <v>0</v>
      </c>
      <c r="R777" s="148"/>
      <c r="S777" s="148">
        <f t="shared" si="222"/>
        <v>0</v>
      </c>
      <c r="T777" s="148">
        <f t="shared" si="214"/>
        <v>2</v>
      </c>
      <c r="U777" s="148">
        <f t="shared" si="213"/>
        <v>283.2</v>
      </c>
      <c r="V777" s="379"/>
      <c r="W777" s="379"/>
      <c r="X777" s="57">
        <f>'COMPOSIÇÃO DE CUSTOS'!G1413</f>
        <v>100.23</v>
      </c>
      <c r="Y777" s="334">
        <v>117.92</v>
      </c>
      <c r="Z777" s="58">
        <f t="shared" si="219"/>
        <v>-17.688000000000002</v>
      </c>
      <c r="AA777" s="58">
        <f t="shared" si="220"/>
        <v>200.464</v>
      </c>
      <c r="AB777" s="58"/>
      <c r="AC777" s="58">
        <f t="shared" si="221"/>
        <v>254.2</v>
      </c>
      <c r="AD777" s="58" t="e">
        <f>IF(B777&lt;&gt;0,VLOOKUP(B777,#REF!,2,FALSE),"")</f>
        <v>#REF!</v>
      </c>
      <c r="AE777" s="55">
        <v>2</v>
      </c>
      <c r="AF777" s="55">
        <f t="shared" si="210"/>
        <v>0</v>
      </c>
    </row>
    <row r="778" spans="1:32" s="55" customFormat="1">
      <c r="A778" s="21" t="s">
        <v>2888</v>
      </c>
      <c r="B778" s="21" t="s">
        <v>2322</v>
      </c>
      <c r="C778" s="19" t="s">
        <v>278</v>
      </c>
      <c r="D778" s="21" t="s">
        <v>1914</v>
      </c>
      <c r="E778" s="21" t="s">
        <v>17</v>
      </c>
      <c r="F778" s="22">
        <v>2</v>
      </c>
      <c r="G778" s="22">
        <f t="shared" si="215"/>
        <v>113.61949999999999</v>
      </c>
      <c r="H778" s="22">
        <f t="shared" si="225"/>
        <v>144.08000000000001</v>
      </c>
      <c r="I778" s="147">
        <f t="shared" si="226"/>
        <v>288.16000000000003</v>
      </c>
      <c r="J778" s="148"/>
      <c r="K778" s="148"/>
      <c r="L778" s="148"/>
      <c r="M778" s="148">
        <v>126.57</v>
      </c>
      <c r="N778" s="148">
        <v>160.5</v>
      </c>
      <c r="O778" s="148">
        <v>321</v>
      </c>
      <c r="P778" s="494"/>
      <c r="Q778" s="147">
        <f t="shared" si="218"/>
        <v>0</v>
      </c>
      <c r="R778" s="148"/>
      <c r="S778" s="148">
        <f t="shared" si="222"/>
        <v>0</v>
      </c>
      <c r="T778" s="148">
        <f t="shared" si="214"/>
        <v>2</v>
      </c>
      <c r="U778" s="148">
        <f t="shared" si="213"/>
        <v>321</v>
      </c>
      <c r="V778" s="379"/>
      <c r="W778" s="379"/>
      <c r="X778" s="57">
        <f>'COMPOSIÇÃO DE CUSTOS'!G1420</f>
        <v>113.62</v>
      </c>
      <c r="Y778" s="334">
        <v>133.66999999999999</v>
      </c>
      <c r="Z778" s="58">
        <f t="shared" si="219"/>
        <v>-20.0505</v>
      </c>
      <c r="AA778" s="58">
        <f t="shared" si="220"/>
        <v>227.23899999999998</v>
      </c>
      <c r="AB778" s="58"/>
      <c r="AC778" s="58">
        <f t="shared" si="221"/>
        <v>288.16000000000003</v>
      </c>
      <c r="AD778" s="58" t="e">
        <f>IF(B778&lt;&gt;0,VLOOKUP(B778,#REF!,2,FALSE),"")</f>
        <v>#REF!</v>
      </c>
      <c r="AE778" s="55">
        <v>3</v>
      </c>
      <c r="AF778" s="55">
        <f t="shared" si="210"/>
        <v>1</v>
      </c>
    </row>
    <row r="779" spans="1:32" s="55" customFormat="1" ht="45">
      <c r="A779" s="21" t="s">
        <v>2889</v>
      </c>
      <c r="B779" s="21" t="s">
        <v>2326</v>
      </c>
      <c r="C779" s="19" t="s">
        <v>279</v>
      </c>
      <c r="D779" s="21" t="s">
        <v>1914</v>
      </c>
      <c r="E779" s="21" t="s">
        <v>17</v>
      </c>
      <c r="F779" s="22">
        <v>3</v>
      </c>
      <c r="G779" s="22">
        <f t="shared" si="215"/>
        <v>597.32899999999995</v>
      </c>
      <c r="H779" s="22">
        <f t="shared" si="225"/>
        <v>757.47</v>
      </c>
      <c r="I779" s="147">
        <f t="shared" si="226"/>
        <v>2272.41</v>
      </c>
      <c r="J779" s="148"/>
      <c r="K779" s="148"/>
      <c r="L779" s="148"/>
      <c r="M779" s="148">
        <v>665.43</v>
      </c>
      <c r="N779" s="148">
        <v>843.83</v>
      </c>
      <c r="O779" s="148">
        <v>2531.4899999999998</v>
      </c>
      <c r="P779" s="494"/>
      <c r="Q779" s="147">
        <f t="shared" si="218"/>
        <v>0</v>
      </c>
      <c r="R779" s="148"/>
      <c r="S779" s="148">
        <f t="shared" si="222"/>
        <v>0</v>
      </c>
      <c r="T779" s="148">
        <f t="shared" si="214"/>
        <v>3</v>
      </c>
      <c r="U779" s="148">
        <f t="shared" si="213"/>
        <v>2531.4899999999998</v>
      </c>
      <c r="V779" s="379"/>
      <c r="W779" s="379"/>
      <c r="X779" s="57">
        <f>'COMPOSIÇÃO DE CUSTOS'!G1428</f>
        <v>597.33000000000004</v>
      </c>
      <c r="Y779" s="334">
        <v>702.74</v>
      </c>
      <c r="Z779" s="58">
        <f t="shared" si="219"/>
        <v>-105.41100000000006</v>
      </c>
      <c r="AA779" s="58">
        <f t="shared" si="220"/>
        <v>1791.9869999999999</v>
      </c>
      <c r="AB779" s="58"/>
      <c r="AC779" s="58">
        <f t="shared" si="221"/>
        <v>2272.41</v>
      </c>
      <c r="AD779" s="58" t="e">
        <f>IF(B779&lt;&gt;0,VLOOKUP(B779,#REF!,2,FALSE),"")</f>
        <v>#REF!</v>
      </c>
      <c r="AE779" s="55">
        <v>1</v>
      </c>
      <c r="AF779" s="55">
        <f t="shared" si="210"/>
        <v>-2</v>
      </c>
    </row>
    <row r="780" spans="1:32" s="55" customFormat="1" ht="30">
      <c r="A780" s="21" t="s">
        <v>2890</v>
      </c>
      <c r="B780" s="20">
        <v>64355</v>
      </c>
      <c r="C780" s="19" t="s">
        <v>280</v>
      </c>
      <c r="D780" s="21" t="s">
        <v>1914</v>
      </c>
      <c r="E780" s="21" t="s">
        <v>17</v>
      </c>
      <c r="F780" s="22">
        <v>1</v>
      </c>
      <c r="G780" s="22">
        <f t="shared" si="215"/>
        <v>182.55450000000002</v>
      </c>
      <c r="H780" s="22">
        <f t="shared" si="225"/>
        <v>231.5</v>
      </c>
      <c r="I780" s="147">
        <f t="shared" si="226"/>
        <v>231.5</v>
      </c>
      <c r="J780" s="148"/>
      <c r="K780" s="148"/>
      <c r="L780" s="148"/>
      <c r="M780" s="148">
        <v>203.37</v>
      </c>
      <c r="N780" s="148">
        <v>257.89</v>
      </c>
      <c r="O780" s="148">
        <v>257.89</v>
      </c>
      <c r="P780" s="494"/>
      <c r="Q780" s="147">
        <f t="shared" si="218"/>
        <v>0</v>
      </c>
      <c r="R780" s="148"/>
      <c r="S780" s="148">
        <f t="shared" si="222"/>
        <v>0</v>
      </c>
      <c r="T780" s="148">
        <f t="shared" si="214"/>
        <v>1</v>
      </c>
      <c r="U780" s="148">
        <f t="shared" si="213"/>
        <v>257.89</v>
      </c>
      <c r="V780" s="379"/>
      <c r="W780" s="379"/>
      <c r="X780" s="57">
        <f>'COMPOSIÇÃO DE CUSTOS'!G1435</f>
        <v>182.56</v>
      </c>
      <c r="Y780" s="334">
        <v>214.77</v>
      </c>
      <c r="Z780" s="58">
        <f t="shared" si="219"/>
        <v>-32.215499999999992</v>
      </c>
      <c r="AA780" s="58">
        <f t="shared" si="220"/>
        <v>182.55450000000002</v>
      </c>
      <c r="AB780" s="58"/>
      <c r="AC780" s="58">
        <f t="shared" si="221"/>
        <v>231.5</v>
      </c>
      <c r="AD780" s="58" t="e">
        <f>IF(B780&lt;&gt;0,VLOOKUP(B780,#REF!,2,FALSE),"")</f>
        <v>#REF!</v>
      </c>
      <c r="AE780" s="55">
        <v>2</v>
      </c>
      <c r="AF780" s="55">
        <f t="shared" si="210"/>
        <v>1</v>
      </c>
    </row>
    <row r="781" spans="1:32" s="55" customFormat="1">
      <c r="A781" s="21" t="s">
        <v>2891</v>
      </c>
      <c r="B781" s="20">
        <v>3820</v>
      </c>
      <c r="C781" s="19" t="s">
        <v>281</v>
      </c>
      <c r="D781" s="21" t="s">
        <v>44</v>
      </c>
      <c r="E781" s="21" t="s">
        <v>17</v>
      </c>
      <c r="F781" s="22">
        <v>2</v>
      </c>
      <c r="G781" s="22">
        <f t="shared" si="215"/>
        <v>72.955500000000001</v>
      </c>
      <c r="H781" s="22">
        <f t="shared" si="225"/>
        <v>92.51</v>
      </c>
      <c r="I781" s="147">
        <f t="shared" si="226"/>
        <v>185.02</v>
      </c>
      <c r="J781" s="148"/>
      <c r="K781" s="148"/>
      <c r="L781" s="148"/>
      <c r="M781" s="148">
        <v>81.27</v>
      </c>
      <c r="N781" s="148">
        <v>103.06</v>
      </c>
      <c r="O781" s="148">
        <v>206.12</v>
      </c>
      <c r="P781" s="494"/>
      <c r="Q781" s="147">
        <f t="shared" si="218"/>
        <v>0</v>
      </c>
      <c r="R781" s="148"/>
      <c r="S781" s="148">
        <f t="shared" si="222"/>
        <v>0</v>
      </c>
      <c r="T781" s="148">
        <f t="shared" si="214"/>
        <v>2</v>
      </c>
      <c r="U781" s="148">
        <f t="shared" si="213"/>
        <v>206.12</v>
      </c>
      <c r="V781" s="379"/>
      <c r="W781" s="379"/>
      <c r="X781" s="57">
        <f>'COMPOSIÇÃO DE CUSTOS'!G1442</f>
        <v>72.959999999999994</v>
      </c>
      <c r="Y781" s="334">
        <v>85.83</v>
      </c>
      <c r="Z781" s="58">
        <f t="shared" si="219"/>
        <v>-12.874499999999998</v>
      </c>
      <c r="AA781" s="58">
        <f t="shared" si="220"/>
        <v>145.911</v>
      </c>
      <c r="AB781" s="58"/>
      <c r="AC781" s="58">
        <f t="shared" si="221"/>
        <v>185.02</v>
      </c>
      <c r="AD781" s="58" t="e">
        <f>IF(B781&lt;&gt;0,VLOOKUP(B781,#REF!,2,FALSE),"")</f>
        <v>#REF!</v>
      </c>
      <c r="AE781" s="55">
        <v>4</v>
      </c>
      <c r="AF781" s="55">
        <f t="shared" si="210"/>
        <v>2</v>
      </c>
    </row>
    <row r="782" spans="1:32" s="55" customFormat="1">
      <c r="A782" s="21" t="s">
        <v>2892</v>
      </c>
      <c r="B782" s="20">
        <v>3803</v>
      </c>
      <c r="C782" s="19" t="s">
        <v>282</v>
      </c>
      <c r="D782" s="21" t="s">
        <v>44</v>
      </c>
      <c r="E782" s="21" t="s">
        <v>17</v>
      </c>
      <c r="F782" s="22">
        <v>4</v>
      </c>
      <c r="G782" s="22">
        <f t="shared" si="215"/>
        <v>51.858499999999999</v>
      </c>
      <c r="H782" s="22">
        <f t="shared" si="225"/>
        <v>65.760000000000005</v>
      </c>
      <c r="I782" s="147">
        <f t="shared" si="226"/>
        <v>263.04000000000002</v>
      </c>
      <c r="J782" s="148"/>
      <c r="K782" s="148"/>
      <c r="L782" s="148"/>
      <c r="M782" s="148">
        <v>57.77</v>
      </c>
      <c r="N782" s="148">
        <v>73.260000000000005</v>
      </c>
      <c r="O782" s="148">
        <v>293.04000000000002</v>
      </c>
      <c r="P782" s="494"/>
      <c r="Q782" s="147">
        <f t="shared" si="218"/>
        <v>0</v>
      </c>
      <c r="R782" s="148"/>
      <c r="S782" s="148">
        <f t="shared" si="222"/>
        <v>0</v>
      </c>
      <c r="T782" s="148">
        <f t="shared" si="214"/>
        <v>4</v>
      </c>
      <c r="U782" s="148">
        <f t="shared" si="213"/>
        <v>293.04000000000002</v>
      </c>
      <c r="V782" s="379"/>
      <c r="W782" s="379"/>
      <c r="X782" s="57">
        <f>'COMPOSIÇÃO DE CUSTOS'!G1449</f>
        <v>51.86</v>
      </c>
      <c r="Y782" s="334">
        <v>61.01</v>
      </c>
      <c r="Z782" s="58">
        <f t="shared" si="219"/>
        <v>-9.1514999999999986</v>
      </c>
      <c r="AA782" s="58">
        <f t="shared" si="220"/>
        <v>207.434</v>
      </c>
      <c r="AB782" s="58"/>
      <c r="AC782" s="58">
        <f t="shared" si="221"/>
        <v>263.04000000000002</v>
      </c>
      <c r="AD782" s="58" t="e">
        <f>IF(B782&lt;&gt;0,VLOOKUP(B782,#REF!,2,FALSE),"")</f>
        <v>#REF!</v>
      </c>
      <c r="AE782" s="55">
        <v>4</v>
      </c>
      <c r="AF782" s="55">
        <f t="shared" si="210"/>
        <v>0</v>
      </c>
    </row>
    <row r="783" spans="1:32" s="55" customFormat="1" ht="15" customHeight="1">
      <c r="A783" s="21" t="s">
        <v>2893</v>
      </c>
      <c r="B783" s="21" t="s">
        <v>2330</v>
      </c>
      <c r="C783" s="19" t="s">
        <v>283</v>
      </c>
      <c r="D783" s="21" t="s">
        <v>1914</v>
      </c>
      <c r="E783" s="21" t="s">
        <v>17</v>
      </c>
      <c r="F783" s="22">
        <v>4</v>
      </c>
      <c r="G783" s="22">
        <f t="shared" si="215"/>
        <v>40.910499999999999</v>
      </c>
      <c r="H783" s="22">
        <f t="shared" si="225"/>
        <v>51.88</v>
      </c>
      <c r="I783" s="147">
        <f t="shared" si="226"/>
        <v>207.52</v>
      </c>
      <c r="J783" s="148"/>
      <c r="K783" s="148"/>
      <c r="L783" s="148"/>
      <c r="M783" s="148">
        <v>45.57</v>
      </c>
      <c r="N783" s="148">
        <v>57.79</v>
      </c>
      <c r="O783" s="148">
        <v>231.16</v>
      </c>
      <c r="P783" s="494"/>
      <c r="Q783" s="147">
        <f t="shared" si="218"/>
        <v>0</v>
      </c>
      <c r="R783" s="148"/>
      <c r="S783" s="148">
        <f t="shared" si="222"/>
        <v>0</v>
      </c>
      <c r="T783" s="148">
        <f t="shared" si="214"/>
        <v>4</v>
      </c>
      <c r="U783" s="148">
        <f t="shared" si="213"/>
        <v>231.16</v>
      </c>
      <c r="V783" s="379"/>
      <c r="W783" s="379"/>
      <c r="X783" s="57">
        <f>'COMPOSIÇÃO DE CUSTOS'!G1456</f>
        <v>40.909999999999997</v>
      </c>
      <c r="Y783" s="334">
        <v>48.13</v>
      </c>
      <c r="Z783" s="58">
        <f t="shared" si="219"/>
        <v>-7.2195000000000036</v>
      </c>
      <c r="AA783" s="58">
        <f t="shared" si="220"/>
        <v>163.642</v>
      </c>
      <c r="AB783" s="58"/>
      <c r="AC783" s="58">
        <f t="shared" si="221"/>
        <v>207.52</v>
      </c>
      <c r="AD783" s="58" t="e">
        <f>IF(B783&lt;&gt;0,VLOOKUP(B783,#REF!,2,FALSE),"")</f>
        <v>#REF!</v>
      </c>
      <c r="AE783" s="55">
        <v>44</v>
      </c>
      <c r="AF783" s="55">
        <f t="shared" si="210"/>
        <v>40</v>
      </c>
    </row>
    <row r="784" spans="1:32" s="55" customFormat="1" ht="45">
      <c r="A784" s="235" t="s">
        <v>3600</v>
      </c>
      <c r="B784" s="20">
        <v>1573</v>
      </c>
      <c r="C784" s="439" t="s">
        <v>3752</v>
      </c>
      <c r="D784" s="21" t="s">
        <v>12</v>
      </c>
      <c r="E784" s="21" t="s">
        <v>221</v>
      </c>
      <c r="F784" s="22">
        <v>44</v>
      </c>
      <c r="G784" s="22">
        <f t="shared" si="215"/>
        <v>1.1984999999999999</v>
      </c>
      <c r="H784" s="22">
        <f t="shared" si="225"/>
        <v>1.52</v>
      </c>
      <c r="I784" s="147">
        <f t="shared" si="226"/>
        <v>66.88</v>
      </c>
      <c r="J784" s="148"/>
      <c r="K784" s="148"/>
      <c r="L784" s="148"/>
      <c r="M784" s="148">
        <v>1.34</v>
      </c>
      <c r="N784" s="148">
        <v>1.7</v>
      </c>
      <c r="O784" s="148">
        <v>74.8</v>
      </c>
      <c r="P784" s="494"/>
      <c r="Q784" s="147">
        <f t="shared" si="218"/>
        <v>0</v>
      </c>
      <c r="R784" s="148"/>
      <c r="S784" s="148">
        <f t="shared" si="222"/>
        <v>0</v>
      </c>
      <c r="T784" s="148">
        <f t="shared" si="214"/>
        <v>44</v>
      </c>
      <c r="U784" s="148">
        <f t="shared" si="213"/>
        <v>74.8</v>
      </c>
      <c r="V784" s="379"/>
      <c r="W784" s="379"/>
      <c r="X784" s="57" t="e">
        <f>IF(B784&lt;&gt;0,VLOOKUP(B784,#REF!,4,FALSE),"")</f>
        <v>#REF!</v>
      </c>
      <c r="Y784" s="334" t="s">
        <v>3188</v>
      </c>
      <c r="Z784" s="58">
        <f t="shared" si="219"/>
        <v>-0.21150000000000002</v>
      </c>
      <c r="AA784" s="58">
        <f t="shared" si="220"/>
        <v>52.733999999999995</v>
      </c>
      <c r="AB784" s="58"/>
      <c r="AC784" s="58">
        <f t="shared" si="221"/>
        <v>66.88</v>
      </c>
      <c r="AD784" s="58" t="e">
        <f>IF(B784&lt;&gt;0,VLOOKUP(B784,#REF!,2,FALSE),"")</f>
        <v>#REF!</v>
      </c>
      <c r="AE784" s="55">
        <v>15</v>
      </c>
      <c r="AF784" s="55">
        <f t="shared" si="210"/>
        <v>-29</v>
      </c>
    </row>
    <row r="785" spans="1:32" s="55" customFormat="1" ht="45">
      <c r="A785" s="21" t="s">
        <v>2894</v>
      </c>
      <c r="B785" s="20">
        <v>91924</v>
      </c>
      <c r="C785" s="19" t="s">
        <v>1736</v>
      </c>
      <c r="D785" s="21" t="s">
        <v>12</v>
      </c>
      <c r="E785" s="21" t="s">
        <v>52</v>
      </c>
      <c r="F785" s="22">
        <v>15</v>
      </c>
      <c r="G785" s="22">
        <f t="shared" si="215"/>
        <v>2.0825</v>
      </c>
      <c r="H785" s="22">
        <f t="shared" si="225"/>
        <v>2.64</v>
      </c>
      <c r="I785" s="147">
        <f t="shared" si="226"/>
        <v>39.6</v>
      </c>
      <c r="J785" s="148"/>
      <c r="K785" s="148"/>
      <c r="L785" s="148"/>
      <c r="M785" s="148">
        <v>2.3199999999999998</v>
      </c>
      <c r="N785" s="148">
        <v>2.94</v>
      </c>
      <c r="O785" s="148">
        <v>44.1</v>
      </c>
      <c r="P785" s="494"/>
      <c r="Q785" s="147">
        <f t="shared" si="218"/>
        <v>0</v>
      </c>
      <c r="R785" s="148"/>
      <c r="S785" s="148">
        <f t="shared" si="222"/>
        <v>0</v>
      </c>
      <c r="T785" s="148">
        <f t="shared" si="214"/>
        <v>15</v>
      </c>
      <c r="U785" s="148">
        <f t="shared" si="213"/>
        <v>44.1</v>
      </c>
      <c r="V785" s="379"/>
      <c r="W785" s="379"/>
      <c r="X785" s="58" t="e">
        <f>IF(B785&lt;&gt;0,VLOOKUP(B785,#REF!,4,FALSE),"")</f>
        <v>#REF!</v>
      </c>
      <c r="Y785" s="334" t="s">
        <v>1838</v>
      </c>
      <c r="Z785" s="58">
        <f t="shared" si="219"/>
        <v>-0.36750000000000016</v>
      </c>
      <c r="AA785" s="58">
        <f t="shared" si="220"/>
        <v>31.237500000000001</v>
      </c>
      <c r="AB785" s="58"/>
      <c r="AC785" s="58">
        <f t="shared" si="221"/>
        <v>39.6</v>
      </c>
      <c r="AD785" s="58" t="e">
        <f>IF(B785&lt;&gt;0,VLOOKUP(B785,#REF!,2,FALSE),"")</f>
        <v>#REF!</v>
      </c>
      <c r="AE785" s="55">
        <v>2</v>
      </c>
      <c r="AF785" s="55">
        <f t="shared" si="210"/>
        <v>-13</v>
      </c>
    </row>
    <row r="786" spans="1:32" s="55" customFormat="1" ht="45">
      <c r="A786" s="21" t="s">
        <v>2895</v>
      </c>
      <c r="B786" s="20">
        <v>91930</v>
      </c>
      <c r="C786" s="19" t="s">
        <v>1731</v>
      </c>
      <c r="D786" s="21" t="s">
        <v>12</v>
      </c>
      <c r="E786" s="21" t="s">
        <v>52</v>
      </c>
      <c r="F786" s="22">
        <v>2</v>
      </c>
      <c r="G786" s="22">
        <f t="shared" si="215"/>
        <v>7.0379999999999994</v>
      </c>
      <c r="H786" s="22">
        <f t="shared" si="225"/>
        <v>8.92</v>
      </c>
      <c r="I786" s="147">
        <f t="shared" si="226"/>
        <v>17.84</v>
      </c>
      <c r="J786" s="148"/>
      <c r="K786" s="148"/>
      <c r="L786" s="148"/>
      <c r="M786" s="148">
        <v>7.84</v>
      </c>
      <c r="N786" s="148">
        <v>9.94</v>
      </c>
      <c r="O786" s="148">
        <v>19.88</v>
      </c>
      <c r="P786" s="494"/>
      <c r="Q786" s="147">
        <f t="shared" si="218"/>
        <v>0</v>
      </c>
      <c r="R786" s="148"/>
      <c r="S786" s="148">
        <f t="shared" si="222"/>
        <v>0</v>
      </c>
      <c r="T786" s="148">
        <f t="shared" si="214"/>
        <v>2</v>
      </c>
      <c r="U786" s="148">
        <f t="shared" si="213"/>
        <v>19.88</v>
      </c>
      <c r="V786" s="379"/>
      <c r="W786" s="379"/>
      <c r="X786" s="58" t="e">
        <f>IF(B786&lt;&gt;0,VLOOKUP(B786,#REF!,4,FALSE),"")</f>
        <v>#REF!</v>
      </c>
      <c r="Y786" s="334" t="s">
        <v>3110</v>
      </c>
      <c r="Z786" s="58">
        <f t="shared" si="219"/>
        <v>-1.242</v>
      </c>
      <c r="AA786" s="58">
        <f t="shared" si="220"/>
        <v>14.075999999999999</v>
      </c>
      <c r="AB786" s="58"/>
      <c r="AC786" s="58">
        <f t="shared" si="221"/>
        <v>17.84</v>
      </c>
      <c r="AD786" s="58" t="e">
        <f>IF(B786&lt;&gt;0,VLOOKUP(B786,#REF!,2,FALSE),"")</f>
        <v>#REF!</v>
      </c>
      <c r="AF786" s="55">
        <f t="shared" si="210"/>
        <v>-2</v>
      </c>
    </row>
    <row r="787" spans="1:32" s="55" customFormat="1">
      <c r="A787" s="69" t="s">
        <v>2896</v>
      </c>
      <c r="B787" s="129"/>
      <c r="C787" s="129" t="s">
        <v>2897</v>
      </c>
      <c r="D787" s="230"/>
      <c r="E787" s="230"/>
      <c r="F787" s="230"/>
      <c r="G787" s="22"/>
      <c r="H787" s="230"/>
      <c r="I787" s="445"/>
      <c r="J787" s="440"/>
      <c r="K787" s="440"/>
      <c r="L787" s="440"/>
      <c r="M787" s="440"/>
      <c r="N787" s="440"/>
      <c r="O787" s="440"/>
      <c r="P787" s="492"/>
      <c r="Q787" s="147">
        <f t="shared" si="218"/>
        <v>0</v>
      </c>
      <c r="R787" s="440"/>
      <c r="S787" s="148">
        <f t="shared" si="222"/>
        <v>0</v>
      </c>
      <c r="T787" s="148" t="str">
        <f t="shared" si="214"/>
        <v xml:space="preserve"> </v>
      </c>
      <c r="U787" s="148">
        <f t="shared" si="213"/>
        <v>0</v>
      </c>
      <c r="V787" s="330"/>
      <c r="W787" s="330"/>
      <c r="X787" s="58" t="str">
        <f>IF(B787&lt;&gt;0,VLOOKUP(B787,#REF!,4,FALSE),"")</f>
        <v/>
      </c>
      <c r="Y787" s="334" t="s">
        <v>1891</v>
      </c>
      <c r="Z787" s="58"/>
      <c r="AA787" s="58">
        <f t="shared" si="220"/>
        <v>0</v>
      </c>
      <c r="AB787" s="58"/>
      <c r="AC787" s="58">
        <f t="shared" si="221"/>
        <v>0</v>
      </c>
      <c r="AD787" s="58" t="str">
        <f>IF(B787&lt;&gt;0,VLOOKUP(B787,#REF!,2,FALSE),"")</f>
        <v/>
      </c>
      <c r="AE787" s="55">
        <v>1</v>
      </c>
      <c r="AF787" s="55">
        <f t="shared" ref="AF787:AF850" si="227">AE787-F787</f>
        <v>1</v>
      </c>
    </row>
    <row r="788" spans="1:32" s="55" customFormat="1" ht="45">
      <c r="A788" s="21" t="s">
        <v>2898</v>
      </c>
      <c r="B788" s="20">
        <v>3836</v>
      </c>
      <c r="C788" s="19" t="s">
        <v>2331</v>
      </c>
      <c r="D788" s="21" t="s">
        <v>44</v>
      </c>
      <c r="E788" s="21" t="s">
        <v>17</v>
      </c>
      <c r="F788" s="22">
        <v>1</v>
      </c>
      <c r="G788" s="22">
        <f t="shared" si="215"/>
        <v>410.44799999999998</v>
      </c>
      <c r="H788" s="22">
        <f t="shared" ref="H788:H801" si="228">ROUND(G788*(1+$X$13),2)</f>
        <v>520.49</v>
      </c>
      <c r="I788" s="147">
        <f t="shared" ref="I788:I801" si="229">ROUND(H788*F788,2)</f>
        <v>520.49</v>
      </c>
      <c r="J788" s="148"/>
      <c r="K788" s="148"/>
      <c r="L788" s="148"/>
      <c r="M788" s="148">
        <v>457.24</v>
      </c>
      <c r="N788" s="148">
        <v>579.83000000000004</v>
      </c>
      <c r="O788" s="148">
        <v>579.83000000000004</v>
      </c>
      <c r="P788" s="494"/>
      <c r="Q788" s="147">
        <f t="shared" si="218"/>
        <v>0</v>
      </c>
      <c r="R788" s="148"/>
      <c r="S788" s="148">
        <f t="shared" si="222"/>
        <v>0</v>
      </c>
      <c r="T788" s="148">
        <f t="shared" si="214"/>
        <v>1</v>
      </c>
      <c r="U788" s="148">
        <f t="shared" si="213"/>
        <v>579.83000000000004</v>
      </c>
      <c r="V788" s="379"/>
      <c r="W788" s="379"/>
      <c r="X788" s="57">
        <f>X803</f>
        <v>410.45</v>
      </c>
      <c r="Y788" s="334">
        <v>482.88</v>
      </c>
      <c r="Z788" s="58">
        <f t="shared" si="219"/>
        <v>-72.432000000000016</v>
      </c>
      <c r="AA788" s="58">
        <f t="shared" si="220"/>
        <v>410.44799999999998</v>
      </c>
      <c r="AB788" s="58"/>
      <c r="AC788" s="58">
        <f t="shared" si="221"/>
        <v>520.49</v>
      </c>
      <c r="AD788" s="58" t="e">
        <f>IF(B788&lt;&gt;0,VLOOKUP(B788,#REF!,2,FALSE),"")</f>
        <v>#REF!</v>
      </c>
      <c r="AE788" s="55">
        <v>1</v>
      </c>
      <c r="AF788" s="55">
        <f t="shared" si="227"/>
        <v>0</v>
      </c>
    </row>
    <row r="789" spans="1:32" s="55" customFormat="1" ht="45">
      <c r="A789" s="235" t="s">
        <v>3601</v>
      </c>
      <c r="B789" s="20">
        <v>93669</v>
      </c>
      <c r="C789" s="439" t="s">
        <v>3765</v>
      </c>
      <c r="D789" s="21" t="s">
        <v>12</v>
      </c>
      <c r="E789" s="21" t="s">
        <v>17</v>
      </c>
      <c r="F789" s="22">
        <v>1</v>
      </c>
      <c r="G789" s="22">
        <f t="shared" si="215"/>
        <v>61.429499999999997</v>
      </c>
      <c r="H789" s="22">
        <f t="shared" si="228"/>
        <v>77.900000000000006</v>
      </c>
      <c r="I789" s="147">
        <f t="shared" si="229"/>
        <v>77.900000000000006</v>
      </c>
      <c r="J789" s="148"/>
      <c r="K789" s="148"/>
      <c r="L789" s="148"/>
      <c r="M789" s="148">
        <v>68.430000000000007</v>
      </c>
      <c r="N789" s="148">
        <v>86.78</v>
      </c>
      <c r="O789" s="148">
        <v>86.78</v>
      </c>
      <c r="P789" s="494"/>
      <c r="Q789" s="147">
        <f t="shared" si="218"/>
        <v>0</v>
      </c>
      <c r="R789" s="148"/>
      <c r="S789" s="148">
        <f t="shared" si="222"/>
        <v>0</v>
      </c>
      <c r="T789" s="148">
        <f t="shared" si="214"/>
        <v>1</v>
      </c>
      <c r="U789" s="148">
        <f t="shared" si="213"/>
        <v>86.78</v>
      </c>
      <c r="V789" s="379"/>
      <c r="W789" s="379"/>
      <c r="X789" s="58" t="e">
        <f>IF(B789&lt;&gt;0,VLOOKUP(B789,#REF!,4,FALSE),"")</f>
        <v>#REF!</v>
      </c>
      <c r="Y789" s="334" t="s">
        <v>3242</v>
      </c>
      <c r="Z789" s="58">
        <f t="shared" si="219"/>
        <v>-10.840499999999999</v>
      </c>
      <c r="AA789" s="58">
        <f t="shared" si="220"/>
        <v>61.429499999999997</v>
      </c>
      <c r="AB789" s="58"/>
      <c r="AC789" s="58">
        <f t="shared" si="221"/>
        <v>77.900000000000006</v>
      </c>
      <c r="AD789" s="58" t="e">
        <f>IF(B789&lt;&gt;0,VLOOKUP(B789,#REF!,2,FALSE),"")</f>
        <v>#REF!</v>
      </c>
      <c r="AE789" s="55">
        <v>2</v>
      </c>
      <c r="AF789" s="55">
        <f t="shared" si="227"/>
        <v>1</v>
      </c>
    </row>
    <row r="790" spans="1:32" s="55" customFormat="1" ht="45">
      <c r="A790" s="21" t="s">
        <v>2899</v>
      </c>
      <c r="B790" s="20">
        <v>93654</v>
      </c>
      <c r="C790" s="19" t="s">
        <v>1730</v>
      </c>
      <c r="D790" s="21" t="s">
        <v>12</v>
      </c>
      <c r="E790" s="21" t="s">
        <v>17</v>
      </c>
      <c r="F790" s="22">
        <v>2</v>
      </c>
      <c r="G790" s="22">
        <f t="shared" si="215"/>
        <v>9.6050000000000004</v>
      </c>
      <c r="H790" s="22">
        <f t="shared" si="228"/>
        <v>12.18</v>
      </c>
      <c r="I790" s="147">
        <f t="shared" si="229"/>
        <v>24.36</v>
      </c>
      <c r="J790" s="148"/>
      <c r="K790" s="148"/>
      <c r="L790" s="148"/>
      <c r="M790" s="148">
        <v>10.7</v>
      </c>
      <c r="N790" s="148">
        <v>13.57</v>
      </c>
      <c r="O790" s="148">
        <v>27.14</v>
      </c>
      <c r="P790" s="494"/>
      <c r="Q790" s="147">
        <f t="shared" si="218"/>
        <v>0</v>
      </c>
      <c r="R790" s="148"/>
      <c r="S790" s="148">
        <f t="shared" si="222"/>
        <v>0</v>
      </c>
      <c r="T790" s="148">
        <f t="shared" si="214"/>
        <v>2</v>
      </c>
      <c r="U790" s="148">
        <f t="shared" si="213"/>
        <v>27.14</v>
      </c>
      <c r="V790" s="379"/>
      <c r="W790" s="379"/>
      <c r="X790" s="58" t="e">
        <f>IF(B790&lt;&gt;0,VLOOKUP(B790,#REF!,4,FALSE),"")</f>
        <v>#REF!</v>
      </c>
      <c r="Y790" s="334" t="s">
        <v>3240</v>
      </c>
      <c r="Z790" s="58">
        <f t="shared" si="219"/>
        <v>-1.6950000000000003</v>
      </c>
      <c r="AA790" s="58">
        <f t="shared" si="220"/>
        <v>19.21</v>
      </c>
      <c r="AB790" s="58"/>
      <c r="AC790" s="58">
        <f t="shared" si="221"/>
        <v>24.36</v>
      </c>
      <c r="AD790" s="58" t="e">
        <f>IF(B790&lt;&gt;0,VLOOKUP(B790,#REF!,2,FALSE),"")</f>
        <v>#REF!</v>
      </c>
      <c r="AE790" s="55">
        <v>2</v>
      </c>
      <c r="AF790" s="55">
        <f t="shared" si="227"/>
        <v>0</v>
      </c>
    </row>
    <row r="791" spans="1:32" s="55" customFormat="1">
      <c r="A791" s="21" t="s">
        <v>2900</v>
      </c>
      <c r="B791" s="21" t="s">
        <v>2321</v>
      </c>
      <c r="C791" s="19" t="s">
        <v>277</v>
      </c>
      <c r="D791" s="21" t="s">
        <v>1914</v>
      </c>
      <c r="E791" s="21" t="s">
        <v>17</v>
      </c>
      <c r="F791" s="22">
        <v>2</v>
      </c>
      <c r="G791" s="22">
        <f t="shared" si="215"/>
        <v>100.232</v>
      </c>
      <c r="H791" s="22">
        <f t="shared" si="228"/>
        <v>127.1</v>
      </c>
      <c r="I791" s="147">
        <f t="shared" si="229"/>
        <v>254.2</v>
      </c>
      <c r="J791" s="148"/>
      <c r="K791" s="148"/>
      <c r="L791" s="148"/>
      <c r="M791" s="148">
        <v>111.66</v>
      </c>
      <c r="N791" s="148">
        <v>141.6</v>
      </c>
      <c r="O791" s="148">
        <v>283.2</v>
      </c>
      <c r="P791" s="494"/>
      <c r="Q791" s="147">
        <f t="shared" si="218"/>
        <v>0</v>
      </c>
      <c r="R791" s="148"/>
      <c r="S791" s="148">
        <f t="shared" si="222"/>
        <v>0</v>
      </c>
      <c r="T791" s="148">
        <f t="shared" si="214"/>
        <v>2</v>
      </c>
      <c r="U791" s="148">
        <f t="shared" si="213"/>
        <v>283.2</v>
      </c>
      <c r="V791" s="379"/>
      <c r="W791" s="379"/>
      <c r="X791" s="57">
        <f>'COMPOSIÇÃO DE CUSTOS'!G1413</f>
        <v>100.23</v>
      </c>
      <c r="Y791" s="334">
        <v>117.92</v>
      </c>
      <c r="Z791" s="58">
        <f t="shared" si="219"/>
        <v>-17.688000000000002</v>
      </c>
      <c r="AA791" s="58">
        <f t="shared" si="220"/>
        <v>200.464</v>
      </c>
      <c r="AB791" s="58"/>
      <c r="AC791" s="58">
        <f t="shared" si="221"/>
        <v>254.2</v>
      </c>
      <c r="AD791" s="58" t="e">
        <f>IF(B791&lt;&gt;0,VLOOKUP(B791,#REF!,2,FALSE),"")</f>
        <v>#REF!</v>
      </c>
      <c r="AE791" s="55">
        <v>2</v>
      </c>
      <c r="AF791" s="55">
        <f t="shared" si="227"/>
        <v>0</v>
      </c>
    </row>
    <row r="792" spans="1:32" s="55" customFormat="1" ht="45">
      <c r="A792" s="21" t="s">
        <v>2901</v>
      </c>
      <c r="B792" s="20">
        <v>72343</v>
      </c>
      <c r="C792" s="19" t="s">
        <v>291</v>
      </c>
      <c r="D792" s="21" t="s">
        <v>1914</v>
      </c>
      <c r="E792" s="21" t="s">
        <v>17</v>
      </c>
      <c r="F792" s="22">
        <v>2</v>
      </c>
      <c r="G792" s="22">
        <f t="shared" si="215"/>
        <v>227.42599999999999</v>
      </c>
      <c r="H792" s="22">
        <f t="shared" si="228"/>
        <v>288.39999999999998</v>
      </c>
      <c r="I792" s="147">
        <f t="shared" si="229"/>
        <v>576.79999999999995</v>
      </c>
      <c r="J792" s="148"/>
      <c r="K792" s="148"/>
      <c r="L792" s="148"/>
      <c r="M792" s="148">
        <v>253.35</v>
      </c>
      <c r="N792" s="148">
        <v>321.27</v>
      </c>
      <c r="O792" s="148">
        <v>642.54</v>
      </c>
      <c r="P792" s="494"/>
      <c r="Q792" s="147">
        <f t="shared" si="218"/>
        <v>0</v>
      </c>
      <c r="R792" s="148"/>
      <c r="S792" s="148">
        <f t="shared" si="222"/>
        <v>0</v>
      </c>
      <c r="T792" s="148">
        <f t="shared" si="214"/>
        <v>2</v>
      </c>
      <c r="U792" s="148">
        <f t="shared" si="213"/>
        <v>642.54</v>
      </c>
      <c r="V792" s="379"/>
      <c r="W792" s="379"/>
      <c r="X792" s="57">
        <f>'COMPOSIÇÃO DE CUSTOS'!G1464</f>
        <v>227.42</v>
      </c>
      <c r="Y792" s="334">
        <v>267.56</v>
      </c>
      <c r="Z792" s="58">
        <f t="shared" si="219"/>
        <v>-40.134000000000015</v>
      </c>
      <c r="AA792" s="58">
        <f t="shared" si="220"/>
        <v>454.85199999999998</v>
      </c>
      <c r="AB792" s="58"/>
      <c r="AC792" s="58">
        <f t="shared" si="221"/>
        <v>576.79999999999995</v>
      </c>
      <c r="AD792" s="58" t="e">
        <f>IF(B792&lt;&gt;0,VLOOKUP(B792,#REF!,2,FALSE),"")</f>
        <v>#REF!</v>
      </c>
      <c r="AE792" s="55">
        <v>2</v>
      </c>
      <c r="AF792" s="55">
        <f t="shared" si="227"/>
        <v>0</v>
      </c>
    </row>
    <row r="793" spans="1:32" s="55" customFormat="1" ht="45">
      <c r="A793" s="21" t="s">
        <v>2902</v>
      </c>
      <c r="B793" s="21" t="s">
        <v>2334</v>
      </c>
      <c r="C793" s="19" t="s">
        <v>292</v>
      </c>
      <c r="D793" s="21" t="s">
        <v>1914</v>
      </c>
      <c r="E793" s="21" t="s">
        <v>17</v>
      </c>
      <c r="F793" s="22">
        <v>2</v>
      </c>
      <c r="G793" s="22">
        <f t="shared" si="215"/>
        <v>191.79399999999998</v>
      </c>
      <c r="H793" s="22">
        <f t="shared" si="228"/>
        <v>243.21</v>
      </c>
      <c r="I793" s="147">
        <f t="shared" si="229"/>
        <v>486.42</v>
      </c>
      <c r="J793" s="148"/>
      <c r="K793" s="148"/>
      <c r="L793" s="148"/>
      <c r="M793" s="148">
        <v>213.66</v>
      </c>
      <c r="N793" s="148">
        <v>270.94</v>
      </c>
      <c r="O793" s="148">
        <v>541.88</v>
      </c>
      <c r="P793" s="494"/>
      <c r="Q793" s="147">
        <f t="shared" si="218"/>
        <v>0</v>
      </c>
      <c r="R793" s="148"/>
      <c r="S793" s="148">
        <f t="shared" si="222"/>
        <v>0</v>
      </c>
      <c r="T793" s="148">
        <f t="shared" si="214"/>
        <v>2</v>
      </c>
      <c r="U793" s="148">
        <f t="shared" si="213"/>
        <v>541.88</v>
      </c>
      <c r="V793" s="379"/>
      <c r="W793" s="379"/>
      <c r="X793" s="57">
        <f>'COMPOSIÇÃO DE CUSTOS'!G1472</f>
        <v>191.8</v>
      </c>
      <c r="Y793" s="334">
        <v>225.64</v>
      </c>
      <c r="Z793" s="58">
        <f t="shared" si="219"/>
        <v>-33.846000000000004</v>
      </c>
      <c r="AA793" s="58">
        <f t="shared" si="220"/>
        <v>383.58799999999997</v>
      </c>
      <c r="AB793" s="58"/>
      <c r="AC793" s="58">
        <f t="shared" si="221"/>
        <v>486.42</v>
      </c>
      <c r="AD793" s="58" t="e">
        <f>IF(B793&lt;&gt;0,VLOOKUP(B793,#REF!,2,FALSE),"")</f>
        <v>#REF!</v>
      </c>
      <c r="AE793" s="55">
        <v>2</v>
      </c>
      <c r="AF793" s="55">
        <f t="shared" si="227"/>
        <v>0</v>
      </c>
    </row>
    <row r="794" spans="1:32" s="55" customFormat="1">
      <c r="A794" s="21" t="s">
        <v>2903</v>
      </c>
      <c r="B794" s="21" t="s">
        <v>2322</v>
      </c>
      <c r="C794" s="19" t="s">
        <v>278</v>
      </c>
      <c r="D794" s="21" t="s">
        <v>1914</v>
      </c>
      <c r="E794" s="21" t="s">
        <v>17</v>
      </c>
      <c r="F794" s="22">
        <v>2</v>
      </c>
      <c r="G794" s="22">
        <f t="shared" si="215"/>
        <v>113.61949999999999</v>
      </c>
      <c r="H794" s="22">
        <f t="shared" si="228"/>
        <v>144.08000000000001</v>
      </c>
      <c r="I794" s="147">
        <f t="shared" si="229"/>
        <v>288.16000000000003</v>
      </c>
      <c r="J794" s="148"/>
      <c r="K794" s="148"/>
      <c r="L794" s="148"/>
      <c r="M794" s="148">
        <v>126.57</v>
      </c>
      <c r="N794" s="148">
        <v>160.5</v>
      </c>
      <c r="O794" s="148">
        <v>321</v>
      </c>
      <c r="P794" s="494"/>
      <c r="Q794" s="147">
        <f t="shared" si="218"/>
        <v>0</v>
      </c>
      <c r="R794" s="148"/>
      <c r="S794" s="148">
        <f t="shared" si="222"/>
        <v>0</v>
      </c>
      <c r="T794" s="148">
        <f t="shared" si="214"/>
        <v>2</v>
      </c>
      <c r="U794" s="148">
        <f t="shared" si="213"/>
        <v>321</v>
      </c>
      <c r="V794" s="379"/>
      <c r="W794" s="379"/>
      <c r="X794" s="57">
        <f>'COMPOSIÇÃO DE CUSTOS'!G1420</f>
        <v>113.62</v>
      </c>
      <c r="Y794" s="334">
        <v>133.66999999999999</v>
      </c>
      <c r="Z794" s="58">
        <f t="shared" si="219"/>
        <v>-20.0505</v>
      </c>
      <c r="AA794" s="58">
        <f t="shared" si="220"/>
        <v>227.23899999999998</v>
      </c>
      <c r="AB794" s="58"/>
      <c r="AC794" s="58">
        <f t="shared" si="221"/>
        <v>288.16000000000003</v>
      </c>
      <c r="AD794" s="58" t="e">
        <f>IF(B794&lt;&gt;0,VLOOKUP(B794,#REF!,2,FALSE),"")</f>
        <v>#REF!</v>
      </c>
      <c r="AE794" s="55">
        <v>50</v>
      </c>
      <c r="AF794" s="55">
        <f t="shared" si="227"/>
        <v>48</v>
      </c>
    </row>
    <row r="795" spans="1:32" s="55" customFormat="1" ht="45">
      <c r="A795" s="235" t="s">
        <v>3602</v>
      </c>
      <c r="B795" s="20">
        <v>1571</v>
      </c>
      <c r="C795" s="439" t="s">
        <v>3754</v>
      </c>
      <c r="D795" s="21" t="s">
        <v>12</v>
      </c>
      <c r="E795" s="21" t="s">
        <v>17</v>
      </c>
      <c r="F795" s="22">
        <v>50</v>
      </c>
      <c r="G795" s="22">
        <f t="shared" si="215"/>
        <v>1.0114999999999998</v>
      </c>
      <c r="H795" s="22">
        <f t="shared" si="228"/>
        <v>1.28</v>
      </c>
      <c r="I795" s="147">
        <f t="shared" si="229"/>
        <v>64</v>
      </c>
      <c r="J795" s="148"/>
      <c r="K795" s="148"/>
      <c r="L795" s="148"/>
      <c r="M795" s="148">
        <v>1.1299999999999999</v>
      </c>
      <c r="N795" s="148">
        <v>1.43</v>
      </c>
      <c r="O795" s="148">
        <v>71.5</v>
      </c>
      <c r="P795" s="494"/>
      <c r="Q795" s="147">
        <f t="shared" si="218"/>
        <v>0</v>
      </c>
      <c r="R795" s="148"/>
      <c r="S795" s="148">
        <f t="shared" si="222"/>
        <v>0</v>
      </c>
      <c r="T795" s="148">
        <f t="shared" si="214"/>
        <v>50</v>
      </c>
      <c r="U795" s="148">
        <f t="shared" si="213"/>
        <v>71.5</v>
      </c>
      <c r="V795" s="379"/>
      <c r="W795" s="379"/>
      <c r="X795" s="57" t="e">
        <f>IF(B795&lt;&gt;0,VLOOKUP(B795,#REF!,4,FALSE),"")</f>
        <v>#REF!</v>
      </c>
      <c r="Y795" s="334" t="s">
        <v>1843</v>
      </c>
      <c r="Z795" s="58">
        <f t="shared" si="219"/>
        <v>-0.1785000000000001</v>
      </c>
      <c r="AA795" s="58">
        <f t="shared" si="220"/>
        <v>50.574999999999989</v>
      </c>
      <c r="AB795" s="58"/>
      <c r="AC795" s="58">
        <f t="shared" si="221"/>
        <v>64</v>
      </c>
      <c r="AD795" s="58" t="e">
        <f>IF(B795&lt;&gt;0,VLOOKUP(B795,#REF!,2,FALSE),"")</f>
        <v>#REF!</v>
      </c>
      <c r="AE795" s="55">
        <v>25</v>
      </c>
      <c r="AF795" s="55">
        <f t="shared" si="227"/>
        <v>-25</v>
      </c>
    </row>
    <row r="796" spans="1:32" s="55" customFormat="1" ht="78" customHeight="1">
      <c r="A796" s="235" t="s">
        <v>3603</v>
      </c>
      <c r="B796" s="20">
        <v>1573</v>
      </c>
      <c r="C796" s="439" t="s">
        <v>3752</v>
      </c>
      <c r="D796" s="21" t="s">
        <v>12</v>
      </c>
      <c r="E796" s="21" t="s">
        <v>221</v>
      </c>
      <c r="F796" s="22">
        <v>25</v>
      </c>
      <c r="G796" s="22">
        <f t="shared" si="215"/>
        <v>1.1984999999999999</v>
      </c>
      <c r="H796" s="22">
        <f t="shared" si="228"/>
        <v>1.52</v>
      </c>
      <c r="I796" s="147">
        <f t="shared" si="229"/>
        <v>38</v>
      </c>
      <c r="J796" s="148"/>
      <c r="K796" s="148"/>
      <c r="L796" s="148"/>
      <c r="M796" s="148">
        <v>1.34</v>
      </c>
      <c r="N796" s="148">
        <v>1.7</v>
      </c>
      <c r="O796" s="148">
        <v>42.5</v>
      </c>
      <c r="P796" s="494"/>
      <c r="Q796" s="147">
        <f t="shared" si="218"/>
        <v>0</v>
      </c>
      <c r="R796" s="148"/>
      <c r="S796" s="148">
        <f t="shared" si="222"/>
        <v>0</v>
      </c>
      <c r="T796" s="148">
        <f t="shared" si="214"/>
        <v>25</v>
      </c>
      <c r="U796" s="148">
        <f t="shared" si="213"/>
        <v>42.5</v>
      </c>
      <c r="V796" s="379"/>
      <c r="W796" s="379"/>
      <c r="X796" s="57" t="e">
        <f>IF(B796&lt;&gt;0,VLOOKUP(B796,#REF!,4,FALSE),"")</f>
        <v>#REF!</v>
      </c>
      <c r="Y796" s="334" t="s">
        <v>3188</v>
      </c>
      <c r="Z796" s="58">
        <f t="shared" si="219"/>
        <v>-0.21150000000000002</v>
      </c>
      <c r="AA796" s="58">
        <f t="shared" si="220"/>
        <v>29.962499999999999</v>
      </c>
      <c r="AB796" s="58"/>
      <c r="AC796" s="58">
        <f t="shared" si="221"/>
        <v>38</v>
      </c>
      <c r="AD796" s="58" t="e">
        <f>IF(B796&lt;&gt;0,VLOOKUP(B796,#REF!,2,FALSE),"")</f>
        <v>#REF!</v>
      </c>
      <c r="AE796" s="55">
        <v>100</v>
      </c>
      <c r="AF796" s="55">
        <f t="shared" si="227"/>
        <v>75</v>
      </c>
    </row>
    <row r="797" spans="1:32" s="55" customFormat="1" ht="45">
      <c r="A797" s="235" t="s">
        <v>3604</v>
      </c>
      <c r="B797" s="20">
        <v>1570</v>
      </c>
      <c r="C797" s="439" t="s">
        <v>3751</v>
      </c>
      <c r="D797" s="21" t="s">
        <v>12</v>
      </c>
      <c r="E797" s="21" t="s">
        <v>17</v>
      </c>
      <c r="F797" s="22">
        <v>100</v>
      </c>
      <c r="G797" s="22">
        <f t="shared" si="215"/>
        <v>0.77350000000000008</v>
      </c>
      <c r="H797" s="22">
        <f t="shared" si="228"/>
        <v>0.98</v>
      </c>
      <c r="I797" s="147">
        <f t="shared" si="229"/>
        <v>98</v>
      </c>
      <c r="J797" s="148"/>
      <c r="K797" s="148"/>
      <c r="L797" s="148"/>
      <c r="M797" s="148">
        <v>0.86</v>
      </c>
      <c r="N797" s="148">
        <v>1.0900000000000001</v>
      </c>
      <c r="O797" s="148">
        <v>109</v>
      </c>
      <c r="P797" s="494"/>
      <c r="Q797" s="147">
        <f t="shared" si="218"/>
        <v>0</v>
      </c>
      <c r="R797" s="148"/>
      <c r="S797" s="148">
        <f t="shared" si="222"/>
        <v>0</v>
      </c>
      <c r="T797" s="148">
        <f t="shared" si="214"/>
        <v>100</v>
      </c>
      <c r="U797" s="148">
        <f t="shared" si="213"/>
        <v>109</v>
      </c>
      <c r="V797" s="379"/>
      <c r="W797" s="379"/>
      <c r="X797" s="57" t="e">
        <f>IF(B797&lt;&gt;0,VLOOKUP(B797,#REF!,4,FALSE),"")</f>
        <v>#REF!</v>
      </c>
      <c r="Y797" s="334" t="s">
        <v>1858</v>
      </c>
      <c r="Z797" s="58">
        <f t="shared" si="219"/>
        <v>-0.13649999999999995</v>
      </c>
      <c r="AA797" s="58">
        <f t="shared" si="220"/>
        <v>77.350000000000009</v>
      </c>
      <c r="AB797" s="58"/>
      <c r="AC797" s="58">
        <f t="shared" si="221"/>
        <v>98</v>
      </c>
      <c r="AD797" s="58" t="e">
        <f>IF(B797&lt;&gt;0,VLOOKUP(B797,#REF!,2,FALSE),"")</f>
        <v>#REF!</v>
      </c>
      <c r="AE797" s="55">
        <v>2</v>
      </c>
      <c r="AF797" s="55">
        <f t="shared" si="227"/>
        <v>-98</v>
      </c>
    </row>
    <row r="798" spans="1:32" s="55" customFormat="1" ht="45">
      <c r="A798" s="21" t="s">
        <v>2904</v>
      </c>
      <c r="B798" s="20">
        <v>91931</v>
      </c>
      <c r="C798" s="19" t="s">
        <v>1737</v>
      </c>
      <c r="D798" s="21" t="s">
        <v>12</v>
      </c>
      <c r="E798" s="21" t="s">
        <v>52</v>
      </c>
      <c r="F798" s="22">
        <v>2</v>
      </c>
      <c r="G798" s="22">
        <f t="shared" si="215"/>
        <v>7.9474999999999998</v>
      </c>
      <c r="H798" s="22">
        <f t="shared" si="228"/>
        <v>10.08</v>
      </c>
      <c r="I798" s="147">
        <f t="shared" si="229"/>
        <v>20.16</v>
      </c>
      <c r="J798" s="148"/>
      <c r="K798" s="148"/>
      <c r="L798" s="148"/>
      <c r="M798" s="148">
        <v>8.85</v>
      </c>
      <c r="N798" s="148">
        <v>11.22</v>
      </c>
      <c r="O798" s="148">
        <v>22.44</v>
      </c>
      <c r="P798" s="494"/>
      <c r="Q798" s="147">
        <f t="shared" si="218"/>
        <v>0</v>
      </c>
      <c r="R798" s="148"/>
      <c r="S798" s="148">
        <f t="shared" si="222"/>
        <v>0</v>
      </c>
      <c r="T798" s="148">
        <f t="shared" si="214"/>
        <v>2</v>
      </c>
      <c r="U798" s="148">
        <f t="shared" si="213"/>
        <v>22.44</v>
      </c>
      <c r="V798" s="379"/>
      <c r="W798" s="379"/>
      <c r="X798" s="58" t="e">
        <f>IF(B798&lt;&gt;0,VLOOKUP(B798,#REF!,4,FALSE),"")</f>
        <v>#REF!</v>
      </c>
      <c r="Y798" s="334" t="s">
        <v>1901</v>
      </c>
      <c r="Z798" s="58">
        <f t="shared" si="219"/>
        <v>-1.4024999999999999</v>
      </c>
      <c r="AA798" s="58">
        <f t="shared" si="220"/>
        <v>15.895</v>
      </c>
      <c r="AB798" s="58"/>
      <c r="AC798" s="58">
        <f t="shared" si="221"/>
        <v>20.16</v>
      </c>
      <c r="AD798" s="58" t="e">
        <f>IF(B798&lt;&gt;0,VLOOKUP(B798,#REF!,2,FALSE),"")</f>
        <v>#REF!</v>
      </c>
      <c r="AE798" s="55">
        <v>1</v>
      </c>
      <c r="AF798" s="55">
        <f t="shared" si="227"/>
        <v>-1</v>
      </c>
    </row>
    <row r="799" spans="1:32" s="55" customFormat="1" ht="30">
      <c r="A799" s="21" t="s">
        <v>2905</v>
      </c>
      <c r="B799" s="20">
        <v>64355</v>
      </c>
      <c r="C799" s="19" t="s">
        <v>280</v>
      </c>
      <c r="D799" s="21" t="s">
        <v>1914</v>
      </c>
      <c r="E799" s="21" t="s">
        <v>17</v>
      </c>
      <c r="F799" s="22">
        <v>1</v>
      </c>
      <c r="G799" s="22">
        <f t="shared" si="215"/>
        <v>182.55450000000002</v>
      </c>
      <c r="H799" s="22">
        <f t="shared" si="228"/>
        <v>231.5</v>
      </c>
      <c r="I799" s="147">
        <f t="shared" si="229"/>
        <v>231.5</v>
      </c>
      <c r="J799" s="148"/>
      <c r="K799" s="148"/>
      <c r="L799" s="148"/>
      <c r="M799" s="148">
        <v>203.37</v>
      </c>
      <c r="N799" s="148">
        <v>257.89</v>
      </c>
      <c r="O799" s="148">
        <v>257.89</v>
      </c>
      <c r="P799" s="494"/>
      <c r="Q799" s="147">
        <f t="shared" si="218"/>
        <v>0</v>
      </c>
      <c r="R799" s="148"/>
      <c r="S799" s="148">
        <f t="shared" si="222"/>
        <v>0</v>
      </c>
      <c r="T799" s="148">
        <f t="shared" si="214"/>
        <v>1</v>
      </c>
      <c r="U799" s="148">
        <f t="shared" si="213"/>
        <v>257.89</v>
      </c>
      <c r="V799" s="379"/>
      <c r="W799" s="379"/>
      <c r="X799" s="57">
        <f>'COMPOSIÇÃO DE CUSTOS'!G1435</f>
        <v>182.56</v>
      </c>
      <c r="Y799" s="334">
        <v>214.77</v>
      </c>
      <c r="Z799" s="58">
        <f t="shared" si="219"/>
        <v>-32.215499999999992</v>
      </c>
      <c r="AA799" s="58">
        <f t="shared" si="220"/>
        <v>182.55450000000002</v>
      </c>
      <c r="AB799" s="58"/>
      <c r="AC799" s="58">
        <f t="shared" si="221"/>
        <v>231.5</v>
      </c>
      <c r="AD799" s="58" t="e">
        <f>IF(B799&lt;&gt;0,VLOOKUP(B799,#REF!,2,FALSE),"")</f>
        <v>#REF!</v>
      </c>
      <c r="AE799" s="55">
        <v>4</v>
      </c>
      <c r="AF799" s="55">
        <f t="shared" si="227"/>
        <v>3</v>
      </c>
    </row>
    <row r="800" spans="1:32" s="55" customFormat="1">
      <c r="A800" s="21" t="s">
        <v>2906</v>
      </c>
      <c r="B800" s="20">
        <v>3803</v>
      </c>
      <c r="C800" s="19" t="s">
        <v>282</v>
      </c>
      <c r="D800" s="21" t="s">
        <v>44</v>
      </c>
      <c r="E800" s="21" t="s">
        <v>17</v>
      </c>
      <c r="F800" s="22">
        <v>4</v>
      </c>
      <c r="G800" s="22">
        <f t="shared" si="215"/>
        <v>51.858499999999999</v>
      </c>
      <c r="H800" s="22">
        <f t="shared" si="228"/>
        <v>65.760000000000005</v>
      </c>
      <c r="I800" s="147">
        <f t="shared" si="229"/>
        <v>263.04000000000002</v>
      </c>
      <c r="J800" s="148"/>
      <c r="K800" s="148"/>
      <c r="L800" s="148"/>
      <c r="M800" s="148">
        <v>57.77</v>
      </c>
      <c r="N800" s="148">
        <v>73.260000000000005</v>
      </c>
      <c r="O800" s="148">
        <v>293.04000000000002</v>
      </c>
      <c r="P800" s="494"/>
      <c r="Q800" s="147">
        <f t="shared" si="218"/>
        <v>0</v>
      </c>
      <c r="R800" s="148"/>
      <c r="S800" s="148">
        <f t="shared" si="222"/>
        <v>0</v>
      </c>
      <c r="T800" s="148">
        <f t="shared" si="214"/>
        <v>4</v>
      </c>
      <c r="U800" s="148">
        <f t="shared" si="213"/>
        <v>293.04000000000002</v>
      </c>
      <c r="V800" s="379"/>
      <c r="W800" s="379"/>
      <c r="X800" s="57">
        <f>'COMPOSIÇÃO DE CUSTOS'!G1449</f>
        <v>51.86</v>
      </c>
      <c r="Y800" s="334">
        <v>61.01</v>
      </c>
      <c r="Z800" s="58">
        <f t="shared" si="219"/>
        <v>-9.1514999999999986</v>
      </c>
      <c r="AA800" s="58">
        <f t="shared" si="220"/>
        <v>207.434</v>
      </c>
      <c r="AB800" s="58"/>
      <c r="AC800" s="58">
        <f t="shared" si="221"/>
        <v>263.04000000000002</v>
      </c>
      <c r="AD800" s="58" t="e">
        <f>IF(B800&lt;&gt;0,VLOOKUP(B800,#REF!,2,FALSE),"")</f>
        <v>#REF!</v>
      </c>
      <c r="AE800" s="55">
        <v>2</v>
      </c>
      <c r="AF800" s="55">
        <f t="shared" si="227"/>
        <v>-2</v>
      </c>
    </row>
    <row r="801" spans="1:32" s="55" customFormat="1">
      <c r="A801" s="21" t="s">
        <v>2907</v>
      </c>
      <c r="B801" s="21" t="s">
        <v>2330</v>
      </c>
      <c r="C801" s="19" t="s">
        <v>283</v>
      </c>
      <c r="D801" s="21" t="s">
        <v>1914</v>
      </c>
      <c r="E801" s="21" t="s">
        <v>17</v>
      </c>
      <c r="F801" s="22">
        <v>2</v>
      </c>
      <c r="G801" s="22">
        <f t="shared" si="215"/>
        <v>40.910499999999999</v>
      </c>
      <c r="H801" s="22">
        <f t="shared" si="228"/>
        <v>51.88</v>
      </c>
      <c r="I801" s="147">
        <f t="shared" si="229"/>
        <v>103.76</v>
      </c>
      <c r="J801" s="148"/>
      <c r="K801" s="148"/>
      <c r="L801" s="148"/>
      <c r="M801" s="148">
        <v>45.57</v>
      </c>
      <c r="N801" s="148">
        <v>57.79</v>
      </c>
      <c r="O801" s="148">
        <v>115.58</v>
      </c>
      <c r="P801" s="494"/>
      <c r="Q801" s="147">
        <f t="shared" si="218"/>
        <v>0</v>
      </c>
      <c r="R801" s="148"/>
      <c r="S801" s="148">
        <f t="shared" si="222"/>
        <v>0</v>
      </c>
      <c r="T801" s="148">
        <f t="shared" si="214"/>
        <v>2</v>
      </c>
      <c r="U801" s="148">
        <f t="shared" ref="U801:U864" si="230">L801+Q801-S801+O801</f>
        <v>115.58</v>
      </c>
      <c r="V801" s="379"/>
      <c r="W801" s="379"/>
      <c r="X801" s="57">
        <f>'COMPOSIÇÃO DE CUSTOS'!G1456</f>
        <v>40.909999999999997</v>
      </c>
      <c r="Y801" s="334">
        <v>48.13</v>
      </c>
      <c r="Z801" s="58">
        <f t="shared" si="219"/>
        <v>-7.2195000000000036</v>
      </c>
      <c r="AA801" s="58">
        <f t="shared" si="220"/>
        <v>81.820999999999998</v>
      </c>
      <c r="AB801" s="58"/>
      <c r="AC801" s="58">
        <f t="shared" si="221"/>
        <v>103.76</v>
      </c>
      <c r="AD801" s="58" t="e">
        <f>IF(B801&lt;&gt;0,VLOOKUP(B801,#REF!,2,FALSE),"")</f>
        <v>#REF!</v>
      </c>
      <c r="AF801" s="55">
        <f t="shared" si="227"/>
        <v>-2</v>
      </c>
    </row>
    <row r="802" spans="1:32" s="55" customFormat="1">
      <c r="A802" s="69" t="s">
        <v>2908</v>
      </c>
      <c r="B802" s="129"/>
      <c r="C802" s="129" t="s">
        <v>2909</v>
      </c>
      <c r="D802" s="230"/>
      <c r="E802" s="230"/>
      <c r="F802" s="230"/>
      <c r="G802" s="22"/>
      <c r="H802" s="230"/>
      <c r="I802" s="445"/>
      <c r="J802" s="440"/>
      <c r="K802" s="440"/>
      <c r="L802" s="440"/>
      <c r="M802" s="440"/>
      <c r="N802" s="440"/>
      <c r="O802" s="440"/>
      <c r="P802" s="492"/>
      <c r="Q802" s="147">
        <f t="shared" si="218"/>
        <v>0</v>
      </c>
      <c r="R802" s="440"/>
      <c r="S802" s="148">
        <f t="shared" si="222"/>
        <v>0</v>
      </c>
      <c r="T802" s="148" t="str">
        <f t="shared" si="214"/>
        <v xml:space="preserve"> </v>
      </c>
      <c r="U802" s="148">
        <f t="shared" si="230"/>
        <v>0</v>
      </c>
      <c r="V802" s="330"/>
      <c r="W802" s="330"/>
      <c r="X802" s="57" t="str">
        <f>IF(B802&lt;&gt;0,VLOOKUP(B802,#REF!,4,FALSE),"")</f>
        <v/>
      </c>
      <c r="Y802" s="334" t="s">
        <v>1891</v>
      </c>
      <c r="Z802" s="58"/>
      <c r="AA802" s="58">
        <f t="shared" si="220"/>
        <v>0</v>
      </c>
      <c r="AB802" s="58"/>
      <c r="AC802" s="58">
        <f t="shared" si="221"/>
        <v>0</v>
      </c>
      <c r="AD802" s="58" t="str">
        <f>IF(B802&lt;&gt;0,VLOOKUP(B802,#REF!,2,FALSE),"")</f>
        <v/>
      </c>
      <c r="AE802" s="55">
        <v>1</v>
      </c>
      <c r="AF802" s="55">
        <f t="shared" si="227"/>
        <v>1</v>
      </c>
    </row>
    <row r="803" spans="1:32" s="55" customFormat="1" ht="45">
      <c r="A803" s="21" t="s">
        <v>2910</v>
      </c>
      <c r="B803" s="20">
        <v>3836</v>
      </c>
      <c r="C803" s="19" t="s">
        <v>2331</v>
      </c>
      <c r="D803" s="21" t="s">
        <v>44</v>
      </c>
      <c r="E803" s="21" t="s">
        <v>17</v>
      </c>
      <c r="F803" s="22">
        <v>1</v>
      </c>
      <c r="G803" s="22">
        <f t="shared" si="215"/>
        <v>410.44799999999998</v>
      </c>
      <c r="H803" s="22">
        <f t="shared" ref="H803:H816" si="231">ROUND(G803*(1+$X$13),2)</f>
        <v>520.49</v>
      </c>
      <c r="I803" s="147">
        <f t="shared" ref="I803:I816" si="232">ROUND(H803*F803,2)</f>
        <v>520.49</v>
      </c>
      <c r="J803" s="148"/>
      <c r="K803" s="148"/>
      <c r="L803" s="148"/>
      <c r="M803" s="148">
        <v>457.24</v>
      </c>
      <c r="N803" s="148">
        <v>579.83000000000004</v>
      </c>
      <c r="O803" s="148">
        <v>579.83000000000004</v>
      </c>
      <c r="P803" s="494"/>
      <c r="Q803" s="147">
        <f t="shared" si="218"/>
        <v>0</v>
      </c>
      <c r="R803" s="148"/>
      <c r="S803" s="148">
        <f t="shared" si="222"/>
        <v>0</v>
      </c>
      <c r="T803" s="148">
        <f t="shared" ref="T803:T866" si="233">IF(F803&gt;0,F803+P803-R803," ")</f>
        <v>1</v>
      </c>
      <c r="U803" s="148">
        <f t="shared" si="230"/>
        <v>579.83000000000004</v>
      </c>
      <c r="V803" s="379"/>
      <c r="W803" s="379"/>
      <c r="X803" s="57">
        <f>'COMPOSIÇÃO DE CUSTOS'!G1399</f>
        <v>410.45</v>
      </c>
      <c r="Y803" s="334">
        <v>482.88</v>
      </c>
      <c r="Z803" s="58">
        <f t="shared" si="219"/>
        <v>-72.432000000000016</v>
      </c>
      <c r="AA803" s="58">
        <f t="shared" si="220"/>
        <v>410.44799999999998</v>
      </c>
      <c r="AB803" s="58"/>
      <c r="AC803" s="58">
        <f t="shared" si="221"/>
        <v>520.49</v>
      </c>
      <c r="AD803" s="58" t="e">
        <f>IF(B803&lt;&gt;0,VLOOKUP(B803,#REF!,2,FALSE),"")</f>
        <v>#REF!</v>
      </c>
      <c r="AE803" s="55">
        <v>1</v>
      </c>
      <c r="AF803" s="55">
        <f t="shared" si="227"/>
        <v>0</v>
      </c>
    </row>
    <row r="804" spans="1:32" s="55" customFormat="1" ht="45">
      <c r="A804" s="235" t="s">
        <v>3605</v>
      </c>
      <c r="B804" s="20">
        <v>93669</v>
      </c>
      <c r="C804" s="439" t="s">
        <v>3765</v>
      </c>
      <c r="D804" s="21" t="s">
        <v>12</v>
      </c>
      <c r="E804" s="21" t="s">
        <v>17</v>
      </c>
      <c r="F804" s="22">
        <v>1</v>
      </c>
      <c r="G804" s="22">
        <f t="shared" si="215"/>
        <v>61.429499999999997</v>
      </c>
      <c r="H804" s="22">
        <f t="shared" si="231"/>
        <v>77.900000000000006</v>
      </c>
      <c r="I804" s="147">
        <f t="shared" si="232"/>
        <v>77.900000000000006</v>
      </c>
      <c r="J804" s="148"/>
      <c r="K804" s="148"/>
      <c r="L804" s="148"/>
      <c r="M804" s="148">
        <v>68.430000000000007</v>
      </c>
      <c r="N804" s="148">
        <v>86.78</v>
      </c>
      <c r="O804" s="148">
        <v>86.78</v>
      </c>
      <c r="P804" s="494"/>
      <c r="Q804" s="147">
        <f t="shared" si="218"/>
        <v>0</v>
      </c>
      <c r="R804" s="148"/>
      <c r="S804" s="148">
        <f t="shared" si="222"/>
        <v>0</v>
      </c>
      <c r="T804" s="148">
        <f t="shared" si="233"/>
        <v>1</v>
      </c>
      <c r="U804" s="148">
        <f t="shared" si="230"/>
        <v>86.78</v>
      </c>
      <c r="V804" s="379"/>
      <c r="W804" s="379"/>
      <c r="X804" s="58" t="e">
        <f>IF(B804&lt;&gt;0,VLOOKUP(B804,#REF!,4,FALSE),"")</f>
        <v>#REF!</v>
      </c>
      <c r="Y804" s="334" t="s">
        <v>3242</v>
      </c>
      <c r="Z804" s="58">
        <f t="shared" si="219"/>
        <v>-10.840499999999999</v>
      </c>
      <c r="AA804" s="58">
        <f t="shared" si="220"/>
        <v>61.429499999999997</v>
      </c>
      <c r="AB804" s="58"/>
      <c r="AC804" s="58">
        <f t="shared" si="221"/>
        <v>77.900000000000006</v>
      </c>
      <c r="AD804" s="58" t="e">
        <f>IF(B804&lt;&gt;0,VLOOKUP(B804,#REF!,2,FALSE),"")</f>
        <v>#REF!</v>
      </c>
      <c r="AE804" s="55">
        <v>2</v>
      </c>
      <c r="AF804" s="55">
        <f t="shared" si="227"/>
        <v>1</v>
      </c>
    </row>
    <row r="805" spans="1:32" s="55" customFormat="1" ht="45">
      <c r="A805" s="21" t="s">
        <v>2911</v>
      </c>
      <c r="B805" s="20">
        <v>93654</v>
      </c>
      <c r="C805" s="19" t="s">
        <v>1730</v>
      </c>
      <c r="D805" s="21" t="s">
        <v>12</v>
      </c>
      <c r="E805" s="21" t="s">
        <v>17</v>
      </c>
      <c r="F805" s="22">
        <v>2</v>
      </c>
      <c r="G805" s="22">
        <f t="shared" si="215"/>
        <v>9.6050000000000004</v>
      </c>
      <c r="H805" s="22">
        <f t="shared" si="231"/>
        <v>12.18</v>
      </c>
      <c r="I805" s="147">
        <f t="shared" si="232"/>
        <v>24.36</v>
      </c>
      <c r="J805" s="148"/>
      <c r="K805" s="148"/>
      <c r="L805" s="148"/>
      <c r="M805" s="148">
        <v>10.7</v>
      </c>
      <c r="N805" s="148">
        <v>13.57</v>
      </c>
      <c r="O805" s="148">
        <v>27.14</v>
      </c>
      <c r="P805" s="494"/>
      <c r="Q805" s="147">
        <f t="shared" si="218"/>
        <v>0</v>
      </c>
      <c r="R805" s="148"/>
      <c r="S805" s="148">
        <f t="shared" si="222"/>
        <v>0</v>
      </c>
      <c r="T805" s="148">
        <f t="shared" si="233"/>
        <v>2</v>
      </c>
      <c r="U805" s="148">
        <f t="shared" si="230"/>
        <v>27.14</v>
      </c>
      <c r="V805" s="379"/>
      <c r="W805" s="379"/>
      <c r="X805" s="58" t="e">
        <f>IF(B805&lt;&gt;0,VLOOKUP(B805,#REF!,4,FALSE),"")</f>
        <v>#REF!</v>
      </c>
      <c r="Y805" s="334" t="s">
        <v>3240</v>
      </c>
      <c r="Z805" s="58">
        <f t="shared" si="219"/>
        <v>-1.6950000000000003</v>
      </c>
      <c r="AA805" s="58">
        <f t="shared" si="220"/>
        <v>19.21</v>
      </c>
      <c r="AB805" s="58"/>
      <c r="AC805" s="58">
        <f t="shared" si="221"/>
        <v>24.36</v>
      </c>
      <c r="AD805" s="58" t="e">
        <f>IF(B805&lt;&gt;0,VLOOKUP(B805,#REF!,2,FALSE),"")</f>
        <v>#REF!</v>
      </c>
      <c r="AE805" s="55">
        <v>2</v>
      </c>
      <c r="AF805" s="55">
        <f t="shared" si="227"/>
        <v>0</v>
      </c>
    </row>
    <row r="806" spans="1:32" s="55" customFormat="1" ht="45" customHeight="1">
      <c r="A806" s="21" t="s">
        <v>2912</v>
      </c>
      <c r="B806" s="21" t="s">
        <v>2321</v>
      </c>
      <c r="C806" s="19" t="s">
        <v>277</v>
      </c>
      <c r="D806" s="21" t="s">
        <v>1914</v>
      </c>
      <c r="E806" s="21" t="s">
        <v>17</v>
      </c>
      <c r="F806" s="22">
        <v>2</v>
      </c>
      <c r="G806" s="22">
        <f t="shared" si="215"/>
        <v>100.232</v>
      </c>
      <c r="H806" s="22">
        <f t="shared" si="231"/>
        <v>127.1</v>
      </c>
      <c r="I806" s="147">
        <f t="shared" si="232"/>
        <v>254.2</v>
      </c>
      <c r="J806" s="148"/>
      <c r="K806" s="148"/>
      <c r="L806" s="148"/>
      <c r="M806" s="148">
        <v>111.66</v>
      </c>
      <c r="N806" s="148">
        <v>141.6</v>
      </c>
      <c r="O806" s="148">
        <v>283.2</v>
      </c>
      <c r="P806" s="494"/>
      <c r="Q806" s="147">
        <f t="shared" si="218"/>
        <v>0</v>
      </c>
      <c r="R806" s="148"/>
      <c r="S806" s="148">
        <f t="shared" si="222"/>
        <v>0</v>
      </c>
      <c r="T806" s="148">
        <f t="shared" si="233"/>
        <v>2</v>
      </c>
      <c r="U806" s="148">
        <f t="shared" si="230"/>
        <v>283.2</v>
      </c>
      <c r="V806" s="379"/>
      <c r="W806" s="379"/>
      <c r="X806" s="57">
        <f>'COMPOSIÇÃO DE CUSTOS'!G1413</f>
        <v>100.23</v>
      </c>
      <c r="Y806" s="334">
        <v>117.92</v>
      </c>
      <c r="Z806" s="58">
        <f t="shared" si="219"/>
        <v>-17.688000000000002</v>
      </c>
      <c r="AA806" s="58">
        <f t="shared" si="220"/>
        <v>200.464</v>
      </c>
      <c r="AB806" s="58"/>
      <c r="AC806" s="58">
        <f t="shared" si="221"/>
        <v>254.2</v>
      </c>
      <c r="AD806" s="58" t="e">
        <f>IF(B806&lt;&gt;0,VLOOKUP(B806,#REF!,2,FALSE),"")</f>
        <v>#REF!</v>
      </c>
      <c r="AE806" s="55">
        <v>2</v>
      </c>
      <c r="AF806" s="55">
        <f t="shared" si="227"/>
        <v>0</v>
      </c>
    </row>
    <row r="807" spans="1:32" s="55" customFormat="1" ht="45">
      <c r="A807" s="21" t="s">
        <v>2913</v>
      </c>
      <c r="B807" s="20">
        <v>72343</v>
      </c>
      <c r="C807" s="19" t="s">
        <v>291</v>
      </c>
      <c r="D807" s="21" t="s">
        <v>1914</v>
      </c>
      <c r="E807" s="21" t="s">
        <v>17</v>
      </c>
      <c r="F807" s="22">
        <v>2</v>
      </c>
      <c r="G807" s="22">
        <f t="shared" si="215"/>
        <v>227.42599999999999</v>
      </c>
      <c r="H807" s="22">
        <f t="shared" si="231"/>
        <v>288.39999999999998</v>
      </c>
      <c r="I807" s="147">
        <f t="shared" si="232"/>
        <v>576.79999999999995</v>
      </c>
      <c r="J807" s="148"/>
      <c r="K807" s="148"/>
      <c r="L807" s="148"/>
      <c r="M807" s="148">
        <v>253.35</v>
      </c>
      <c r="N807" s="148">
        <v>321.27</v>
      </c>
      <c r="O807" s="148">
        <v>642.54</v>
      </c>
      <c r="P807" s="494"/>
      <c r="Q807" s="147">
        <f t="shared" si="218"/>
        <v>0</v>
      </c>
      <c r="R807" s="148"/>
      <c r="S807" s="148">
        <f t="shared" si="222"/>
        <v>0</v>
      </c>
      <c r="T807" s="148">
        <f t="shared" si="233"/>
        <v>2</v>
      </c>
      <c r="U807" s="148">
        <f t="shared" si="230"/>
        <v>642.54</v>
      </c>
      <c r="V807" s="379"/>
      <c r="W807" s="379"/>
      <c r="X807" s="57">
        <f>'COMPOSIÇÃO DE CUSTOS'!G1464</f>
        <v>227.42</v>
      </c>
      <c r="Y807" s="334">
        <v>267.56</v>
      </c>
      <c r="Z807" s="58">
        <f t="shared" si="219"/>
        <v>-40.134000000000015</v>
      </c>
      <c r="AA807" s="58">
        <f t="shared" si="220"/>
        <v>454.85199999999998</v>
      </c>
      <c r="AB807" s="58"/>
      <c r="AC807" s="58">
        <f t="shared" si="221"/>
        <v>576.79999999999995</v>
      </c>
      <c r="AD807" s="58" t="e">
        <f>IF(B807&lt;&gt;0,VLOOKUP(B807,#REF!,2,FALSE),"")</f>
        <v>#REF!</v>
      </c>
      <c r="AE807" s="55">
        <v>2</v>
      </c>
      <c r="AF807" s="55">
        <f t="shared" si="227"/>
        <v>0</v>
      </c>
    </row>
    <row r="808" spans="1:32" s="55" customFormat="1" ht="15" customHeight="1">
      <c r="A808" s="21" t="s">
        <v>2914</v>
      </c>
      <c r="B808" s="21" t="s">
        <v>2334</v>
      </c>
      <c r="C808" s="19" t="s">
        <v>292</v>
      </c>
      <c r="D808" s="21" t="s">
        <v>1914</v>
      </c>
      <c r="E808" s="21" t="s">
        <v>17</v>
      </c>
      <c r="F808" s="22">
        <v>2</v>
      </c>
      <c r="G808" s="22">
        <f t="shared" si="215"/>
        <v>191.79399999999998</v>
      </c>
      <c r="H808" s="22">
        <f t="shared" si="231"/>
        <v>243.21</v>
      </c>
      <c r="I808" s="147">
        <f t="shared" si="232"/>
        <v>486.42</v>
      </c>
      <c r="J808" s="148"/>
      <c r="K808" s="148"/>
      <c r="L808" s="148"/>
      <c r="M808" s="148">
        <v>213.66</v>
      </c>
      <c r="N808" s="148">
        <v>270.94</v>
      </c>
      <c r="O808" s="148">
        <v>541.88</v>
      </c>
      <c r="P808" s="494"/>
      <c r="Q808" s="147">
        <f t="shared" si="218"/>
        <v>0</v>
      </c>
      <c r="R808" s="148"/>
      <c r="S808" s="148">
        <f t="shared" si="222"/>
        <v>0</v>
      </c>
      <c r="T808" s="148">
        <f t="shared" si="233"/>
        <v>2</v>
      </c>
      <c r="U808" s="148">
        <f t="shared" si="230"/>
        <v>541.88</v>
      </c>
      <c r="V808" s="379"/>
      <c r="W808" s="379"/>
      <c r="X808" s="57">
        <f>'COMPOSIÇÃO DE CUSTOS'!G1472</f>
        <v>191.8</v>
      </c>
      <c r="Y808" s="334">
        <v>225.64</v>
      </c>
      <c r="Z808" s="58">
        <f t="shared" si="219"/>
        <v>-33.846000000000004</v>
      </c>
      <c r="AA808" s="58">
        <f t="shared" si="220"/>
        <v>383.58799999999997</v>
      </c>
      <c r="AB808" s="58"/>
      <c r="AC808" s="58">
        <f t="shared" si="221"/>
        <v>486.42</v>
      </c>
      <c r="AD808" s="58" t="e">
        <f>IF(B808&lt;&gt;0,VLOOKUP(B808,#REF!,2,FALSE),"")</f>
        <v>#REF!</v>
      </c>
      <c r="AE808" s="55">
        <v>2</v>
      </c>
      <c r="AF808" s="55">
        <f t="shared" si="227"/>
        <v>0</v>
      </c>
    </row>
    <row r="809" spans="1:32" s="55" customFormat="1">
      <c r="A809" s="21" t="s">
        <v>2915</v>
      </c>
      <c r="B809" s="21" t="s">
        <v>2322</v>
      </c>
      <c r="C809" s="19" t="s">
        <v>278</v>
      </c>
      <c r="D809" s="21" t="s">
        <v>1914</v>
      </c>
      <c r="E809" s="21" t="s">
        <v>17</v>
      </c>
      <c r="F809" s="22">
        <v>2</v>
      </c>
      <c r="G809" s="22">
        <f t="shared" si="215"/>
        <v>113.61949999999999</v>
      </c>
      <c r="H809" s="22">
        <f t="shared" si="231"/>
        <v>144.08000000000001</v>
      </c>
      <c r="I809" s="147">
        <f t="shared" si="232"/>
        <v>288.16000000000003</v>
      </c>
      <c r="J809" s="148"/>
      <c r="K809" s="148"/>
      <c r="L809" s="148"/>
      <c r="M809" s="148">
        <v>126.57</v>
      </c>
      <c r="N809" s="148">
        <v>160.5</v>
      </c>
      <c r="O809" s="148">
        <v>321</v>
      </c>
      <c r="P809" s="494"/>
      <c r="Q809" s="147">
        <f t="shared" si="218"/>
        <v>0</v>
      </c>
      <c r="R809" s="148"/>
      <c r="S809" s="148">
        <f t="shared" si="222"/>
        <v>0</v>
      </c>
      <c r="T809" s="148">
        <f t="shared" si="233"/>
        <v>2</v>
      </c>
      <c r="U809" s="148">
        <f t="shared" si="230"/>
        <v>321</v>
      </c>
      <c r="V809" s="379"/>
      <c r="W809" s="379"/>
      <c r="X809" s="57">
        <f>'COMPOSIÇÃO DE CUSTOS'!G1420</f>
        <v>113.62</v>
      </c>
      <c r="Y809" s="334">
        <v>133.66999999999999</v>
      </c>
      <c r="Z809" s="58">
        <f t="shared" si="219"/>
        <v>-20.0505</v>
      </c>
      <c r="AA809" s="58">
        <f t="shared" si="220"/>
        <v>227.23899999999998</v>
      </c>
      <c r="AB809" s="58"/>
      <c r="AC809" s="58">
        <f t="shared" si="221"/>
        <v>288.16000000000003</v>
      </c>
      <c r="AD809" s="58" t="e">
        <f>IF(B809&lt;&gt;0,VLOOKUP(B809,#REF!,2,FALSE),"")</f>
        <v>#REF!</v>
      </c>
      <c r="AE809" s="55">
        <v>50</v>
      </c>
      <c r="AF809" s="55">
        <f t="shared" si="227"/>
        <v>48</v>
      </c>
    </row>
    <row r="810" spans="1:32" s="55" customFormat="1" ht="45">
      <c r="A810" s="235" t="s">
        <v>3606</v>
      </c>
      <c r="B810" s="20">
        <v>1571</v>
      </c>
      <c r="C810" s="439" t="s">
        <v>3754</v>
      </c>
      <c r="D810" s="21" t="s">
        <v>12</v>
      </c>
      <c r="E810" s="21" t="s">
        <v>17</v>
      </c>
      <c r="F810" s="22">
        <v>50</v>
      </c>
      <c r="G810" s="22">
        <f t="shared" si="215"/>
        <v>1.0114999999999998</v>
      </c>
      <c r="H810" s="22">
        <f t="shared" si="231"/>
        <v>1.28</v>
      </c>
      <c r="I810" s="147">
        <f t="shared" si="232"/>
        <v>64</v>
      </c>
      <c r="J810" s="148"/>
      <c r="K810" s="148"/>
      <c r="L810" s="148"/>
      <c r="M810" s="148">
        <v>1.1299999999999999</v>
      </c>
      <c r="N810" s="148">
        <v>1.43</v>
      </c>
      <c r="O810" s="148">
        <v>71.5</v>
      </c>
      <c r="P810" s="494"/>
      <c r="Q810" s="147">
        <f t="shared" si="218"/>
        <v>0</v>
      </c>
      <c r="R810" s="148"/>
      <c r="S810" s="148">
        <f t="shared" si="222"/>
        <v>0</v>
      </c>
      <c r="T810" s="148">
        <f t="shared" si="233"/>
        <v>50</v>
      </c>
      <c r="U810" s="148">
        <f t="shared" si="230"/>
        <v>71.5</v>
      </c>
      <c r="V810" s="379"/>
      <c r="W810" s="379"/>
      <c r="X810" s="57" t="e">
        <f>IF(B810&lt;&gt;0,VLOOKUP(B810,#REF!,4,FALSE),"")</f>
        <v>#REF!</v>
      </c>
      <c r="Y810" s="334" t="s">
        <v>1843</v>
      </c>
      <c r="Z810" s="58">
        <f t="shared" si="219"/>
        <v>-0.1785000000000001</v>
      </c>
      <c r="AA810" s="58">
        <f t="shared" si="220"/>
        <v>50.574999999999989</v>
      </c>
      <c r="AB810" s="58"/>
      <c r="AC810" s="58">
        <f t="shared" si="221"/>
        <v>64</v>
      </c>
      <c r="AD810" s="58" t="e">
        <f>IF(B810&lt;&gt;0,VLOOKUP(B810,#REF!,2,FALSE),"")</f>
        <v>#REF!</v>
      </c>
      <c r="AE810" s="55">
        <v>25</v>
      </c>
      <c r="AF810" s="55">
        <f t="shared" si="227"/>
        <v>-25</v>
      </c>
    </row>
    <row r="811" spans="1:32" s="55" customFormat="1" ht="45">
      <c r="A811" s="235" t="s">
        <v>3607</v>
      </c>
      <c r="B811" s="20">
        <v>1573</v>
      </c>
      <c r="C811" s="439" t="s">
        <v>3752</v>
      </c>
      <c r="D811" s="21" t="s">
        <v>12</v>
      </c>
      <c r="E811" s="21" t="s">
        <v>221</v>
      </c>
      <c r="F811" s="22">
        <v>25</v>
      </c>
      <c r="G811" s="22">
        <f t="shared" si="215"/>
        <v>1.1984999999999999</v>
      </c>
      <c r="H811" s="22">
        <f t="shared" si="231"/>
        <v>1.52</v>
      </c>
      <c r="I811" s="147">
        <f t="shared" si="232"/>
        <v>38</v>
      </c>
      <c r="J811" s="148"/>
      <c r="K811" s="148"/>
      <c r="L811" s="148"/>
      <c r="M811" s="148">
        <v>1.34</v>
      </c>
      <c r="N811" s="148">
        <v>1.7</v>
      </c>
      <c r="O811" s="148">
        <v>42.5</v>
      </c>
      <c r="P811" s="494"/>
      <c r="Q811" s="147">
        <f t="shared" si="218"/>
        <v>0</v>
      </c>
      <c r="R811" s="148"/>
      <c r="S811" s="148">
        <f t="shared" si="222"/>
        <v>0</v>
      </c>
      <c r="T811" s="148">
        <f t="shared" si="233"/>
        <v>25</v>
      </c>
      <c r="U811" s="148">
        <f t="shared" si="230"/>
        <v>42.5</v>
      </c>
      <c r="V811" s="379"/>
      <c r="W811" s="379"/>
      <c r="X811" s="57" t="e">
        <f>IF(B811&lt;&gt;0,VLOOKUP(B811,#REF!,4,FALSE),"")</f>
        <v>#REF!</v>
      </c>
      <c r="Y811" s="334" t="s">
        <v>3188</v>
      </c>
      <c r="Z811" s="58">
        <f t="shared" si="219"/>
        <v>-0.21150000000000002</v>
      </c>
      <c r="AA811" s="58">
        <f t="shared" si="220"/>
        <v>29.962499999999999</v>
      </c>
      <c r="AB811" s="58"/>
      <c r="AC811" s="58">
        <f t="shared" si="221"/>
        <v>38</v>
      </c>
      <c r="AD811" s="58" t="e">
        <f>IF(B811&lt;&gt;0,VLOOKUP(B811,#REF!,2,FALSE),"")</f>
        <v>#REF!</v>
      </c>
      <c r="AE811" s="55">
        <v>100</v>
      </c>
      <c r="AF811" s="55">
        <f t="shared" si="227"/>
        <v>75</v>
      </c>
    </row>
    <row r="812" spans="1:32" s="55" customFormat="1" ht="45">
      <c r="A812" s="235" t="s">
        <v>3608</v>
      </c>
      <c r="B812" s="20">
        <v>1570</v>
      </c>
      <c r="C812" s="439" t="s">
        <v>3751</v>
      </c>
      <c r="D812" s="21" t="s">
        <v>12</v>
      </c>
      <c r="E812" s="21" t="s">
        <v>17</v>
      </c>
      <c r="F812" s="22">
        <v>100</v>
      </c>
      <c r="G812" s="22">
        <f t="shared" ref="G812:G875" si="234">Y812-(Y812*$Z$14)</f>
        <v>0.77350000000000008</v>
      </c>
      <c r="H812" s="22">
        <f t="shared" si="231"/>
        <v>0.98</v>
      </c>
      <c r="I812" s="147">
        <f t="shared" si="232"/>
        <v>98</v>
      </c>
      <c r="J812" s="148"/>
      <c r="K812" s="148"/>
      <c r="L812" s="148"/>
      <c r="M812" s="148">
        <v>0.86</v>
      </c>
      <c r="N812" s="148">
        <v>1.0900000000000001</v>
      </c>
      <c r="O812" s="148">
        <v>109</v>
      </c>
      <c r="P812" s="494"/>
      <c r="Q812" s="147">
        <f t="shared" ref="Q812:Q836" si="235">ROUND(P812*N812,2)</f>
        <v>0</v>
      </c>
      <c r="R812" s="148"/>
      <c r="S812" s="148">
        <f t="shared" si="222"/>
        <v>0</v>
      </c>
      <c r="T812" s="148">
        <f t="shared" si="233"/>
        <v>100</v>
      </c>
      <c r="U812" s="148">
        <f t="shared" si="230"/>
        <v>109</v>
      </c>
      <c r="V812" s="379"/>
      <c r="W812" s="379"/>
      <c r="X812" s="57" t="e">
        <f>IF(B812&lt;&gt;0,VLOOKUP(B812,#REF!,4,FALSE),"")</f>
        <v>#REF!</v>
      </c>
      <c r="Y812" s="334" t="s">
        <v>1858</v>
      </c>
      <c r="Z812" s="58">
        <f t="shared" ref="Z812:Z875" si="236">G812-Y812</f>
        <v>-0.13649999999999995</v>
      </c>
      <c r="AA812" s="58">
        <f t="shared" ref="AA812:AA875" si="237">F812*G812</f>
        <v>77.350000000000009</v>
      </c>
      <c r="AB812" s="58"/>
      <c r="AC812" s="58">
        <f t="shared" ref="AC812:AC875" si="238">F812*H812</f>
        <v>98</v>
      </c>
      <c r="AD812" s="58" t="e">
        <f>IF(B812&lt;&gt;0,VLOOKUP(B812,#REF!,2,FALSE),"")</f>
        <v>#REF!</v>
      </c>
      <c r="AE812" s="55">
        <v>2</v>
      </c>
      <c r="AF812" s="55">
        <f t="shared" si="227"/>
        <v>-98</v>
      </c>
    </row>
    <row r="813" spans="1:32" s="55" customFormat="1" ht="45">
      <c r="A813" s="21" t="s">
        <v>2916</v>
      </c>
      <c r="B813" s="20">
        <v>91931</v>
      </c>
      <c r="C813" s="19" t="s">
        <v>1737</v>
      </c>
      <c r="D813" s="21" t="s">
        <v>12</v>
      </c>
      <c r="E813" s="21" t="s">
        <v>52</v>
      </c>
      <c r="F813" s="22">
        <v>2</v>
      </c>
      <c r="G813" s="22">
        <f t="shared" si="234"/>
        <v>7.9474999999999998</v>
      </c>
      <c r="H813" s="22">
        <f t="shared" si="231"/>
        <v>10.08</v>
      </c>
      <c r="I813" s="147">
        <f t="shared" si="232"/>
        <v>20.16</v>
      </c>
      <c r="J813" s="148"/>
      <c r="K813" s="148"/>
      <c r="L813" s="148"/>
      <c r="M813" s="148">
        <v>8.85</v>
      </c>
      <c r="N813" s="148">
        <v>11.22</v>
      </c>
      <c r="O813" s="148">
        <v>22.44</v>
      </c>
      <c r="P813" s="494"/>
      <c r="Q813" s="147">
        <f t="shared" si="235"/>
        <v>0</v>
      </c>
      <c r="R813" s="148"/>
      <c r="S813" s="148">
        <f t="shared" ref="S813:S837" si="239">ROUND(R813*N813,2)</f>
        <v>0</v>
      </c>
      <c r="T813" s="148">
        <f t="shared" si="233"/>
        <v>2</v>
      </c>
      <c r="U813" s="148">
        <f t="shared" si="230"/>
        <v>22.44</v>
      </c>
      <c r="V813" s="379"/>
      <c r="W813" s="379"/>
      <c r="X813" s="58" t="e">
        <f>IF(B813&lt;&gt;0,VLOOKUP(B813,#REF!,4,FALSE),"")</f>
        <v>#REF!</v>
      </c>
      <c r="Y813" s="334" t="s">
        <v>1901</v>
      </c>
      <c r="Z813" s="58">
        <f t="shared" si="236"/>
        <v>-1.4024999999999999</v>
      </c>
      <c r="AA813" s="58">
        <f t="shared" si="237"/>
        <v>15.895</v>
      </c>
      <c r="AB813" s="58"/>
      <c r="AC813" s="58">
        <f t="shared" si="238"/>
        <v>20.16</v>
      </c>
      <c r="AD813" s="58" t="e">
        <f>IF(B813&lt;&gt;0,VLOOKUP(B813,#REF!,2,FALSE),"")</f>
        <v>#REF!</v>
      </c>
      <c r="AE813" s="55">
        <v>1</v>
      </c>
      <c r="AF813" s="55">
        <f t="shared" si="227"/>
        <v>-1</v>
      </c>
    </row>
    <row r="814" spans="1:32" s="55" customFormat="1" ht="30">
      <c r="A814" s="21" t="s">
        <v>2917</v>
      </c>
      <c r="B814" s="20">
        <v>64355</v>
      </c>
      <c r="C814" s="19" t="s">
        <v>280</v>
      </c>
      <c r="D814" s="21" t="s">
        <v>1914</v>
      </c>
      <c r="E814" s="21" t="s">
        <v>17</v>
      </c>
      <c r="F814" s="22">
        <v>1</v>
      </c>
      <c r="G814" s="22">
        <f t="shared" si="234"/>
        <v>182.55450000000002</v>
      </c>
      <c r="H814" s="22">
        <f t="shared" si="231"/>
        <v>231.5</v>
      </c>
      <c r="I814" s="147">
        <f t="shared" si="232"/>
        <v>231.5</v>
      </c>
      <c r="J814" s="148"/>
      <c r="K814" s="148"/>
      <c r="L814" s="148"/>
      <c r="M814" s="148">
        <v>203.37</v>
      </c>
      <c r="N814" s="148">
        <v>257.89</v>
      </c>
      <c r="O814" s="148">
        <v>257.89</v>
      </c>
      <c r="P814" s="494"/>
      <c r="Q814" s="147">
        <f t="shared" si="235"/>
        <v>0</v>
      </c>
      <c r="R814" s="148"/>
      <c r="S814" s="148">
        <f t="shared" si="239"/>
        <v>0</v>
      </c>
      <c r="T814" s="148">
        <f t="shared" si="233"/>
        <v>1</v>
      </c>
      <c r="U814" s="148">
        <f t="shared" si="230"/>
        <v>257.89</v>
      </c>
      <c r="V814" s="379"/>
      <c r="W814" s="379"/>
      <c r="X814" s="57">
        <f>'COMPOSIÇÃO DE CUSTOS'!G1435</f>
        <v>182.56</v>
      </c>
      <c r="Y814" s="334">
        <v>214.77</v>
      </c>
      <c r="Z814" s="58">
        <f t="shared" si="236"/>
        <v>-32.215499999999992</v>
      </c>
      <c r="AA814" s="58">
        <f t="shared" si="237"/>
        <v>182.55450000000002</v>
      </c>
      <c r="AB814" s="58"/>
      <c r="AC814" s="58">
        <f t="shared" si="238"/>
        <v>231.5</v>
      </c>
      <c r="AD814" s="58" t="e">
        <f>IF(B814&lt;&gt;0,VLOOKUP(B814,#REF!,2,FALSE),"")</f>
        <v>#REF!</v>
      </c>
      <c r="AE814" s="55">
        <v>4</v>
      </c>
      <c r="AF814" s="55">
        <f t="shared" si="227"/>
        <v>3</v>
      </c>
    </row>
    <row r="815" spans="1:32" s="55" customFormat="1" ht="30">
      <c r="A815" s="21" t="s">
        <v>2918</v>
      </c>
      <c r="B815" s="20">
        <v>3803</v>
      </c>
      <c r="C815" s="19" t="s">
        <v>282</v>
      </c>
      <c r="D815" s="21" t="s">
        <v>44</v>
      </c>
      <c r="E815" s="21" t="s">
        <v>17</v>
      </c>
      <c r="F815" s="22">
        <v>4</v>
      </c>
      <c r="G815" s="22">
        <f t="shared" si="234"/>
        <v>51.858499999999999</v>
      </c>
      <c r="H815" s="22">
        <f t="shared" si="231"/>
        <v>65.760000000000005</v>
      </c>
      <c r="I815" s="147">
        <f t="shared" si="232"/>
        <v>263.04000000000002</v>
      </c>
      <c r="J815" s="148"/>
      <c r="K815" s="148"/>
      <c r="L815" s="148"/>
      <c r="M815" s="148">
        <v>57.77</v>
      </c>
      <c r="N815" s="148">
        <v>73.260000000000005</v>
      </c>
      <c r="O815" s="148">
        <v>293.04000000000002</v>
      </c>
      <c r="P815" s="494"/>
      <c r="Q815" s="147">
        <f t="shared" si="235"/>
        <v>0</v>
      </c>
      <c r="R815" s="148"/>
      <c r="S815" s="148">
        <f t="shared" si="239"/>
        <v>0</v>
      </c>
      <c r="T815" s="148">
        <f t="shared" si="233"/>
        <v>4</v>
      </c>
      <c r="U815" s="148">
        <f t="shared" si="230"/>
        <v>293.04000000000002</v>
      </c>
      <c r="V815" s="379"/>
      <c r="W815" s="379"/>
      <c r="X815" s="57">
        <f>'COMPOSIÇÃO DE CUSTOS'!G1449</f>
        <v>51.86</v>
      </c>
      <c r="Y815" s="334">
        <v>61.01</v>
      </c>
      <c r="Z815" s="58">
        <f t="shared" si="236"/>
        <v>-9.1514999999999986</v>
      </c>
      <c r="AA815" s="58">
        <f t="shared" si="237"/>
        <v>207.434</v>
      </c>
      <c r="AB815" s="58"/>
      <c r="AC815" s="58">
        <f t="shared" si="238"/>
        <v>263.04000000000002</v>
      </c>
      <c r="AD815" s="58" t="e">
        <f>IF(B815&lt;&gt;0,VLOOKUP(B815,#REF!,2,FALSE),"")</f>
        <v>#REF!</v>
      </c>
      <c r="AE815" s="55">
        <v>2</v>
      </c>
      <c r="AF815" s="55">
        <f t="shared" si="227"/>
        <v>-2</v>
      </c>
    </row>
    <row r="816" spans="1:32" s="55" customFormat="1" ht="30">
      <c r="A816" s="21" t="s">
        <v>2919</v>
      </c>
      <c r="B816" s="21" t="s">
        <v>2330</v>
      </c>
      <c r="C816" s="19" t="s">
        <v>283</v>
      </c>
      <c r="D816" s="21" t="s">
        <v>1914</v>
      </c>
      <c r="E816" s="21" t="s">
        <v>17</v>
      </c>
      <c r="F816" s="22">
        <v>2</v>
      </c>
      <c r="G816" s="22">
        <f t="shared" si="234"/>
        <v>40.910499999999999</v>
      </c>
      <c r="H816" s="22">
        <f t="shared" si="231"/>
        <v>51.88</v>
      </c>
      <c r="I816" s="147">
        <f t="shared" si="232"/>
        <v>103.76</v>
      </c>
      <c r="J816" s="148"/>
      <c r="K816" s="148"/>
      <c r="L816" s="148"/>
      <c r="M816" s="148">
        <v>45.57</v>
      </c>
      <c r="N816" s="148">
        <v>57.79</v>
      </c>
      <c r="O816" s="148">
        <v>115.58</v>
      </c>
      <c r="P816" s="494"/>
      <c r="Q816" s="147">
        <f t="shared" si="235"/>
        <v>0</v>
      </c>
      <c r="R816" s="148"/>
      <c r="S816" s="148">
        <f t="shared" si="239"/>
        <v>0</v>
      </c>
      <c r="T816" s="148">
        <f t="shared" si="233"/>
        <v>2</v>
      </c>
      <c r="U816" s="148">
        <f t="shared" si="230"/>
        <v>115.58</v>
      </c>
      <c r="V816" s="379"/>
      <c r="W816" s="379"/>
      <c r="X816" s="57">
        <f>'COMPOSIÇÃO DE CUSTOS'!G1456</f>
        <v>40.909999999999997</v>
      </c>
      <c r="Y816" s="334">
        <v>48.13</v>
      </c>
      <c r="Z816" s="58">
        <f t="shared" si="236"/>
        <v>-7.2195000000000036</v>
      </c>
      <c r="AA816" s="58">
        <f t="shared" si="237"/>
        <v>81.820999999999998</v>
      </c>
      <c r="AB816" s="58"/>
      <c r="AC816" s="58">
        <f t="shared" si="238"/>
        <v>103.76</v>
      </c>
      <c r="AD816" s="58" t="e">
        <f>IF(B816&lt;&gt;0,VLOOKUP(B816,#REF!,2,FALSE),"")</f>
        <v>#REF!</v>
      </c>
      <c r="AF816" s="55">
        <f t="shared" si="227"/>
        <v>-2</v>
      </c>
    </row>
    <row r="817" spans="1:32" s="55" customFormat="1">
      <c r="A817" s="69" t="s">
        <v>2920</v>
      </c>
      <c r="B817" s="129"/>
      <c r="C817" s="129" t="s">
        <v>2921</v>
      </c>
      <c r="D817" s="230"/>
      <c r="E817" s="230"/>
      <c r="F817" s="230"/>
      <c r="G817" s="22"/>
      <c r="H817" s="230"/>
      <c r="I817" s="445"/>
      <c r="J817" s="440"/>
      <c r="K817" s="440"/>
      <c r="L817" s="440"/>
      <c r="M817" s="440"/>
      <c r="N817" s="440"/>
      <c r="O817" s="440"/>
      <c r="P817" s="492"/>
      <c r="Q817" s="147">
        <f t="shared" si="235"/>
        <v>0</v>
      </c>
      <c r="R817" s="440"/>
      <c r="S817" s="148">
        <f t="shared" si="239"/>
        <v>0</v>
      </c>
      <c r="T817" s="148" t="str">
        <f t="shared" si="233"/>
        <v xml:space="preserve"> </v>
      </c>
      <c r="U817" s="148">
        <f t="shared" si="230"/>
        <v>0</v>
      </c>
      <c r="V817" s="330"/>
      <c r="W817" s="330"/>
      <c r="X817" s="58" t="str">
        <f>IF(B817&lt;&gt;0,VLOOKUP(B817,#REF!,4,FALSE),"")</f>
        <v/>
      </c>
      <c r="Y817" s="334" t="s">
        <v>1891</v>
      </c>
      <c r="Z817" s="58"/>
      <c r="AA817" s="58">
        <f t="shared" si="237"/>
        <v>0</v>
      </c>
      <c r="AB817" s="58"/>
      <c r="AC817" s="58">
        <f t="shared" si="238"/>
        <v>0</v>
      </c>
      <c r="AD817" s="58" t="str">
        <f>IF(B817&lt;&gt;0,VLOOKUP(B817,#REF!,2,FALSE),"")</f>
        <v/>
      </c>
      <c r="AE817" s="55">
        <v>1</v>
      </c>
      <c r="AF817" s="55">
        <f t="shared" si="227"/>
        <v>1</v>
      </c>
    </row>
    <row r="818" spans="1:32" s="55" customFormat="1" ht="75">
      <c r="A818" s="235" t="s">
        <v>3609</v>
      </c>
      <c r="B818" s="20">
        <v>101875</v>
      </c>
      <c r="C818" s="439" t="s">
        <v>3763</v>
      </c>
      <c r="D818" s="21" t="s">
        <v>12</v>
      </c>
      <c r="E818" s="21" t="s">
        <v>17</v>
      </c>
      <c r="F818" s="22">
        <v>1</v>
      </c>
      <c r="G818" s="22">
        <f t="shared" si="234"/>
        <v>316.88</v>
      </c>
      <c r="H818" s="22">
        <f>ROUND(G818*(1+$X$13),2)</f>
        <v>401.84</v>
      </c>
      <c r="I818" s="147">
        <f>ROUND(H818*F818,2)</f>
        <v>401.84</v>
      </c>
      <c r="J818" s="148"/>
      <c r="K818" s="148"/>
      <c r="L818" s="148"/>
      <c r="M818" s="148">
        <v>353.01</v>
      </c>
      <c r="N818" s="148">
        <v>447.65</v>
      </c>
      <c r="O818" s="148">
        <v>447.65</v>
      </c>
      <c r="P818" s="494"/>
      <c r="Q818" s="147">
        <f t="shared" si="235"/>
        <v>0</v>
      </c>
      <c r="R818" s="148"/>
      <c r="S818" s="148">
        <f t="shared" si="239"/>
        <v>0</v>
      </c>
      <c r="T818" s="148">
        <f t="shared" si="233"/>
        <v>1</v>
      </c>
      <c r="U818" s="148">
        <f t="shared" si="230"/>
        <v>447.65</v>
      </c>
      <c r="V818" s="379"/>
      <c r="W818" s="379"/>
      <c r="X818" s="58" t="e">
        <f>IF(B818&lt;&gt;0,VLOOKUP(B818,#REF!,4,FALSE),"")</f>
        <v>#REF!</v>
      </c>
      <c r="Y818" s="334" t="s">
        <v>3245</v>
      </c>
      <c r="Z818" s="58">
        <f t="shared" si="236"/>
        <v>-55.920000000000016</v>
      </c>
      <c r="AA818" s="58">
        <f t="shared" si="237"/>
        <v>316.88</v>
      </c>
      <c r="AB818" s="58"/>
      <c r="AC818" s="58">
        <f t="shared" si="238"/>
        <v>401.84</v>
      </c>
      <c r="AD818" s="58" t="e">
        <f>IF(B818&lt;&gt;0,VLOOKUP(B818,#REF!,2,FALSE),"")</f>
        <v>#REF!</v>
      </c>
      <c r="AE818" s="55">
        <v>1</v>
      </c>
      <c r="AF818" s="55">
        <f t="shared" si="227"/>
        <v>0</v>
      </c>
    </row>
    <row r="819" spans="1:32" s="55" customFormat="1">
      <c r="A819" s="21" t="s">
        <v>2922</v>
      </c>
      <c r="B819" s="20">
        <v>93673</v>
      </c>
      <c r="C819" s="19" t="s">
        <v>2923</v>
      </c>
      <c r="D819" s="21" t="s">
        <v>12</v>
      </c>
      <c r="E819" s="21" t="s">
        <v>17</v>
      </c>
      <c r="F819" s="22">
        <v>1</v>
      </c>
      <c r="G819" s="22">
        <f t="shared" si="234"/>
        <v>73.057500000000005</v>
      </c>
      <c r="H819" s="22">
        <f>ROUND(G819*(1+$X$13),2)</f>
        <v>92.64</v>
      </c>
      <c r="I819" s="147">
        <f>ROUND(H819*F819,2)</f>
        <v>92.64</v>
      </c>
      <c r="J819" s="148"/>
      <c r="K819" s="148"/>
      <c r="L819" s="148"/>
      <c r="M819" s="148">
        <v>81.39</v>
      </c>
      <c r="N819" s="148">
        <v>103.21</v>
      </c>
      <c r="O819" s="148">
        <v>103.21</v>
      </c>
      <c r="P819" s="494"/>
      <c r="Q819" s="147">
        <f t="shared" si="235"/>
        <v>0</v>
      </c>
      <c r="R819" s="148"/>
      <c r="S819" s="148">
        <f t="shared" si="239"/>
        <v>0</v>
      </c>
      <c r="T819" s="148">
        <f t="shared" si="233"/>
        <v>1</v>
      </c>
      <c r="U819" s="148">
        <f t="shared" si="230"/>
        <v>103.21</v>
      </c>
      <c r="V819" s="379"/>
      <c r="W819" s="379"/>
      <c r="X819" s="58" t="e">
        <f>IF(B819&lt;&gt;0,VLOOKUP(B819,#REF!,4,FALSE),"")</f>
        <v>#REF!</v>
      </c>
      <c r="Y819" s="334" t="s">
        <v>3244</v>
      </c>
      <c r="Z819" s="58">
        <f t="shared" si="236"/>
        <v>-12.892499999999998</v>
      </c>
      <c r="AA819" s="58">
        <f t="shared" si="237"/>
        <v>73.057500000000005</v>
      </c>
      <c r="AB819" s="58"/>
      <c r="AC819" s="58">
        <f t="shared" si="238"/>
        <v>92.64</v>
      </c>
      <c r="AD819" s="58" t="e">
        <f>IF(B819&lt;&gt;0,VLOOKUP(B819,#REF!,2,FALSE),"")</f>
        <v>#REF!</v>
      </c>
      <c r="AE819" s="55">
        <v>2</v>
      </c>
      <c r="AF819" s="55">
        <f t="shared" si="227"/>
        <v>1</v>
      </c>
    </row>
    <row r="820" spans="1:32" s="55" customFormat="1" ht="45">
      <c r="A820" s="235" t="s">
        <v>3610</v>
      </c>
      <c r="B820" s="20">
        <v>1575</v>
      </c>
      <c r="C820" s="439" t="s">
        <v>3759</v>
      </c>
      <c r="D820" s="21" t="s">
        <v>12</v>
      </c>
      <c r="E820" s="21" t="s">
        <v>17</v>
      </c>
      <c r="F820" s="22">
        <v>2</v>
      </c>
      <c r="G820" s="22">
        <f t="shared" si="234"/>
        <v>1.5470000000000002</v>
      </c>
      <c r="H820" s="22">
        <f>ROUND(G820*(1+$X$13),2)</f>
        <v>1.96</v>
      </c>
      <c r="I820" s="147">
        <f>ROUND(H820*F820,2)</f>
        <v>3.92</v>
      </c>
      <c r="J820" s="148"/>
      <c r="K820" s="148"/>
      <c r="L820" s="148"/>
      <c r="M820" s="148">
        <v>1.72</v>
      </c>
      <c r="N820" s="148">
        <v>2.1800000000000002</v>
      </c>
      <c r="O820" s="148">
        <v>4.3600000000000003</v>
      </c>
      <c r="P820" s="494"/>
      <c r="Q820" s="147">
        <f t="shared" si="235"/>
        <v>0</v>
      </c>
      <c r="R820" s="148"/>
      <c r="S820" s="148">
        <f t="shared" si="239"/>
        <v>0</v>
      </c>
      <c r="T820" s="148">
        <f t="shared" si="233"/>
        <v>2</v>
      </c>
      <c r="U820" s="148">
        <f t="shared" si="230"/>
        <v>4.3600000000000003</v>
      </c>
      <c r="V820" s="379"/>
      <c r="W820" s="379"/>
      <c r="X820" s="57" t="e">
        <f>IF(B820&lt;&gt;0,VLOOKUP(B820,#REF!,4,FALSE),"")</f>
        <v>#REF!</v>
      </c>
      <c r="Y820" s="334" t="s">
        <v>1861</v>
      </c>
      <c r="Z820" s="58">
        <f t="shared" si="236"/>
        <v>-0.27299999999999991</v>
      </c>
      <c r="AA820" s="58">
        <f t="shared" si="237"/>
        <v>3.0940000000000003</v>
      </c>
      <c r="AB820" s="58"/>
      <c r="AC820" s="58">
        <f t="shared" si="238"/>
        <v>3.92</v>
      </c>
      <c r="AD820" s="58" t="e">
        <f>IF(B820&lt;&gt;0,VLOOKUP(B820,#REF!,2,FALSE),"")</f>
        <v>#REF!</v>
      </c>
      <c r="AE820" s="55">
        <v>14</v>
      </c>
      <c r="AF820" s="55">
        <f t="shared" si="227"/>
        <v>12</v>
      </c>
    </row>
    <row r="821" spans="1:32" s="55" customFormat="1" ht="45">
      <c r="A821" s="235" t="s">
        <v>3611</v>
      </c>
      <c r="B821" s="20">
        <v>1577</v>
      </c>
      <c r="C821" s="439" t="s">
        <v>3747</v>
      </c>
      <c r="D821" s="21" t="s">
        <v>12</v>
      </c>
      <c r="E821" s="21" t="s">
        <v>17</v>
      </c>
      <c r="F821" s="22">
        <v>14</v>
      </c>
      <c r="G821" s="22">
        <f t="shared" si="234"/>
        <v>2.4055</v>
      </c>
      <c r="H821" s="22">
        <f>ROUND(G821*(1+$X$13),2)</f>
        <v>3.05</v>
      </c>
      <c r="I821" s="147">
        <f>ROUND(H821*F821,2)</f>
        <v>42.7</v>
      </c>
      <c r="J821" s="148"/>
      <c r="K821" s="148"/>
      <c r="L821" s="148"/>
      <c r="M821" s="148">
        <v>2.68</v>
      </c>
      <c r="N821" s="148">
        <v>3.4</v>
      </c>
      <c r="O821" s="148">
        <v>47.6</v>
      </c>
      <c r="P821" s="494"/>
      <c r="Q821" s="147">
        <f t="shared" si="235"/>
        <v>0</v>
      </c>
      <c r="R821" s="148"/>
      <c r="S821" s="148">
        <f t="shared" si="239"/>
        <v>0</v>
      </c>
      <c r="T821" s="148">
        <f t="shared" si="233"/>
        <v>14</v>
      </c>
      <c r="U821" s="148">
        <f t="shared" si="230"/>
        <v>47.6</v>
      </c>
      <c r="V821" s="379"/>
      <c r="W821" s="379"/>
      <c r="X821" s="57" t="e">
        <f>IF(B821&lt;&gt;0,VLOOKUP(B821,#REF!,4,FALSE),"")</f>
        <v>#REF!</v>
      </c>
      <c r="Y821" s="334" t="s">
        <v>1894</v>
      </c>
      <c r="Z821" s="58">
        <f t="shared" si="236"/>
        <v>-0.4245000000000001</v>
      </c>
      <c r="AA821" s="58">
        <f t="shared" si="237"/>
        <v>33.677</v>
      </c>
      <c r="AB821" s="58"/>
      <c r="AC821" s="58">
        <f t="shared" si="238"/>
        <v>42.699999999999996</v>
      </c>
      <c r="AD821" s="58" t="e">
        <f>IF(B821&lt;&gt;0,VLOOKUP(B821,#REF!,2,FALSE),"")</f>
        <v>#REF!</v>
      </c>
      <c r="AF821" s="55">
        <f t="shared" si="227"/>
        <v>-14</v>
      </c>
    </row>
    <row r="822" spans="1:32" s="55" customFormat="1">
      <c r="A822" s="69" t="s">
        <v>2924</v>
      </c>
      <c r="B822" s="129"/>
      <c r="C822" s="129" t="s">
        <v>2925</v>
      </c>
      <c r="D822" s="230"/>
      <c r="E822" s="230"/>
      <c r="F822" s="230"/>
      <c r="G822" s="22"/>
      <c r="H822" s="230"/>
      <c r="I822" s="445"/>
      <c r="J822" s="440"/>
      <c r="K822" s="440"/>
      <c r="L822" s="440"/>
      <c r="M822" s="440"/>
      <c r="N822" s="440"/>
      <c r="O822" s="440"/>
      <c r="P822" s="492"/>
      <c r="Q822" s="147">
        <f t="shared" si="235"/>
        <v>0</v>
      </c>
      <c r="R822" s="440"/>
      <c r="S822" s="148">
        <f t="shared" si="239"/>
        <v>0</v>
      </c>
      <c r="T822" s="148" t="str">
        <f t="shared" si="233"/>
        <v xml:space="preserve"> </v>
      </c>
      <c r="U822" s="148">
        <f t="shared" si="230"/>
        <v>0</v>
      </c>
      <c r="V822" s="330"/>
      <c r="W822" s="330"/>
      <c r="X822" s="58" t="str">
        <f>IF(B822&lt;&gt;0,VLOOKUP(B822,#REF!,4,FALSE),"")</f>
        <v/>
      </c>
      <c r="Y822" s="334" t="s">
        <v>1891</v>
      </c>
      <c r="Z822" s="58"/>
      <c r="AA822" s="58">
        <f t="shared" si="237"/>
        <v>0</v>
      </c>
      <c r="AB822" s="58"/>
      <c r="AC822" s="58">
        <f t="shared" si="238"/>
        <v>0</v>
      </c>
      <c r="AD822" s="58" t="str">
        <f>IF(B822&lt;&gt;0,VLOOKUP(B822,#REF!,2,FALSE),"")</f>
        <v/>
      </c>
      <c r="AE822" s="55">
        <v>1</v>
      </c>
      <c r="AF822" s="55">
        <f t="shared" si="227"/>
        <v>1</v>
      </c>
    </row>
    <row r="823" spans="1:32" s="55" customFormat="1" ht="75">
      <c r="A823" s="235" t="s">
        <v>3612</v>
      </c>
      <c r="B823" s="20">
        <v>101875</v>
      </c>
      <c r="C823" s="439" t="s">
        <v>3763</v>
      </c>
      <c r="D823" s="21" t="s">
        <v>12</v>
      </c>
      <c r="E823" s="21" t="s">
        <v>17</v>
      </c>
      <c r="F823" s="22">
        <v>1</v>
      </c>
      <c r="G823" s="22">
        <f t="shared" si="234"/>
        <v>316.88</v>
      </c>
      <c r="H823" s="22">
        <f>ROUND(G823*(1+$X$13),2)</f>
        <v>401.84</v>
      </c>
      <c r="I823" s="147">
        <f>ROUND(H823*F823,2)</f>
        <v>401.84</v>
      </c>
      <c r="J823" s="148"/>
      <c r="K823" s="148"/>
      <c r="L823" s="148"/>
      <c r="M823" s="148">
        <v>353.01</v>
      </c>
      <c r="N823" s="148">
        <v>447.65</v>
      </c>
      <c r="O823" s="148">
        <v>447.65</v>
      </c>
      <c r="P823" s="494"/>
      <c r="Q823" s="147">
        <f t="shared" si="235"/>
        <v>0</v>
      </c>
      <c r="R823" s="148"/>
      <c r="S823" s="148">
        <f t="shared" si="239"/>
        <v>0</v>
      </c>
      <c r="T823" s="148">
        <f t="shared" si="233"/>
        <v>1</v>
      </c>
      <c r="U823" s="148">
        <f t="shared" si="230"/>
        <v>447.65</v>
      </c>
      <c r="V823" s="379"/>
      <c r="W823" s="379"/>
      <c r="X823" s="58" t="e">
        <f>IF(B823&lt;&gt;0,VLOOKUP(B823,#REF!,4,FALSE),"")</f>
        <v>#REF!</v>
      </c>
      <c r="Y823" s="334" t="s">
        <v>3245</v>
      </c>
      <c r="Z823" s="58">
        <f t="shared" si="236"/>
        <v>-55.920000000000016</v>
      </c>
      <c r="AA823" s="58">
        <f t="shared" si="237"/>
        <v>316.88</v>
      </c>
      <c r="AB823" s="58"/>
      <c r="AC823" s="58">
        <f t="shared" si="238"/>
        <v>401.84</v>
      </c>
      <c r="AD823" s="58" t="e">
        <f>IF(B823&lt;&gt;0,VLOOKUP(B823,#REF!,2,FALSE),"")</f>
        <v>#REF!</v>
      </c>
      <c r="AE823" s="55">
        <v>1</v>
      </c>
      <c r="AF823" s="55">
        <f t="shared" si="227"/>
        <v>0</v>
      </c>
    </row>
    <row r="824" spans="1:32" s="55" customFormat="1">
      <c r="A824" s="21" t="s">
        <v>2926</v>
      </c>
      <c r="B824" s="20">
        <v>93668</v>
      </c>
      <c r="C824" s="19" t="s">
        <v>2927</v>
      </c>
      <c r="D824" s="21" t="s">
        <v>12</v>
      </c>
      <c r="E824" s="21" t="s">
        <v>17</v>
      </c>
      <c r="F824" s="22">
        <v>1</v>
      </c>
      <c r="G824" s="22">
        <f t="shared" si="234"/>
        <v>59.202500000000008</v>
      </c>
      <c r="H824" s="22">
        <f>ROUND(G824*(1+$X$13),2)</f>
        <v>75.069999999999993</v>
      </c>
      <c r="I824" s="147">
        <f>ROUND(H824*F824,2)</f>
        <v>75.069999999999993</v>
      </c>
      <c r="J824" s="148"/>
      <c r="K824" s="148"/>
      <c r="L824" s="148"/>
      <c r="M824" s="148">
        <v>65.95</v>
      </c>
      <c r="N824" s="148">
        <v>83.63</v>
      </c>
      <c r="O824" s="148">
        <v>83.63</v>
      </c>
      <c r="P824" s="494"/>
      <c r="Q824" s="147">
        <f t="shared" si="235"/>
        <v>0</v>
      </c>
      <c r="R824" s="148"/>
      <c r="S824" s="148">
        <f t="shared" si="239"/>
        <v>0</v>
      </c>
      <c r="T824" s="148">
        <f t="shared" si="233"/>
        <v>1</v>
      </c>
      <c r="U824" s="148">
        <f t="shared" si="230"/>
        <v>83.63</v>
      </c>
      <c r="V824" s="379"/>
      <c r="W824" s="379"/>
      <c r="X824" s="58" t="e">
        <f>IF(B824&lt;&gt;0,VLOOKUP(B824,#REF!,4,FALSE),"")</f>
        <v>#REF!</v>
      </c>
      <c r="Y824" s="334" t="s">
        <v>3241</v>
      </c>
      <c r="Z824" s="58">
        <f t="shared" si="236"/>
        <v>-10.447499999999998</v>
      </c>
      <c r="AA824" s="58">
        <f t="shared" si="237"/>
        <v>59.202500000000008</v>
      </c>
      <c r="AB824" s="58"/>
      <c r="AC824" s="58">
        <f t="shared" si="238"/>
        <v>75.069999999999993</v>
      </c>
      <c r="AD824" s="58" t="e">
        <f>IF(B824&lt;&gt;0,VLOOKUP(B824,#REF!,2,FALSE),"")</f>
        <v>#REF!</v>
      </c>
      <c r="AE824" s="55">
        <v>2</v>
      </c>
      <c r="AF824" s="55">
        <f t="shared" si="227"/>
        <v>1</v>
      </c>
    </row>
    <row r="825" spans="1:32" s="55" customFormat="1">
      <c r="A825" s="21" t="s">
        <v>2928</v>
      </c>
      <c r="B825" s="20">
        <v>101894</v>
      </c>
      <c r="C825" s="19" t="s">
        <v>2929</v>
      </c>
      <c r="D825" s="21" t="s">
        <v>12</v>
      </c>
      <c r="E825" s="21" t="s">
        <v>17</v>
      </c>
      <c r="F825" s="22">
        <v>2</v>
      </c>
      <c r="G825" s="22">
        <f t="shared" si="234"/>
        <v>120.09649999999999</v>
      </c>
      <c r="H825" s="22">
        <f>ROUND(G825*(1+$X$13),2)</f>
        <v>152.29</v>
      </c>
      <c r="I825" s="147">
        <f>ROUND(H825*F825,2)</f>
        <v>304.58</v>
      </c>
      <c r="J825" s="148"/>
      <c r="K825" s="148"/>
      <c r="L825" s="148"/>
      <c r="M825" s="148">
        <v>133.79</v>
      </c>
      <c r="N825" s="148">
        <v>169.66</v>
      </c>
      <c r="O825" s="148">
        <v>339.32</v>
      </c>
      <c r="P825" s="494"/>
      <c r="Q825" s="147">
        <f t="shared" si="235"/>
        <v>0</v>
      </c>
      <c r="R825" s="148"/>
      <c r="S825" s="148">
        <f t="shared" si="239"/>
        <v>0</v>
      </c>
      <c r="T825" s="148">
        <f t="shared" si="233"/>
        <v>2</v>
      </c>
      <c r="U825" s="148">
        <f t="shared" si="230"/>
        <v>339.32</v>
      </c>
      <c r="V825" s="379"/>
      <c r="W825" s="379"/>
      <c r="X825" s="58" t="e">
        <f>IF(B825&lt;&gt;0,VLOOKUP(B825,#REF!,4,FALSE),"")</f>
        <v>#REF!</v>
      </c>
      <c r="Y825" s="334" t="s">
        <v>3250</v>
      </c>
      <c r="Z825" s="58">
        <f t="shared" si="236"/>
        <v>-21.1935</v>
      </c>
      <c r="AA825" s="58">
        <f t="shared" si="237"/>
        <v>240.19299999999998</v>
      </c>
      <c r="AB825" s="58"/>
      <c r="AC825" s="58">
        <f t="shared" si="238"/>
        <v>304.58</v>
      </c>
      <c r="AD825" s="58" t="e">
        <f>IF(B825&lt;&gt;0,VLOOKUP(B825,#REF!,2,FALSE),"")</f>
        <v>#REF!</v>
      </c>
      <c r="AE825" s="55">
        <v>3</v>
      </c>
      <c r="AF825" s="55">
        <f t="shared" si="227"/>
        <v>1</v>
      </c>
    </row>
    <row r="826" spans="1:32" s="55" customFormat="1" ht="45">
      <c r="A826" s="235" t="s">
        <v>3613</v>
      </c>
      <c r="B826" s="20">
        <v>1575</v>
      </c>
      <c r="C826" s="439" t="s">
        <v>3759</v>
      </c>
      <c r="D826" s="21" t="s">
        <v>12</v>
      </c>
      <c r="E826" s="21" t="s">
        <v>17</v>
      </c>
      <c r="F826" s="22">
        <v>3</v>
      </c>
      <c r="G826" s="22">
        <f t="shared" si="234"/>
        <v>1.5470000000000002</v>
      </c>
      <c r="H826" s="22">
        <f>ROUND(G826*(1+$X$13),2)</f>
        <v>1.96</v>
      </c>
      <c r="I826" s="147">
        <f>ROUND(H826*F826,2)</f>
        <v>5.88</v>
      </c>
      <c r="J826" s="148"/>
      <c r="K826" s="148"/>
      <c r="L826" s="148"/>
      <c r="M826" s="148">
        <v>1.72</v>
      </c>
      <c r="N826" s="148">
        <v>2.1800000000000002</v>
      </c>
      <c r="O826" s="148">
        <v>6.54</v>
      </c>
      <c r="P826" s="494"/>
      <c r="Q826" s="147">
        <f t="shared" si="235"/>
        <v>0</v>
      </c>
      <c r="R826" s="148"/>
      <c r="S826" s="148">
        <f t="shared" si="239"/>
        <v>0</v>
      </c>
      <c r="T826" s="148">
        <f t="shared" si="233"/>
        <v>3</v>
      </c>
      <c r="U826" s="148">
        <f t="shared" si="230"/>
        <v>6.54</v>
      </c>
      <c r="V826" s="379"/>
      <c r="W826" s="379"/>
      <c r="X826" s="57" t="e">
        <f>IF(B826&lt;&gt;0,VLOOKUP(B826,#REF!,4,FALSE),"")</f>
        <v>#REF!</v>
      </c>
      <c r="Y826" s="334" t="s">
        <v>1861</v>
      </c>
      <c r="Z826" s="58">
        <f t="shared" si="236"/>
        <v>-0.27299999999999991</v>
      </c>
      <c r="AA826" s="58">
        <f t="shared" si="237"/>
        <v>4.641</v>
      </c>
      <c r="AB826" s="58"/>
      <c r="AC826" s="58">
        <f t="shared" si="238"/>
        <v>5.88</v>
      </c>
      <c r="AD826" s="58" t="e">
        <f>IF(B826&lt;&gt;0,VLOOKUP(B826,#REF!,2,FALSE),"")</f>
        <v>#REF!</v>
      </c>
      <c r="AE826" s="55">
        <v>24</v>
      </c>
      <c r="AF826" s="55">
        <f t="shared" si="227"/>
        <v>21</v>
      </c>
    </row>
    <row r="827" spans="1:32" s="55" customFormat="1" ht="45">
      <c r="A827" s="235" t="s">
        <v>3614</v>
      </c>
      <c r="B827" s="20">
        <v>1577</v>
      </c>
      <c r="C827" s="439" t="s">
        <v>3747</v>
      </c>
      <c r="D827" s="21" t="s">
        <v>12</v>
      </c>
      <c r="E827" s="21" t="s">
        <v>17</v>
      </c>
      <c r="F827" s="22">
        <v>24</v>
      </c>
      <c r="G827" s="22">
        <f t="shared" si="234"/>
        <v>2.4055</v>
      </c>
      <c r="H827" s="22">
        <f>ROUND(G827*(1+$X$13),2)</f>
        <v>3.05</v>
      </c>
      <c r="I827" s="147">
        <f>ROUND(H827*F827,2)</f>
        <v>73.2</v>
      </c>
      <c r="J827" s="148"/>
      <c r="K827" s="148"/>
      <c r="L827" s="148"/>
      <c r="M827" s="148">
        <v>2.68</v>
      </c>
      <c r="N827" s="148">
        <v>3.4</v>
      </c>
      <c r="O827" s="148">
        <v>81.599999999999994</v>
      </c>
      <c r="P827" s="494"/>
      <c r="Q827" s="147">
        <f t="shared" si="235"/>
        <v>0</v>
      </c>
      <c r="R827" s="148"/>
      <c r="S827" s="148">
        <f t="shared" si="239"/>
        <v>0</v>
      </c>
      <c r="T827" s="148">
        <f t="shared" si="233"/>
        <v>24</v>
      </c>
      <c r="U827" s="148">
        <f t="shared" si="230"/>
        <v>81.599999999999994</v>
      </c>
      <c r="V827" s="379"/>
      <c r="W827" s="379"/>
      <c r="X827" s="57" t="e">
        <f>IF(B827&lt;&gt;0,VLOOKUP(B827,#REF!,4,FALSE),"")</f>
        <v>#REF!</v>
      </c>
      <c r="Y827" s="334" t="s">
        <v>1894</v>
      </c>
      <c r="Z827" s="58">
        <f t="shared" si="236"/>
        <v>-0.4245000000000001</v>
      </c>
      <c r="AA827" s="58">
        <f t="shared" si="237"/>
        <v>57.731999999999999</v>
      </c>
      <c r="AB827" s="58"/>
      <c r="AC827" s="58">
        <f t="shared" si="238"/>
        <v>73.199999999999989</v>
      </c>
      <c r="AD827" s="58" t="e">
        <f>IF(B827&lt;&gt;0,VLOOKUP(B827,#REF!,2,FALSE),"")</f>
        <v>#REF!</v>
      </c>
      <c r="AF827" s="55">
        <f t="shared" si="227"/>
        <v>-24</v>
      </c>
    </row>
    <row r="828" spans="1:32" s="55" customFormat="1">
      <c r="A828" s="69" t="s">
        <v>2930</v>
      </c>
      <c r="B828" s="129"/>
      <c r="C828" s="129" t="s">
        <v>2931</v>
      </c>
      <c r="D828" s="230"/>
      <c r="E828" s="230"/>
      <c r="F828" s="230"/>
      <c r="G828" s="22"/>
      <c r="H828" s="230"/>
      <c r="I828" s="445"/>
      <c r="J828" s="440"/>
      <c r="K828" s="440"/>
      <c r="L828" s="440"/>
      <c r="M828" s="440"/>
      <c r="N828" s="440"/>
      <c r="O828" s="440"/>
      <c r="P828" s="492"/>
      <c r="Q828" s="147">
        <f t="shared" si="235"/>
        <v>0</v>
      </c>
      <c r="R828" s="440"/>
      <c r="S828" s="148">
        <f t="shared" si="239"/>
        <v>0</v>
      </c>
      <c r="T828" s="148" t="str">
        <f t="shared" si="233"/>
        <v xml:space="preserve"> </v>
      </c>
      <c r="U828" s="148">
        <f t="shared" si="230"/>
        <v>0</v>
      </c>
      <c r="V828" s="330"/>
      <c r="W828" s="330"/>
      <c r="X828" s="58" t="str">
        <f>IF(B828&lt;&gt;0,VLOOKUP(B828,#REF!,4,FALSE),"")</f>
        <v/>
      </c>
      <c r="Y828" s="334" t="s">
        <v>1891</v>
      </c>
      <c r="Z828" s="58"/>
      <c r="AA828" s="58">
        <f t="shared" si="237"/>
        <v>0</v>
      </c>
      <c r="AB828" s="58"/>
      <c r="AC828" s="58">
        <f t="shared" si="238"/>
        <v>0</v>
      </c>
      <c r="AD828" s="58" t="str">
        <f>IF(B828&lt;&gt;0,VLOOKUP(B828,#REF!,2,FALSE),"")</f>
        <v/>
      </c>
      <c r="AE828" s="55">
        <v>1</v>
      </c>
      <c r="AF828" s="55">
        <f t="shared" si="227"/>
        <v>1</v>
      </c>
    </row>
    <row r="829" spans="1:32" s="55" customFormat="1" ht="75">
      <c r="A829" s="235" t="s">
        <v>3615</v>
      </c>
      <c r="B829" s="20">
        <v>101875</v>
      </c>
      <c r="C829" s="439" t="s">
        <v>3763</v>
      </c>
      <c r="D829" s="21" t="s">
        <v>12</v>
      </c>
      <c r="E829" s="21" t="s">
        <v>17</v>
      </c>
      <c r="F829" s="22">
        <v>1</v>
      </c>
      <c r="G829" s="22">
        <f t="shared" si="234"/>
        <v>316.88</v>
      </c>
      <c r="H829" s="22">
        <f>ROUND(G829*(1+$X$13),2)</f>
        <v>401.84</v>
      </c>
      <c r="I829" s="147">
        <f>ROUND(H829*F829,2)</f>
        <v>401.84</v>
      </c>
      <c r="J829" s="148"/>
      <c r="K829" s="148"/>
      <c r="L829" s="148"/>
      <c r="M829" s="148">
        <v>353.01</v>
      </c>
      <c r="N829" s="148">
        <v>447.65</v>
      </c>
      <c r="O829" s="148">
        <v>447.65</v>
      </c>
      <c r="P829" s="494"/>
      <c r="Q829" s="147">
        <f t="shared" si="235"/>
        <v>0</v>
      </c>
      <c r="R829" s="148"/>
      <c r="S829" s="148">
        <f t="shared" si="239"/>
        <v>0</v>
      </c>
      <c r="T829" s="148">
        <f t="shared" si="233"/>
        <v>1</v>
      </c>
      <c r="U829" s="148">
        <f t="shared" si="230"/>
        <v>447.65</v>
      </c>
      <c r="V829" s="379"/>
      <c r="W829" s="379"/>
      <c r="X829" s="58" t="e">
        <f>IF(B829&lt;&gt;0,VLOOKUP(B829,#REF!,4,FALSE),"")</f>
        <v>#REF!</v>
      </c>
      <c r="Y829" s="334" t="s">
        <v>3245</v>
      </c>
      <c r="Z829" s="58">
        <f t="shared" si="236"/>
        <v>-55.920000000000016</v>
      </c>
      <c r="AA829" s="58">
        <f t="shared" si="237"/>
        <v>316.88</v>
      </c>
      <c r="AB829" s="58"/>
      <c r="AC829" s="58">
        <f t="shared" si="238"/>
        <v>401.84</v>
      </c>
      <c r="AD829" s="58" t="e">
        <f>IF(B829&lt;&gt;0,VLOOKUP(B829,#REF!,2,FALSE),"")</f>
        <v>#REF!</v>
      </c>
      <c r="AE829" s="55">
        <v>1</v>
      </c>
      <c r="AF829" s="55">
        <f t="shared" si="227"/>
        <v>0</v>
      </c>
    </row>
    <row r="830" spans="1:32" s="55" customFormat="1">
      <c r="A830" s="21" t="s">
        <v>2932</v>
      </c>
      <c r="B830" s="20">
        <v>101894</v>
      </c>
      <c r="C830" s="19" t="s">
        <v>2486</v>
      </c>
      <c r="D830" s="21" t="s">
        <v>12</v>
      </c>
      <c r="E830" s="21" t="s">
        <v>17</v>
      </c>
      <c r="F830" s="22">
        <v>1</v>
      </c>
      <c r="G830" s="22">
        <f t="shared" si="234"/>
        <v>120.09649999999999</v>
      </c>
      <c r="H830" s="22">
        <f>ROUND(G830*(1+$X$13),2)</f>
        <v>152.29</v>
      </c>
      <c r="I830" s="147">
        <f>ROUND(H830*F830,2)</f>
        <v>152.29</v>
      </c>
      <c r="J830" s="148"/>
      <c r="K830" s="148"/>
      <c r="L830" s="148"/>
      <c r="M830" s="148">
        <v>133.79</v>
      </c>
      <c r="N830" s="148">
        <v>169.66</v>
      </c>
      <c r="O830" s="148">
        <v>169.66</v>
      </c>
      <c r="P830" s="494"/>
      <c r="Q830" s="147">
        <f t="shared" si="235"/>
        <v>0</v>
      </c>
      <c r="R830" s="148"/>
      <c r="S830" s="148">
        <f t="shared" si="239"/>
        <v>0</v>
      </c>
      <c r="T830" s="148">
        <f t="shared" si="233"/>
        <v>1</v>
      </c>
      <c r="U830" s="148">
        <f t="shared" si="230"/>
        <v>169.66</v>
      </c>
      <c r="V830" s="379"/>
      <c r="W830" s="379"/>
      <c r="X830" s="58" t="e">
        <f>IF(B830&lt;&gt;0,VLOOKUP(B830,#REF!,4,FALSE),"")</f>
        <v>#REF!</v>
      </c>
      <c r="Y830" s="334" t="s">
        <v>3250</v>
      </c>
      <c r="Z830" s="58">
        <f t="shared" si="236"/>
        <v>-21.1935</v>
      </c>
      <c r="AA830" s="58">
        <f t="shared" si="237"/>
        <v>120.09649999999999</v>
      </c>
      <c r="AB830" s="58"/>
      <c r="AC830" s="58">
        <f t="shared" si="238"/>
        <v>152.29</v>
      </c>
      <c r="AD830" s="58" t="e">
        <f>IF(B830&lt;&gt;0,VLOOKUP(B830,#REF!,2,FALSE),"")</f>
        <v>#REF!</v>
      </c>
      <c r="AE830" s="55">
        <v>2</v>
      </c>
      <c r="AF830" s="55">
        <f t="shared" si="227"/>
        <v>1</v>
      </c>
    </row>
    <row r="831" spans="1:32" s="55" customFormat="1" ht="45">
      <c r="A831" s="235" t="s">
        <v>3616</v>
      </c>
      <c r="B831" s="20">
        <v>1577</v>
      </c>
      <c r="C831" s="439" t="s">
        <v>3747</v>
      </c>
      <c r="D831" s="21" t="s">
        <v>12</v>
      </c>
      <c r="E831" s="21" t="s">
        <v>17</v>
      </c>
      <c r="F831" s="22">
        <v>2</v>
      </c>
      <c r="G831" s="22">
        <f t="shared" si="234"/>
        <v>2.4055</v>
      </c>
      <c r="H831" s="22">
        <f>ROUND(G831*(1+$X$13),2)</f>
        <v>3.05</v>
      </c>
      <c r="I831" s="147">
        <f>ROUND(H831*F831,2)</f>
        <v>6.1</v>
      </c>
      <c r="J831" s="148"/>
      <c r="K831" s="148"/>
      <c r="L831" s="148"/>
      <c r="M831" s="148">
        <v>2.68</v>
      </c>
      <c r="N831" s="148">
        <v>3.4</v>
      </c>
      <c r="O831" s="148">
        <v>6.8</v>
      </c>
      <c r="P831" s="494"/>
      <c r="Q831" s="147">
        <f t="shared" si="235"/>
        <v>0</v>
      </c>
      <c r="R831" s="148"/>
      <c r="S831" s="148">
        <f t="shared" si="239"/>
        <v>0</v>
      </c>
      <c r="T831" s="148">
        <f t="shared" si="233"/>
        <v>2</v>
      </c>
      <c r="U831" s="148">
        <f t="shared" si="230"/>
        <v>6.8</v>
      </c>
      <c r="V831" s="379"/>
      <c r="W831" s="379"/>
      <c r="X831" s="57" t="e">
        <f>IF(B831&lt;&gt;0,VLOOKUP(B831,#REF!,4,FALSE),"")</f>
        <v>#REF!</v>
      </c>
      <c r="Y831" s="334" t="s">
        <v>1894</v>
      </c>
      <c r="Z831" s="58">
        <f t="shared" si="236"/>
        <v>-0.4245000000000001</v>
      </c>
      <c r="AA831" s="58">
        <f t="shared" si="237"/>
        <v>4.8109999999999999</v>
      </c>
      <c r="AB831" s="58"/>
      <c r="AC831" s="58">
        <f t="shared" si="238"/>
        <v>6.1</v>
      </c>
      <c r="AD831" s="58" t="e">
        <f>IF(B831&lt;&gt;0,VLOOKUP(B831,#REF!,2,FALSE),"")</f>
        <v>#REF!</v>
      </c>
      <c r="AE831" s="55">
        <v>14</v>
      </c>
      <c r="AF831" s="55">
        <f t="shared" si="227"/>
        <v>12</v>
      </c>
    </row>
    <row r="832" spans="1:32" s="55" customFormat="1" ht="45">
      <c r="A832" s="235" t="s">
        <v>3617</v>
      </c>
      <c r="B832" s="20">
        <v>1579</v>
      </c>
      <c r="C832" s="439" t="s">
        <v>3755</v>
      </c>
      <c r="D832" s="21" t="s">
        <v>12</v>
      </c>
      <c r="E832" s="21" t="s">
        <v>17</v>
      </c>
      <c r="F832" s="22">
        <v>14</v>
      </c>
      <c r="G832" s="22">
        <f t="shared" si="234"/>
        <v>5.2104999999999997</v>
      </c>
      <c r="H832" s="22">
        <f>ROUND(G832*(1+$X$13),2)</f>
        <v>6.61</v>
      </c>
      <c r="I832" s="147">
        <f>ROUND(H832*F832,2)</f>
        <v>92.54</v>
      </c>
      <c r="J832" s="148"/>
      <c r="K832" s="148"/>
      <c r="L832" s="148"/>
      <c r="M832" s="148">
        <v>5.8</v>
      </c>
      <c r="N832" s="148">
        <v>7.35</v>
      </c>
      <c r="O832" s="148">
        <v>102.9</v>
      </c>
      <c r="P832" s="494"/>
      <c r="Q832" s="147">
        <f t="shared" si="235"/>
        <v>0</v>
      </c>
      <c r="R832" s="148"/>
      <c r="S832" s="148">
        <f t="shared" si="239"/>
        <v>0</v>
      </c>
      <c r="T832" s="148">
        <f t="shared" si="233"/>
        <v>14</v>
      </c>
      <c r="U832" s="148">
        <f t="shared" si="230"/>
        <v>102.9</v>
      </c>
      <c r="V832" s="379"/>
      <c r="W832" s="379"/>
      <c r="X832" s="57" t="e">
        <f>IF(B832&lt;&gt;0,VLOOKUP(B832,#REF!,4,FALSE),"")</f>
        <v>#REF!</v>
      </c>
      <c r="Y832" s="334" t="s">
        <v>1846</v>
      </c>
      <c r="Z832" s="58">
        <f t="shared" si="236"/>
        <v>-0.91950000000000021</v>
      </c>
      <c r="AA832" s="58">
        <f t="shared" si="237"/>
        <v>72.947000000000003</v>
      </c>
      <c r="AB832" s="58"/>
      <c r="AC832" s="58">
        <f t="shared" si="238"/>
        <v>92.54</v>
      </c>
      <c r="AD832" s="58" t="e">
        <f>IF(B832&lt;&gt;0,VLOOKUP(B832,#REF!,2,FALSE),"")</f>
        <v>#REF!</v>
      </c>
      <c r="AF832" s="55">
        <f t="shared" si="227"/>
        <v>-14</v>
      </c>
    </row>
    <row r="833" spans="1:32" s="55" customFormat="1">
      <c r="A833" s="69" t="s">
        <v>2933</v>
      </c>
      <c r="B833" s="129"/>
      <c r="C833" s="129" t="s">
        <v>2934</v>
      </c>
      <c r="D833" s="230"/>
      <c r="E833" s="230"/>
      <c r="F833" s="230"/>
      <c r="G833" s="22"/>
      <c r="H833" s="230"/>
      <c r="I833" s="445"/>
      <c r="J833" s="440"/>
      <c r="K833" s="440"/>
      <c r="L833" s="440"/>
      <c r="M833" s="440"/>
      <c r="N833" s="440"/>
      <c r="O833" s="440"/>
      <c r="P833" s="492"/>
      <c r="Q833" s="147">
        <f t="shared" si="235"/>
        <v>0</v>
      </c>
      <c r="R833" s="440"/>
      <c r="S833" s="148">
        <f t="shared" si="239"/>
        <v>0</v>
      </c>
      <c r="T833" s="148" t="str">
        <f t="shared" si="233"/>
        <v xml:space="preserve"> </v>
      </c>
      <c r="U833" s="148">
        <f t="shared" si="230"/>
        <v>0</v>
      </c>
      <c r="V833" s="330"/>
      <c r="W833" s="330"/>
      <c r="X833" s="58" t="str">
        <f>IF(B833&lt;&gt;0,VLOOKUP(B833,#REF!,4,FALSE),"")</f>
        <v/>
      </c>
      <c r="Y833" s="334" t="s">
        <v>1891</v>
      </c>
      <c r="Z833" s="58"/>
      <c r="AA833" s="58">
        <f t="shared" si="237"/>
        <v>0</v>
      </c>
      <c r="AB833" s="58"/>
      <c r="AC833" s="58">
        <f t="shared" si="238"/>
        <v>0</v>
      </c>
      <c r="AD833" s="58" t="str">
        <f>IF(B833&lt;&gt;0,VLOOKUP(B833,#REF!,2,FALSE),"")</f>
        <v/>
      </c>
      <c r="AE833" s="55">
        <v>1</v>
      </c>
      <c r="AF833" s="55">
        <f t="shared" si="227"/>
        <v>1</v>
      </c>
    </row>
    <row r="834" spans="1:32" s="55" customFormat="1" ht="60">
      <c r="A834" s="21" t="s">
        <v>2935</v>
      </c>
      <c r="B834" s="20">
        <v>101875</v>
      </c>
      <c r="C834" s="19" t="s">
        <v>2936</v>
      </c>
      <c r="D834" s="21" t="s">
        <v>12</v>
      </c>
      <c r="E834" s="21" t="s">
        <v>17</v>
      </c>
      <c r="F834" s="22">
        <v>1</v>
      </c>
      <c r="G834" s="22">
        <f t="shared" si="234"/>
        <v>316.88</v>
      </c>
      <c r="H834" s="22">
        <f>ROUND(G834*(1+$X$13),2)</f>
        <v>401.84</v>
      </c>
      <c r="I834" s="147">
        <f>ROUND(H834*F834,2)</f>
        <v>401.84</v>
      </c>
      <c r="J834" s="148"/>
      <c r="K834" s="148"/>
      <c r="L834" s="148"/>
      <c r="M834" s="148">
        <v>353.01</v>
      </c>
      <c r="N834" s="148">
        <v>447.65</v>
      </c>
      <c r="O834" s="148">
        <v>447.65</v>
      </c>
      <c r="P834" s="494"/>
      <c r="Q834" s="147">
        <f t="shared" si="235"/>
        <v>0</v>
      </c>
      <c r="R834" s="148"/>
      <c r="S834" s="148">
        <f t="shared" si="239"/>
        <v>0</v>
      </c>
      <c r="T834" s="148">
        <f t="shared" si="233"/>
        <v>1</v>
      </c>
      <c r="U834" s="148">
        <f t="shared" si="230"/>
        <v>447.65</v>
      </c>
      <c r="V834" s="379"/>
      <c r="W834" s="379"/>
      <c r="X834" s="58" t="e">
        <f>IF(B834&lt;&gt;0,VLOOKUP(B834,#REF!,4,FALSE),"")</f>
        <v>#REF!</v>
      </c>
      <c r="Y834" s="334" t="s">
        <v>3245</v>
      </c>
      <c r="Z834" s="58">
        <f t="shared" si="236"/>
        <v>-55.920000000000016</v>
      </c>
      <c r="AA834" s="58">
        <f t="shared" si="237"/>
        <v>316.88</v>
      </c>
      <c r="AB834" s="58"/>
      <c r="AC834" s="58">
        <f t="shared" si="238"/>
        <v>401.84</v>
      </c>
      <c r="AD834" s="58" t="e">
        <f>IF(B834&lt;&gt;0,VLOOKUP(B834,#REF!,2,FALSE),"")</f>
        <v>#REF!</v>
      </c>
      <c r="AE834" s="55">
        <v>1</v>
      </c>
      <c r="AF834" s="55">
        <f t="shared" si="227"/>
        <v>0</v>
      </c>
    </row>
    <row r="835" spans="1:32" s="55" customFormat="1" ht="21.75" customHeight="1">
      <c r="A835" s="21" t="s">
        <v>2937</v>
      </c>
      <c r="B835" s="20">
        <v>101894</v>
      </c>
      <c r="C835" s="19" t="s">
        <v>2487</v>
      </c>
      <c r="D835" s="21" t="s">
        <v>12</v>
      </c>
      <c r="E835" s="21" t="s">
        <v>17</v>
      </c>
      <c r="F835" s="22">
        <v>1</v>
      </c>
      <c r="G835" s="22">
        <f t="shared" si="234"/>
        <v>120.09649999999999</v>
      </c>
      <c r="H835" s="22">
        <f>ROUND(G835*(1+$X$13),2)</f>
        <v>152.29</v>
      </c>
      <c r="I835" s="147">
        <f>ROUND(H835*F835,2)</f>
        <v>152.29</v>
      </c>
      <c r="J835" s="148"/>
      <c r="K835" s="148"/>
      <c r="L835" s="148"/>
      <c r="M835" s="148">
        <v>133.79</v>
      </c>
      <c r="N835" s="148">
        <v>169.66</v>
      </c>
      <c r="O835" s="148">
        <v>169.66</v>
      </c>
      <c r="P835" s="494"/>
      <c r="Q835" s="147">
        <f t="shared" si="235"/>
        <v>0</v>
      </c>
      <c r="R835" s="148"/>
      <c r="S835" s="148">
        <f t="shared" si="239"/>
        <v>0</v>
      </c>
      <c r="T835" s="148">
        <f t="shared" si="233"/>
        <v>1</v>
      </c>
      <c r="U835" s="148">
        <f t="shared" si="230"/>
        <v>169.66</v>
      </c>
      <c r="V835" s="379"/>
      <c r="W835" s="379"/>
      <c r="X835" s="58" t="e">
        <f>IF(B835&lt;&gt;0,VLOOKUP(B835,#REF!,4,FALSE),"")</f>
        <v>#REF!</v>
      </c>
      <c r="Y835" s="334" t="s">
        <v>3250</v>
      </c>
      <c r="Z835" s="58">
        <f t="shared" si="236"/>
        <v>-21.1935</v>
      </c>
      <c r="AA835" s="58">
        <f t="shared" si="237"/>
        <v>120.09649999999999</v>
      </c>
      <c r="AB835" s="58"/>
      <c r="AC835" s="58">
        <f t="shared" si="238"/>
        <v>152.29</v>
      </c>
      <c r="AD835" s="58" t="e">
        <f>IF(B835&lt;&gt;0,VLOOKUP(B835,#REF!,2,FALSE),"")</f>
        <v>#REF!</v>
      </c>
      <c r="AE835" s="55">
        <v>2</v>
      </c>
      <c r="AF835" s="55">
        <f t="shared" si="227"/>
        <v>1</v>
      </c>
    </row>
    <row r="836" spans="1:32" s="55" customFormat="1" ht="45">
      <c r="A836" s="235" t="s">
        <v>3619</v>
      </c>
      <c r="B836" s="20">
        <v>1577</v>
      </c>
      <c r="C836" s="439" t="s">
        <v>3747</v>
      </c>
      <c r="D836" s="21" t="s">
        <v>12</v>
      </c>
      <c r="E836" s="21" t="s">
        <v>17</v>
      </c>
      <c r="F836" s="22">
        <v>2</v>
      </c>
      <c r="G836" s="22">
        <f t="shared" si="234"/>
        <v>2.4055</v>
      </c>
      <c r="H836" s="22">
        <f>ROUND(G836*(1+$X$13),2)</f>
        <v>3.05</v>
      </c>
      <c r="I836" s="147">
        <f>ROUND(H836*F836,2)</f>
        <v>6.1</v>
      </c>
      <c r="J836" s="148"/>
      <c r="K836" s="148"/>
      <c r="L836" s="148"/>
      <c r="M836" s="148">
        <v>2.68</v>
      </c>
      <c r="N836" s="148">
        <v>3.4</v>
      </c>
      <c r="O836" s="148">
        <v>6.8</v>
      </c>
      <c r="P836" s="494"/>
      <c r="Q836" s="147">
        <f t="shared" si="235"/>
        <v>0</v>
      </c>
      <c r="R836" s="148"/>
      <c r="S836" s="148">
        <f t="shared" si="239"/>
        <v>0</v>
      </c>
      <c r="T836" s="148">
        <f t="shared" si="233"/>
        <v>2</v>
      </c>
      <c r="U836" s="148">
        <f t="shared" si="230"/>
        <v>6.8</v>
      </c>
      <c r="V836" s="379"/>
      <c r="W836" s="379"/>
      <c r="X836" s="57" t="e">
        <f>IF(B836&lt;&gt;0,VLOOKUP(B836,#REF!,4,FALSE),"")</f>
        <v>#REF!</v>
      </c>
      <c r="Y836" s="334" t="s">
        <v>1894</v>
      </c>
      <c r="Z836" s="58">
        <f t="shared" si="236"/>
        <v>-0.4245000000000001</v>
      </c>
      <c r="AA836" s="58">
        <f t="shared" si="237"/>
        <v>4.8109999999999999</v>
      </c>
      <c r="AB836" s="58"/>
      <c r="AC836" s="58">
        <f t="shared" si="238"/>
        <v>6.1</v>
      </c>
      <c r="AD836" s="58" t="e">
        <f>IF(B836&lt;&gt;0,VLOOKUP(B836,#REF!,2,FALSE),"")</f>
        <v>#REF!</v>
      </c>
      <c r="AE836" s="55">
        <v>14</v>
      </c>
      <c r="AF836" s="55">
        <f t="shared" si="227"/>
        <v>12</v>
      </c>
    </row>
    <row r="837" spans="1:32" s="55" customFormat="1" ht="45">
      <c r="A837" s="235" t="s">
        <v>3620</v>
      </c>
      <c r="B837" s="20">
        <v>1579</v>
      </c>
      <c r="C837" s="439" t="s">
        <v>3755</v>
      </c>
      <c r="D837" s="21" t="s">
        <v>12</v>
      </c>
      <c r="E837" s="21" t="s">
        <v>17</v>
      </c>
      <c r="F837" s="22">
        <v>14</v>
      </c>
      <c r="G837" s="22">
        <f t="shared" si="234"/>
        <v>5.2104999999999997</v>
      </c>
      <c r="H837" s="22">
        <f>ROUND(G837*(1+$X$13),2)</f>
        <v>6.61</v>
      </c>
      <c r="I837" s="147">
        <f>ROUND(H837*F837,2)</f>
        <v>92.54</v>
      </c>
      <c r="J837" s="148"/>
      <c r="K837" s="148"/>
      <c r="L837" s="148"/>
      <c r="M837" s="148">
        <v>5.8</v>
      </c>
      <c r="N837" s="148">
        <v>7.35</v>
      </c>
      <c r="O837" s="148">
        <v>102.9</v>
      </c>
      <c r="P837" s="494"/>
      <c r="Q837" s="147">
        <f>ROUND(P837*N837,2)</f>
        <v>0</v>
      </c>
      <c r="R837" s="148"/>
      <c r="S837" s="148">
        <f t="shared" si="239"/>
        <v>0</v>
      </c>
      <c r="T837" s="148">
        <f t="shared" si="233"/>
        <v>14</v>
      </c>
      <c r="U837" s="148">
        <f t="shared" si="230"/>
        <v>102.9</v>
      </c>
      <c r="V837" s="379"/>
      <c r="W837" s="379"/>
      <c r="X837" s="57" t="e">
        <f>IF(B837&lt;&gt;0,VLOOKUP(B837,#REF!,4,FALSE),"")</f>
        <v>#REF!</v>
      </c>
      <c r="Y837" s="334" t="s">
        <v>1846</v>
      </c>
      <c r="Z837" s="58">
        <f t="shared" si="236"/>
        <v>-0.91950000000000021</v>
      </c>
      <c r="AA837" s="58">
        <f t="shared" si="237"/>
        <v>72.947000000000003</v>
      </c>
      <c r="AB837" s="58"/>
      <c r="AC837" s="58">
        <f t="shared" si="238"/>
        <v>92.54</v>
      </c>
      <c r="AD837" s="58" t="e">
        <f>IF(B837&lt;&gt;0,VLOOKUP(B837,#REF!,2,FALSE),"")</f>
        <v>#REF!</v>
      </c>
      <c r="AF837" s="55">
        <f t="shared" si="227"/>
        <v>-14</v>
      </c>
    </row>
    <row r="838" spans="1:32" s="55" customFormat="1" ht="15" customHeight="1">
      <c r="A838" s="21"/>
      <c r="B838" s="20"/>
      <c r="C838" s="19"/>
      <c r="D838" s="21"/>
      <c r="E838" s="21"/>
      <c r="F838" s="22"/>
      <c r="G838" s="22"/>
      <c r="H838" s="22"/>
      <c r="I838" s="147"/>
      <c r="J838" s="148"/>
      <c r="K838" s="148"/>
      <c r="L838" s="148"/>
      <c r="M838" s="148"/>
      <c r="N838" s="148"/>
      <c r="O838" s="148"/>
      <c r="P838" s="494"/>
      <c r="Q838" s="147"/>
      <c r="R838" s="148"/>
      <c r="S838" s="148"/>
      <c r="T838" s="148" t="str">
        <f t="shared" si="233"/>
        <v xml:space="preserve"> </v>
      </c>
      <c r="U838" s="148"/>
      <c r="V838" s="379"/>
      <c r="W838" s="379"/>
      <c r="X838" s="58" t="str">
        <f>IF(B838&lt;&gt;0,VLOOKUP(B838,#REF!,4,FALSE),"")</f>
        <v/>
      </c>
      <c r="Y838" s="334" t="s">
        <v>1891</v>
      </c>
      <c r="Z838" s="58"/>
      <c r="AA838" s="58">
        <f t="shared" si="237"/>
        <v>0</v>
      </c>
      <c r="AB838" s="58"/>
      <c r="AC838" s="58">
        <f t="shared" si="238"/>
        <v>0</v>
      </c>
      <c r="AD838" s="58" t="str">
        <f>IF(B838&lt;&gt;0,VLOOKUP(B838,#REF!,2,FALSE),"")</f>
        <v/>
      </c>
      <c r="AF838" s="55">
        <f t="shared" si="227"/>
        <v>0</v>
      </c>
    </row>
    <row r="839" spans="1:32" s="55" customFormat="1">
      <c r="A839" s="69" t="s">
        <v>1373</v>
      </c>
      <c r="B839" s="129"/>
      <c r="C839" s="229" t="s">
        <v>294</v>
      </c>
      <c r="D839" s="230"/>
      <c r="E839" s="230"/>
      <c r="F839" s="230"/>
      <c r="G839" s="22"/>
      <c r="H839" s="230"/>
      <c r="I839" s="445">
        <f>ROUND(SUM(I841:I866),2)</f>
        <v>29130.73</v>
      </c>
      <c r="J839" s="440"/>
      <c r="K839" s="440"/>
      <c r="L839" s="440"/>
      <c r="M839" s="440"/>
      <c r="N839" s="440"/>
      <c r="O839" s="440">
        <v>32449.97</v>
      </c>
      <c r="P839" s="492"/>
      <c r="Q839" s="445">
        <f>ROUND(SUM(Q841:Q866),2)</f>
        <v>0</v>
      </c>
      <c r="R839" s="440"/>
      <c r="S839" s="440">
        <f>ROUND(SUM(S841:S866),2)</f>
        <v>0</v>
      </c>
      <c r="T839" s="148" t="str">
        <f t="shared" si="233"/>
        <v xml:space="preserve"> </v>
      </c>
      <c r="U839" s="440">
        <f t="shared" si="230"/>
        <v>32449.97</v>
      </c>
      <c r="V839" s="330"/>
      <c r="W839" s="330"/>
      <c r="X839" s="58" t="str">
        <f>IF(B839&lt;&gt;0,VLOOKUP(B839,#REF!,4,FALSE),"")</f>
        <v/>
      </c>
      <c r="Y839" s="334" t="s">
        <v>1891</v>
      </c>
      <c r="Z839" s="58"/>
      <c r="AA839" s="58">
        <f t="shared" si="237"/>
        <v>0</v>
      </c>
      <c r="AB839" s="58"/>
      <c r="AC839" s="58">
        <f t="shared" si="238"/>
        <v>0</v>
      </c>
      <c r="AD839" s="58" t="str">
        <f>IF(B839&lt;&gt;0,VLOOKUP(B839,#REF!,2,FALSE),"")</f>
        <v/>
      </c>
      <c r="AF839" s="55">
        <f t="shared" si="227"/>
        <v>0</v>
      </c>
    </row>
    <row r="840" spans="1:32" s="55" customFormat="1">
      <c r="A840" s="69" t="s">
        <v>1374</v>
      </c>
      <c r="B840" s="129"/>
      <c r="C840" s="229" t="s">
        <v>193</v>
      </c>
      <c r="D840" s="230"/>
      <c r="E840" s="230"/>
      <c r="F840" s="230"/>
      <c r="G840" s="22"/>
      <c r="H840" s="230"/>
      <c r="I840" s="445"/>
      <c r="J840" s="440"/>
      <c r="K840" s="440"/>
      <c r="L840" s="440"/>
      <c r="M840" s="440"/>
      <c r="N840" s="440"/>
      <c r="O840" s="440"/>
      <c r="P840" s="492"/>
      <c r="Q840" s="445"/>
      <c r="R840" s="440"/>
      <c r="S840" s="440"/>
      <c r="T840" s="148" t="str">
        <f t="shared" si="233"/>
        <v xml:space="preserve"> </v>
      </c>
      <c r="U840" s="148"/>
      <c r="V840" s="330"/>
      <c r="W840" s="330"/>
      <c r="X840" s="58" t="str">
        <f>IF(B840&lt;&gt;0,VLOOKUP(B840,#REF!,4,FALSE),"")</f>
        <v/>
      </c>
      <c r="Y840" s="334" t="s">
        <v>1891</v>
      </c>
      <c r="Z840" s="58"/>
      <c r="AA840" s="58">
        <f t="shared" si="237"/>
        <v>0</v>
      </c>
      <c r="AB840" s="58"/>
      <c r="AC840" s="58">
        <f t="shared" si="238"/>
        <v>0</v>
      </c>
      <c r="AD840" s="58" t="str">
        <f>IF(B840&lt;&gt;0,VLOOKUP(B840,#REF!,2,FALSE),"")</f>
        <v/>
      </c>
      <c r="AE840" s="55">
        <v>115</v>
      </c>
      <c r="AF840" s="55">
        <f t="shared" si="227"/>
        <v>115</v>
      </c>
    </row>
    <row r="841" spans="1:32" s="55" customFormat="1" ht="45">
      <c r="A841" s="21" t="s">
        <v>1375</v>
      </c>
      <c r="B841" s="20">
        <v>91863</v>
      </c>
      <c r="C841" s="19" t="s">
        <v>1692</v>
      </c>
      <c r="D841" s="21" t="s">
        <v>12</v>
      </c>
      <c r="E841" s="21" t="s">
        <v>52</v>
      </c>
      <c r="F841" s="22">
        <v>115</v>
      </c>
      <c r="G841" s="22">
        <f t="shared" si="234"/>
        <v>6.8849999999999998</v>
      </c>
      <c r="H841" s="22">
        <f t="shared" ref="H841:H847" si="240">ROUND(G841*(1+$X$13),2)</f>
        <v>8.73</v>
      </c>
      <c r="I841" s="147">
        <f t="shared" ref="I841:I847" si="241">ROUND(H841*F841,2)</f>
        <v>1003.95</v>
      </c>
      <c r="J841" s="148"/>
      <c r="K841" s="148"/>
      <c r="L841" s="148"/>
      <c r="M841" s="148">
        <v>7.67</v>
      </c>
      <c r="N841" s="148">
        <v>9.73</v>
      </c>
      <c r="O841" s="148">
        <v>1118.95</v>
      </c>
      <c r="P841" s="494"/>
      <c r="Q841" s="147">
        <f t="shared" ref="Q841:Q865" si="242">ROUND(P841*N841,2)</f>
        <v>0</v>
      </c>
      <c r="R841" s="148"/>
      <c r="S841" s="148">
        <f>ROUND(R841*N841,2)</f>
        <v>0</v>
      </c>
      <c r="T841" s="148">
        <f t="shared" si="233"/>
        <v>115</v>
      </c>
      <c r="U841" s="148">
        <f t="shared" si="230"/>
        <v>1118.95</v>
      </c>
      <c r="V841" s="379"/>
      <c r="W841" s="379"/>
      <c r="X841" s="58" t="e">
        <f>IF(B841&lt;&gt;0,VLOOKUP(B841,#REF!,4,FALSE),"")</f>
        <v>#REF!</v>
      </c>
      <c r="Y841" s="334" t="s">
        <v>1885</v>
      </c>
      <c r="Z841" s="58">
        <f t="shared" si="236"/>
        <v>-1.2149999999999999</v>
      </c>
      <c r="AA841" s="58">
        <f t="shared" si="237"/>
        <v>791.77499999999998</v>
      </c>
      <c r="AB841" s="58"/>
      <c r="AC841" s="58">
        <f t="shared" si="238"/>
        <v>1003.95</v>
      </c>
      <c r="AD841" s="58" t="e">
        <f>IF(B841&lt;&gt;0,VLOOKUP(B841,#REF!,2,FALSE),"")</f>
        <v>#REF!</v>
      </c>
      <c r="AE841" s="55">
        <v>39</v>
      </c>
      <c r="AF841" s="55">
        <f t="shared" si="227"/>
        <v>-76</v>
      </c>
    </row>
    <row r="842" spans="1:32" s="55" customFormat="1" ht="60">
      <c r="A842" s="21" t="s">
        <v>1376</v>
      </c>
      <c r="B842" s="20">
        <v>91875</v>
      </c>
      <c r="C842" s="19" t="s">
        <v>1694</v>
      </c>
      <c r="D842" s="21" t="s">
        <v>12</v>
      </c>
      <c r="E842" s="21" t="s">
        <v>17</v>
      </c>
      <c r="F842" s="22">
        <v>39</v>
      </c>
      <c r="G842" s="22">
        <f t="shared" si="234"/>
        <v>3.7654999999999998</v>
      </c>
      <c r="H842" s="22">
        <f t="shared" si="240"/>
        <v>4.78</v>
      </c>
      <c r="I842" s="147">
        <f t="shared" si="241"/>
        <v>186.42</v>
      </c>
      <c r="J842" s="148"/>
      <c r="K842" s="148"/>
      <c r="L842" s="148"/>
      <c r="M842" s="148">
        <v>4.1900000000000004</v>
      </c>
      <c r="N842" s="148">
        <v>5.31</v>
      </c>
      <c r="O842" s="148">
        <v>207.09</v>
      </c>
      <c r="P842" s="494"/>
      <c r="Q842" s="147">
        <f t="shared" si="242"/>
        <v>0</v>
      </c>
      <c r="R842" s="148"/>
      <c r="S842" s="148">
        <f t="shared" ref="S842:S866" si="243">ROUND(R842*N842,2)</f>
        <v>0</v>
      </c>
      <c r="T842" s="148">
        <f t="shared" si="233"/>
        <v>39</v>
      </c>
      <c r="U842" s="148">
        <f t="shared" si="230"/>
        <v>207.09</v>
      </c>
      <c r="V842" s="379"/>
      <c r="W842" s="379"/>
      <c r="X842" s="58" t="e">
        <f>IF(B842&lt;&gt;0,VLOOKUP(B842,#REF!,4,FALSE),"")</f>
        <v>#REF!</v>
      </c>
      <c r="Y842" s="334" t="s">
        <v>1864</v>
      </c>
      <c r="Z842" s="58">
        <f t="shared" si="236"/>
        <v>-0.66449999999999987</v>
      </c>
      <c r="AA842" s="58">
        <f t="shared" si="237"/>
        <v>146.8545</v>
      </c>
      <c r="AB842" s="58"/>
      <c r="AC842" s="58">
        <f t="shared" si="238"/>
        <v>186.42000000000002</v>
      </c>
      <c r="AD842" s="58" t="e">
        <f>IF(B842&lt;&gt;0,VLOOKUP(B842,#REF!,2,FALSE),"")</f>
        <v>#REF!</v>
      </c>
      <c r="AE842" s="55">
        <v>32</v>
      </c>
      <c r="AF842" s="55">
        <f t="shared" si="227"/>
        <v>-7</v>
      </c>
    </row>
    <row r="843" spans="1:32" s="55" customFormat="1" ht="45">
      <c r="A843" s="21" t="s">
        <v>1377</v>
      </c>
      <c r="B843" s="20">
        <v>91871</v>
      </c>
      <c r="C843" s="19" t="s">
        <v>1695</v>
      </c>
      <c r="D843" s="21" t="s">
        <v>12</v>
      </c>
      <c r="E843" s="21" t="s">
        <v>52</v>
      </c>
      <c r="F843" s="22">
        <v>32</v>
      </c>
      <c r="G843" s="22">
        <f t="shared" si="234"/>
        <v>7.3949999999999996</v>
      </c>
      <c r="H843" s="22">
        <f t="shared" si="240"/>
        <v>9.3800000000000008</v>
      </c>
      <c r="I843" s="147">
        <f t="shared" si="241"/>
        <v>300.16000000000003</v>
      </c>
      <c r="J843" s="148"/>
      <c r="K843" s="148"/>
      <c r="L843" s="148"/>
      <c r="M843" s="148">
        <v>8.24</v>
      </c>
      <c r="N843" s="148">
        <v>10.45</v>
      </c>
      <c r="O843" s="148">
        <v>334.4</v>
      </c>
      <c r="P843" s="494"/>
      <c r="Q843" s="147">
        <f t="shared" si="242"/>
        <v>0</v>
      </c>
      <c r="R843" s="148"/>
      <c r="S843" s="148">
        <f t="shared" si="243"/>
        <v>0</v>
      </c>
      <c r="T843" s="148">
        <f t="shared" si="233"/>
        <v>32</v>
      </c>
      <c r="U843" s="148">
        <f t="shared" si="230"/>
        <v>334.4</v>
      </c>
      <c r="V843" s="379"/>
      <c r="W843" s="379"/>
      <c r="X843" s="58" t="e">
        <f>IF(B843&lt;&gt;0,VLOOKUP(B843,#REF!,4,FALSE),"")</f>
        <v>#REF!</v>
      </c>
      <c r="Y843" s="334" t="s">
        <v>2647</v>
      </c>
      <c r="Z843" s="58">
        <f t="shared" si="236"/>
        <v>-1.3049999999999997</v>
      </c>
      <c r="AA843" s="58">
        <f t="shared" si="237"/>
        <v>236.64</v>
      </c>
      <c r="AB843" s="58"/>
      <c r="AC843" s="58">
        <f t="shared" si="238"/>
        <v>300.16000000000003</v>
      </c>
      <c r="AD843" s="58" t="e">
        <f>IF(B843&lt;&gt;0,VLOOKUP(B843,#REF!,2,FALSE),"")</f>
        <v>#REF!</v>
      </c>
      <c r="AE843" s="55">
        <v>31</v>
      </c>
      <c r="AF843" s="55">
        <f t="shared" si="227"/>
        <v>-1</v>
      </c>
    </row>
    <row r="844" spans="1:32" s="55" customFormat="1" ht="60">
      <c r="A844" s="21" t="s">
        <v>1378</v>
      </c>
      <c r="B844" s="20">
        <v>91884</v>
      </c>
      <c r="C844" s="19" t="s">
        <v>1697</v>
      </c>
      <c r="D844" s="21" t="s">
        <v>12</v>
      </c>
      <c r="E844" s="21" t="s">
        <v>17</v>
      </c>
      <c r="F844" s="22">
        <v>31</v>
      </c>
      <c r="G844" s="22">
        <f t="shared" si="234"/>
        <v>5.1849999999999996</v>
      </c>
      <c r="H844" s="22">
        <f t="shared" si="240"/>
        <v>6.58</v>
      </c>
      <c r="I844" s="147">
        <f t="shared" si="241"/>
        <v>203.98</v>
      </c>
      <c r="J844" s="148"/>
      <c r="K844" s="148"/>
      <c r="L844" s="148"/>
      <c r="M844" s="148">
        <v>5.78</v>
      </c>
      <c r="N844" s="148">
        <v>7.33</v>
      </c>
      <c r="O844" s="148">
        <v>227.23</v>
      </c>
      <c r="P844" s="494"/>
      <c r="Q844" s="147">
        <f t="shared" si="242"/>
        <v>0</v>
      </c>
      <c r="R844" s="148"/>
      <c r="S844" s="148">
        <f t="shared" si="243"/>
        <v>0</v>
      </c>
      <c r="T844" s="148">
        <f t="shared" si="233"/>
        <v>31</v>
      </c>
      <c r="U844" s="148">
        <f t="shared" si="230"/>
        <v>227.23</v>
      </c>
      <c r="V844" s="379"/>
      <c r="W844" s="379"/>
      <c r="X844" s="58" t="e">
        <f>IF(B844&lt;&gt;0,VLOOKUP(B844,#REF!,4,FALSE),"")</f>
        <v>#REF!</v>
      </c>
      <c r="Y844" s="334" t="s">
        <v>3138</v>
      </c>
      <c r="Z844" s="58">
        <f t="shared" si="236"/>
        <v>-0.91500000000000004</v>
      </c>
      <c r="AA844" s="58">
        <f t="shared" si="237"/>
        <v>160.73499999999999</v>
      </c>
      <c r="AB844" s="58"/>
      <c r="AC844" s="58">
        <f t="shared" si="238"/>
        <v>203.98</v>
      </c>
      <c r="AD844" s="58" t="e">
        <f>IF(B844&lt;&gt;0,VLOOKUP(B844,#REF!,2,FALSE),"")</f>
        <v>#REF!</v>
      </c>
      <c r="AE844" s="55">
        <v>10</v>
      </c>
      <c r="AF844" s="55">
        <f t="shared" si="227"/>
        <v>-21</v>
      </c>
    </row>
    <row r="845" spans="1:32" s="55" customFormat="1" ht="60">
      <c r="A845" s="21" t="s">
        <v>1379</v>
      </c>
      <c r="B845" s="20">
        <v>91914</v>
      </c>
      <c r="C845" s="19" t="s">
        <v>1696</v>
      </c>
      <c r="D845" s="21" t="s">
        <v>12</v>
      </c>
      <c r="E845" s="21" t="s">
        <v>17</v>
      </c>
      <c r="F845" s="22">
        <v>10</v>
      </c>
      <c r="G845" s="22">
        <f t="shared" si="234"/>
        <v>8.5084999999999997</v>
      </c>
      <c r="H845" s="22">
        <f t="shared" si="240"/>
        <v>10.79</v>
      </c>
      <c r="I845" s="147">
        <f t="shared" si="241"/>
        <v>107.9</v>
      </c>
      <c r="J845" s="148"/>
      <c r="K845" s="148"/>
      <c r="L845" s="148"/>
      <c r="M845" s="148">
        <v>9.48</v>
      </c>
      <c r="N845" s="148">
        <v>12.02</v>
      </c>
      <c r="O845" s="148">
        <v>120.2</v>
      </c>
      <c r="P845" s="494"/>
      <c r="Q845" s="147">
        <f t="shared" si="242"/>
        <v>0</v>
      </c>
      <c r="R845" s="148"/>
      <c r="S845" s="148">
        <f t="shared" si="243"/>
        <v>0</v>
      </c>
      <c r="T845" s="148">
        <f t="shared" si="233"/>
        <v>10</v>
      </c>
      <c r="U845" s="148">
        <f t="shared" si="230"/>
        <v>120.2</v>
      </c>
      <c r="V845" s="379"/>
      <c r="W845" s="379"/>
      <c r="X845" s="58" t="e">
        <f>IF(B845&lt;&gt;0,VLOOKUP(B845,#REF!,4,FALSE),"")</f>
        <v>#REF!</v>
      </c>
      <c r="Y845" s="334" t="s">
        <v>1907</v>
      </c>
      <c r="Z845" s="58">
        <f t="shared" si="236"/>
        <v>-1.5015000000000001</v>
      </c>
      <c r="AA845" s="58">
        <f t="shared" si="237"/>
        <v>85.084999999999994</v>
      </c>
      <c r="AB845" s="58"/>
      <c r="AC845" s="58">
        <f t="shared" si="238"/>
        <v>107.89999999999999</v>
      </c>
      <c r="AD845" s="58" t="e">
        <f>IF(B845&lt;&gt;0,VLOOKUP(B845,#REF!,2,FALSE),"")</f>
        <v>#REF!</v>
      </c>
      <c r="AE845" s="55">
        <v>17</v>
      </c>
      <c r="AF845" s="55">
        <f t="shared" si="227"/>
        <v>7</v>
      </c>
    </row>
    <row r="846" spans="1:32" s="55" customFormat="1" ht="30">
      <c r="A846" s="21" t="s">
        <v>1380</v>
      </c>
      <c r="B846" s="20">
        <v>91864</v>
      </c>
      <c r="C846" s="19" t="s">
        <v>194</v>
      </c>
      <c r="D846" s="21" t="s">
        <v>12</v>
      </c>
      <c r="E846" s="21" t="s">
        <v>52</v>
      </c>
      <c r="F846" s="22">
        <v>17</v>
      </c>
      <c r="G846" s="22">
        <f t="shared" si="234"/>
        <v>9.1204999999999998</v>
      </c>
      <c r="H846" s="22">
        <f t="shared" si="240"/>
        <v>11.57</v>
      </c>
      <c r="I846" s="147">
        <f t="shared" si="241"/>
        <v>196.69</v>
      </c>
      <c r="J846" s="148"/>
      <c r="K846" s="148"/>
      <c r="L846" s="148"/>
      <c r="M846" s="148">
        <v>10.16</v>
      </c>
      <c r="N846" s="148">
        <v>12.88</v>
      </c>
      <c r="O846" s="148">
        <v>218.96</v>
      </c>
      <c r="P846" s="494"/>
      <c r="Q846" s="147">
        <f t="shared" si="242"/>
        <v>0</v>
      </c>
      <c r="R846" s="148"/>
      <c r="S846" s="148">
        <f t="shared" si="243"/>
        <v>0</v>
      </c>
      <c r="T846" s="148">
        <f t="shared" si="233"/>
        <v>17</v>
      </c>
      <c r="U846" s="148">
        <f t="shared" si="230"/>
        <v>218.96</v>
      </c>
      <c r="V846" s="379"/>
      <c r="W846" s="379"/>
      <c r="X846" s="58" t="e">
        <f>IF(B846&lt;&gt;0,VLOOKUP(B846,#REF!,4,FALSE),"")</f>
        <v>#REF!</v>
      </c>
      <c r="Y846" s="334" t="s">
        <v>1836</v>
      </c>
      <c r="Z846" s="58">
        <f t="shared" si="236"/>
        <v>-1.6095000000000006</v>
      </c>
      <c r="AA846" s="58">
        <f t="shared" si="237"/>
        <v>155.04849999999999</v>
      </c>
      <c r="AB846" s="58"/>
      <c r="AC846" s="58">
        <f t="shared" si="238"/>
        <v>196.69</v>
      </c>
      <c r="AD846" s="58" t="e">
        <f>IF(B846&lt;&gt;0,VLOOKUP(B846,#REF!,2,FALSE),"")</f>
        <v>#REF!</v>
      </c>
      <c r="AE846" s="55">
        <v>6</v>
      </c>
      <c r="AF846" s="55">
        <f t="shared" si="227"/>
        <v>-11</v>
      </c>
    </row>
    <row r="847" spans="1:32" s="55" customFormat="1" ht="30">
      <c r="A847" s="21" t="s">
        <v>1381</v>
      </c>
      <c r="B847" s="20">
        <v>91876</v>
      </c>
      <c r="C847" s="19" t="s">
        <v>195</v>
      </c>
      <c r="D847" s="21" t="s">
        <v>12</v>
      </c>
      <c r="E847" s="21" t="s">
        <v>17</v>
      </c>
      <c r="F847" s="22">
        <v>6</v>
      </c>
      <c r="G847" s="22">
        <f t="shared" si="234"/>
        <v>4.9980000000000002</v>
      </c>
      <c r="H847" s="22">
        <f t="shared" si="240"/>
        <v>6.34</v>
      </c>
      <c r="I847" s="147">
        <f t="shared" si="241"/>
        <v>38.04</v>
      </c>
      <c r="J847" s="148"/>
      <c r="K847" s="148"/>
      <c r="L847" s="148"/>
      <c r="M847" s="148">
        <v>5.57</v>
      </c>
      <c r="N847" s="148">
        <v>7.06</v>
      </c>
      <c r="O847" s="148">
        <v>42.36</v>
      </c>
      <c r="P847" s="494"/>
      <c r="Q847" s="147">
        <f t="shared" si="242"/>
        <v>0</v>
      </c>
      <c r="R847" s="148"/>
      <c r="S847" s="148">
        <f t="shared" si="243"/>
        <v>0</v>
      </c>
      <c r="T847" s="148">
        <f t="shared" si="233"/>
        <v>6</v>
      </c>
      <c r="U847" s="148">
        <f t="shared" si="230"/>
        <v>42.36</v>
      </c>
      <c r="V847" s="379"/>
      <c r="W847" s="379"/>
      <c r="X847" s="58" t="e">
        <f>IF(B847&lt;&gt;0,VLOOKUP(B847,#REF!,4,FALSE),"")</f>
        <v>#REF!</v>
      </c>
      <c r="Y847" s="334" t="s">
        <v>3191</v>
      </c>
      <c r="Z847" s="58">
        <f t="shared" si="236"/>
        <v>-0.88199999999999967</v>
      </c>
      <c r="AA847" s="58">
        <f t="shared" si="237"/>
        <v>29.988</v>
      </c>
      <c r="AB847" s="58"/>
      <c r="AC847" s="58">
        <f t="shared" si="238"/>
        <v>38.04</v>
      </c>
      <c r="AD847" s="58" t="e">
        <f>IF(B847&lt;&gt;0,VLOOKUP(B847,#REF!,2,FALSE),"")</f>
        <v>#REF!</v>
      </c>
      <c r="AF847" s="55">
        <f t="shared" si="227"/>
        <v>-6</v>
      </c>
    </row>
    <row r="848" spans="1:32" s="55" customFormat="1">
      <c r="A848" s="69" t="s">
        <v>1382</v>
      </c>
      <c r="B848" s="129"/>
      <c r="C848" s="229" t="s">
        <v>214</v>
      </c>
      <c r="D848" s="230"/>
      <c r="E848" s="230"/>
      <c r="F848" s="230"/>
      <c r="G848" s="22"/>
      <c r="H848" s="230"/>
      <c r="I848" s="445"/>
      <c r="J848" s="440"/>
      <c r="K848" s="440"/>
      <c r="L848" s="440"/>
      <c r="M848" s="440">
        <v>0</v>
      </c>
      <c r="N848" s="440">
        <v>0</v>
      </c>
      <c r="O848" s="440">
        <v>0</v>
      </c>
      <c r="P848" s="492"/>
      <c r="Q848" s="147">
        <f t="shared" si="242"/>
        <v>0</v>
      </c>
      <c r="R848" s="440"/>
      <c r="S848" s="148">
        <f t="shared" si="243"/>
        <v>0</v>
      </c>
      <c r="T848" s="148" t="str">
        <f t="shared" si="233"/>
        <v xml:space="preserve"> </v>
      </c>
      <c r="U848" s="148">
        <f t="shared" si="230"/>
        <v>0</v>
      </c>
      <c r="V848" s="330"/>
      <c r="W848" s="330"/>
      <c r="X848" s="58" t="str">
        <f>IF(B848&lt;&gt;0,VLOOKUP(B848,#REF!,4,FALSE),"")</f>
        <v/>
      </c>
      <c r="Y848" s="334" t="s">
        <v>1891</v>
      </c>
      <c r="Z848" s="58"/>
      <c r="AA848" s="58">
        <f t="shared" si="237"/>
        <v>0</v>
      </c>
      <c r="AB848" s="58"/>
      <c r="AC848" s="58">
        <f t="shared" si="238"/>
        <v>0</v>
      </c>
      <c r="AD848" s="58" t="str">
        <f>IF(B848&lt;&gt;0,VLOOKUP(B848,#REF!,2,FALSE),"")</f>
        <v/>
      </c>
      <c r="AE848" s="55">
        <v>279</v>
      </c>
      <c r="AF848" s="55">
        <f t="shared" si="227"/>
        <v>279</v>
      </c>
    </row>
    <row r="849" spans="1:32" s="55" customFormat="1">
      <c r="A849" s="21" t="s">
        <v>1383</v>
      </c>
      <c r="B849" s="20">
        <v>416</v>
      </c>
      <c r="C849" s="19" t="s">
        <v>295</v>
      </c>
      <c r="D849" s="21" t="s">
        <v>44</v>
      </c>
      <c r="E849" s="21" t="s">
        <v>52</v>
      </c>
      <c r="F849" s="22">
        <v>279</v>
      </c>
      <c r="G849" s="22">
        <f t="shared" si="234"/>
        <v>7.4969999999999999</v>
      </c>
      <c r="H849" s="22">
        <f>ROUND(G849*(1+$X$13),2)</f>
        <v>9.51</v>
      </c>
      <c r="I849" s="147">
        <f>ROUND(H849*F849,2)</f>
        <v>2653.29</v>
      </c>
      <c r="J849" s="148"/>
      <c r="K849" s="148"/>
      <c r="L849" s="148"/>
      <c r="M849" s="148">
        <v>8.35</v>
      </c>
      <c r="N849" s="148">
        <v>10.59</v>
      </c>
      <c r="O849" s="148">
        <v>2954.61</v>
      </c>
      <c r="P849" s="494"/>
      <c r="Q849" s="147">
        <f t="shared" si="242"/>
        <v>0</v>
      </c>
      <c r="R849" s="148"/>
      <c r="S849" s="148">
        <f t="shared" si="243"/>
        <v>0</v>
      </c>
      <c r="T849" s="148">
        <f t="shared" si="233"/>
        <v>279</v>
      </c>
      <c r="U849" s="148">
        <f t="shared" si="230"/>
        <v>2954.61</v>
      </c>
      <c r="V849" s="379"/>
      <c r="W849" s="379"/>
      <c r="X849" s="58">
        <f>'COMPOSIÇÃO DE CUSTOS'!G1928</f>
        <v>7.5</v>
      </c>
      <c r="Y849" s="334">
        <v>8.82</v>
      </c>
      <c r="Z849" s="58">
        <f t="shared" si="236"/>
        <v>-1.3230000000000004</v>
      </c>
      <c r="AA849" s="58">
        <f t="shared" si="237"/>
        <v>2091.663</v>
      </c>
      <c r="AB849" s="58"/>
      <c r="AC849" s="58">
        <f t="shared" si="238"/>
        <v>2653.29</v>
      </c>
      <c r="AD849" s="58" t="e">
        <f>IF(B849&lt;&gt;0,VLOOKUP(B849,#REF!,2,FALSE),"")</f>
        <v>#REF!</v>
      </c>
      <c r="AE849" s="55">
        <v>242</v>
      </c>
      <c r="AF849" s="55">
        <f t="shared" si="227"/>
        <v>-37</v>
      </c>
    </row>
    <row r="850" spans="1:32" s="55" customFormat="1" ht="15" customHeight="1">
      <c r="A850" s="21" t="s">
        <v>1384</v>
      </c>
      <c r="B850" s="20">
        <v>11752</v>
      </c>
      <c r="C850" s="19" t="s">
        <v>587</v>
      </c>
      <c r="D850" s="21" t="s">
        <v>44</v>
      </c>
      <c r="E850" s="21" t="s">
        <v>52</v>
      </c>
      <c r="F850" s="22">
        <v>242</v>
      </c>
      <c r="G850" s="22">
        <f t="shared" si="234"/>
        <v>8.109</v>
      </c>
      <c r="H850" s="22">
        <f>ROUND(G850*(1+$X$13),2)</f>
        <v>10.28</v>
      </c>
      <c r="I850" s="147">
        <f>ROUND(H850*F850,2)</f>
        <v>2487.7600000000002</v>
      </c>
      <c r="J850" s="148"/>
      <c r="K850" s="148"/>
      <c r="L850" s="148"/>
      <c r="M850" s="148">
        <v>9.0299999999999994</v>
      </c>
      <c r="N850" s="148">
        <v>11.45</v>
      </c>
      <c r="O850" s="148">
        <v>2770.9</v>
      </c>
      <c r="P850" s="494"/>
      <c r="Q850" s="147">
        <f t="shared" si="242"/>
        <v>0</v>
      </c>
      <c r="R850" s="148"/>
      <c r="S850" s="148">
        <f t="shared" si="243"/>
        <v>0</v>
      </c>
      <c r="T850" s="148">
        <f t="shared" si="233"/>
        <v>242</v>
      </c>
      <c r="U850" s="148">
        <f t="shared" si="230"/>
        <v>2770.9</v>
      </c>
      <c r="V850" s="379"/>
      <c r="W850" s="379"/>
      <c r="X850" s="58">
        <f>'COMPOSIÇÃO DE CUSTOS'!G1967</f>
        <v>8.11</v>
      </c>
      <c r="Y850" s="334">
        <v>9.5399999999999991</v>
      </c>
      <c r="Z850" s="58">
        <f t="shared" si="236"/>
        <v>-1.4309999999999992</v>
      </c>
      <c r="AA850" s="58">
        <f t="shared" si="237"/>
        <v>1962.3779999999999</v>
      </c>
      <c r="AB850" s="58"/>
      <c r="AC850" s="58">
        <f t="shared" si="238"/>
        <v>2487.7599999999998</v>
      </c>
      <c r="AD850" s="58" t="e">
        <f>IF(B850&lt;&gt;0,VLOOKUP(B850,#REF!,2,FALSE),"")</f>
        <v>#REF!</v>
      </c>
      <c r="AF850" s="55">
        <f t="shared" si="227"/>
        <v>-242</v>
      </c>
    </row>
    <row r="851" spans="1:32" s="55" customFormat="1">
      <c r="A851" s="69" t="s">
        <v>1385</v>
      </c>
      <c r="B851" s="129"/>
      <c r="C851" s="229" t="s">
        <v>216</v>
      </c>
      <c r="D851" s="230"/>
      <c r="E851" s="230"/>
      <c r="F851" s="230"/>
      <c r="G851" s="22"/>
      <c r="H851" s="230"/>
      <c r="I851" s="445"/>
      <c r="J851" s="440"/>
      <c r="K851" s="440"/>
      <c r="L851" s="440"/>
      <c r="M851" s="440"/>
      <c r="N851" s="440"/>
      <c r="O851" s="440"/>
      <c r="P851" s="492"/>
      <c r="Q851" s="147">
        <f t="shared" si="242"/>
        <v>0</v>
      </c>
      <c r="R851" s="440"/>
      <c r="S851" s="148">
        <f t="shared" si="243"/>
        <v>0</v>
      </c>
      <c r="T851" s="148" t="str">
        <f t="shared" si="233"/>
        <v xml:space="preserve"> </v>
      </c>
      <c r="U851" s="148">
        <f t="shared" si="230"/>
        <v>0</v>
      </c>
      <c r="V851" s="330"/>
      <c r="W851" s="330"/>
      <c r="X851" s="58" t="str">
        <f>IF(B851&lt;&gt;0,VLOOKUP(B851,#REF!,4,FALSE),"")</f>
        <v/>
      </c>
      <c r="Y851" s="334" t="s">
        <v>1891</v>
      </c>
      <c r="Z851" s="58"/>
      <c r="AA851" s="58">
        <f t="shared" si="237"/>
        <v>0</v>
      </c>
      <c r="AB851" s="58"/>
      <c r="AC851" s="58">
        <f t="shared" si="238"/>
        <v>0</v>
      </c>
      <c r="AD851" s="58" t="str">
        <f>IF(B851&lt;&gt;0,VLOOKUP(B851,#REF!,2,FALSE),"")</f>
        <v/>
      </c>
      <c r="AE851" s="55">
        <v>5</v>
      </c>
      <c r="AF851" s="55">
        <f t="shared" ref="AF851:AF872" si="244">AE851-F851</f>
        <v>5</v>
      </c>
    </row>
    <row r="852" spans="1:32" s="55" customFormat="1" ht="45">
      <c r="A852" s="21" t="s">
        <v>1386</v>
      </c>
      <c r="B852" s="20">
        <v>95795</v>
      </c>
      <c r="C852" s="19" t="s">
        <v>1707</v>
      </c>
      <c r="D852" s="21" t="s">
        <v>12</v>
      </c>
      <c r="E852" s="21" t="s">
        <v>17</v>
      </c>
      <c r="F852" s="22">
        <v>5</v>
      </c>
      <c r="G852" s="22">
        <f t="shared" si="234"/>
        <v>21.488</v>
      </c>
      <c r="H852" s="22">
        <f>ROUND(G852*(1+$X$13),2)</f>
        <v>27.25</v>
      </c>
      <c r="I852" s="147">
        <f>ROUND(H852*F852,2)</f>
        <v>136.25</v>
      </c>
      <c r="J852" s="148"/>
      <c r="K852" s="148"/>
      <c r="L852" s="148"/>
      <c r="M852" s="148">
        <v>23.94</v>
      </c>
      <c r="N852" s="148">
        <v>30.36</v>
      </c>
      <c r="O852" s="148">
        <v>151.80000000000001</v>
      </c>
      <c r="P852" s="494"/>
      <c r="Q852" s="147">
        <f t="shared" si="242"/>
        <v>0</v>
      </c>
      <c r="R852" s="148"/>
      <c r="S852" s="148">
        <f t="shared" si="243"/>
        <v>0</v>
      </c>
      <c r="T852" s="148">
        <f t="shared" si="233"/>
        <v>5</v>
      </c>
      <c r="U852" s="148">
        <f t="shared" si="230"/>
        <v>151.80000000000001</v>
      </c>
      <c r="V852" s="379"/>
      <c r="W852" s="379"/>
      <c r="X852" s="58" t="e">
        <f>IF(B852&lt;&gt;0,VLOOKUP(B852,#REF!,4,FALSE),"")</f>
        <v>#REF!</v>
      </c>
      <c r="Y852" s="334" t="s">
        <v>3235</v>
      </c>
      <c r="Z852" s="58">
        <f t="shared" si="236"/>
        <v>-3.7920000000000016</v>
      </c>
      <c r="AA852" s="58">
        <f t="shared" si="237"/>
        <v>107.44</v>
      </c>
      <c r="AB852" s="58"/>
      <c r="AC852" s="58">
        <f t="shared" si="238"/>
        <v>136.25</v>
      </c>
      <c r="AD852" s="58" t="e">
        <f>IF(B852&lt;&gt;0,VLOOKUP(B852,#REF!,2,FALSE),"")</f>
        <v>#REF!</v>
      </c>
      <c r="AE852" s="55">
        <v>8</v>
      </c>
      <c r="AF852" s="55">
        <f t="shared" si="244"/>
        <v>3</v>
      </c>
    </row>
    <row r="853" spans="1:32" s="55" customFormat="1" ht="45">
      <c r="A853" s="21" t="s">
        <v>1387</v>
      </c>
      <c r="B853" s="20">
        <v>95787</v>
      </c>
      <c r="C853" s="19" t="s">
        <v>1708</v>
      </c>
      <c r="D853" s="21" t="s">
        <v>12</v>
      </c>
      <c r="E853" s="21" t="s">
        <v>17</v>
      </c>
      <c r="F853" s="22">
        <v>8</v>
      </c>
      <c r="G853" s="22">
        <f t="shared" si="234"/>
        <v>18.614999999999998</v>
      </c>
      <c r="H853" s="22">
        <f>ROUND(G853*(1+$X$13),2)</f>
        <v>23.61</v>
      </c>
      <c r="I853" s="147">
        <f>ROUND(H853*F853,2)</f>
        <v>188.88</v>
      </c>
      <c r="J853" s="148"/>
      <c r="K853" s="148"/>
      <c r="L853" s="148"/>
      <c r="M853" s="148">
        <v>20.74</v>
      </c>
      <c r="N853" s="148">
        <v>26.3</v>
      </c>
      <c r="O853" s="148">
        <v>210.4</v>
      </c>
      <c r="P853" s="494"/>
      <c r="Q853" s="147">
        <f t="shared" si="242"/>
        <v>0</v>
      </c>
      <c r="R853" s="148"/>
      <c r="S853" s="148">
        <f t="shared" si="243"/>
        <v>0</v>
      </c>
      <c r="T853" s="148">
        <f t="shared" si="233"/>
        <v>8</v>
      </c>
      <c r="U853" s="148">
        <f t="shared" si="230"/>
        <v>210.4</v>
      </c>
      <c r="V853" s="379"/>
      <c r="W853" s="379"/>
      <c r="X853" s="58" t="e">
        <f>IF(B853&lt;&gt;0,VLOOKUP(B853,#REF!,4,FALSE),"")</f>
        <v>#REF!</v>
      </c>
      <c r="Y853" s="334" t="s">
        <v>1887</v>
      </c>
      <c r="Z853" s="58">
        <f t="shared" si="236"/>
        <v>-3.2850000000000001</v>
      </c>
      <c r="AA853" s="58">
        <f t="shared" si="237"/>
        <v>148.91999999999999</v>
      </c>
      <c r="AB853" s="58"/>
      <c r="AC853" s="58">
        <f t="shared" si="238"/>
        <v>188.88</v>
      </c>
      <c r="AD853" s="58" t="e">
        <f>IF(B853&lt;&gt;0,VLOOKUP(B853,#REF!,2,FALSE),"")</f>
        <v>#REF!</v>
      </c>
      <c r="AE853" s="55">
        <v>15</v>
      </c>
      <c r="AF853" s="55">
        <f t="shared" si="244"/>
        <v>7</v>
      </c>
    </row>
    <row r="854" spans="1:32" s="55" customFormat="1" ht="45">
      <c r="A854" s="21" t="s">
        <v>1388</v>
      </c>
      <c r="B854" s="20">
        <v>95778</v>
      </c>
      <c r="C854" s="19" t="s">
        <v>1709</v>
      </c>
      <c r="D854" s="21" t="s">
        <v>12</v>
      </c>
      <c r="E854" s="21" t="s">
        <v>17</v>
      </c>
      <c r="F854" s="22">
        <v>15</v>
      </c>
      <c r="G854" s="22">
        <f t="shared" si="234"/>
        <v>19.3035</v>
      </c>
      <c r="H854" s="22">
        <f>ROUND(G854*(1+$X$13),2)</f>
        <v>24.48</v>
      </c>
      <c r="I854" s="147">
        <f>ROUND(H854*F854,2)</f>
        <v>367.2</v>
      </c>
      <c r="J854" s="148"/>
      <c r="K854" s="148"/>
      <c r="L854" s="148"/>
      <c r="M854" s="148">
        <v>21.5</v>
      </c>
      <c r="N854" s="148">
        <v>27.26</v>
      </c>
      <c r="O854" s="148">
        <v>408.9</v>
      </c>
      <c r="P854" s="494"/>
      <c r="Q854" s="147">
        <f t="shared" si="242"/>
        <v>0</v>
      </c>
      <c r="R854" s="148"/>
      <c r="S854" s="148">
        <f t="shared" si="243"/>
        <v>0</v>
      </c>
      <c r="T854" s="148">
        <f t="shared" si="233"/>
        <v>15</v>
      </c>
      <c r="U854" s="148">
        <f t="shared" si="230"/>
        <v>408.9</v>
      </c>
      <c r="V854" s="379"/>
      <c r="W854" s="379"/>
      <c r="X854" s="58" t="e">
        <f>IF(B854&lt;&gt;0,VLOOKUP(B854,#REF!,4,FALSE),"")</f>
        <v>#REF!</v>
      </c>
      <c r="Y854" s="334" t="s">
        <v>3134</v>
      </c>
      <c r="Z854" s="58">
        <f t="shared" si="236"/>
        <v>-3.4065000000000012</v>
      </c>
      <c r="AA854" s="58">
        <f t="shared" si="237"/>
        <v>289.55250000000001</v>
      </c>
      <c r="AB854" s="58"/>
      <c r="AC854" s="58">
        <f t="shared" si="238"/>
        <v>367.2</v>
      </c>
      <c r="AD854" s="58" t="e">
        <f>IF(B854&lt;&gt;0,VLOOKUP(B854,#REF!,2,FALSE),"")</f>
        <v>#REF!</v>
      </c>
      <c r="AE854" s="55">
        <v>7</v>
      </c>
      <c r="AF854" s="55">
        <f t="shared" si="244"/>
        <v>-8</v>
      </c>
    </row>
    <row r="855" spans="1:32" s="55" customFormat="1" ht="30">
      <c r="A855" s="21" t="s">
        <v>1389</v>
      </c>
      <c r="B855" s="20" t="s">
        <v>2754</v>
      </c>
      <c r="C855" s="43" t="str">
        <f>C445</f>
        <v>CAIXA DE PASSAGEM COM TAMPA PARAFUSADA 600X600X150MM</v>
      </c>
      <c r="D855" s="21" t="str">
        <f>D445</f>
        <v>SEINFRA</v>
      </c>
      <c r="E855" s="21" t="s">
        <v>17</v>
      </c>
      <c r="F855" s="22">
        <v>7</v>
      </c>
      <c r="G855" s="22">
        <f t="shared" si="234"/>
        <v>223.31200000000001</v>
      </c>
      <c r="H855" s="22">
        <f>ROUND(G855*(1+$X$13),2)</f>
        <v>283.18</v>
      </c>
      <c r="I855" s="147">
        <f>ROUND(H855*F855,2)</f>
        <v>1982.26</v>
      </c>
      <c r="J855" s="148"/>
      <c r="K855" s="148"/>
      <c r="L855" s="148"/>
      <c r="M855" s="148">
        <v>248.77</v>
      </c>
      <c r="N855" s="148">
        <v>315.47000000000003</v>
      </c>
      <c r="O855" s="148">
        <v>2208.29</v>
      </c>
      <c r="P855" s="494"/>
      <c r="Q855" s="147">
        <f t="shared" si="242"/>
        <v>0</v>
      </c>
      <c r="R855" s="148"/>
      <c r="S855" s="148">
        <f t="shared" si="243"/>
        <v>0</v>
      </c>
      <c r="T855" s="148">
        <f t="shared" si="233"/>
        <v>7</v>
      </c>
      <c r="U855" s="148">
        <f t="shared" si="230"/>
        <v>2208.29</v>
      </c>
      <c r="V855" s="379"/>
      <c r="W855" s="379"/>
      <c r="X855" s="58">
        <f>'COMPOSIÇÃO DE CUSTOS'!G2463</f>
        <v>223.32</v>
      </c>
      <c r="Y855" s="334">
        <v>262.72000000000003</v>
      </c>
      <c r="Z855" s="58">
        <f t="shared" si="236"/>
        <v>-39.408000000000015</v>
      </c>
      <c r="AA855" s="58">
        <f t="shared" si="237"/>
        <v>1563.1840000000002</v>
      </c>
      <c r="AB855" s="58"/>
      <c r="AC855" s="58">
        <f t="shared" si="238"/>
        <v>1982.26</v>
      </c>
      <c r="AD855" s="58" t="e">
        <f>IF(B855&lt;&gt;0,VLOOKUP(B855,#REF!,2,FALSE),"")</f>
        <v>#REF!</v>
      </c>
      <c r="AF855" s="55">
        <f t="shared" si="244"/>
        <v>-7</v>
      </c>
    </row>
    <row r="856" spans="1:32" s="55" customFormat="1">
      <c r="A856" s="69" t="s">
        <v>2938</v>
      </c>
      <c r="B856" s="129"/>
      <c r="C856" s="229" t="s">
        <v>296</v>
      </c>
      <c r="D856" s="230"/>
      <c r="E856" s="230"/>
      <c r="F856" s="230"/>
      <c r="G856" s="22"/>
      <c r="H856" s="230"/>
      <c r="I856" s="445"/>
      <c r="J856" s="440"/>
      <c r="K856" s="440"/>
      <c r="L856" s="440"/>
      <c r="M856" s="440"/>
      <c r="N856" s="440"/>
      <c r="O856" s="440"/>
      <c r="P856" s="492"/>
      <c r="Q856" s="147">
        <f t="shared" si="242"/>
        <v>0</v>
      </c>
      <c r="R856" s="440"/>
      <c r="S856" s="148">
        <f t="shared" si="243"/>
        <v>0</v>
      </c>
      <c r="T856" s="148" t="str">
        <f t="shared" si="233"/>
        <v xml:space="preserve"> </v>
      </c>
      <c r="U856" s="148"/>
      <c r="V856" s="330"/>
      <c r="W856" s="330"/>
      <c r="X856" s="58" t="str">
        <f>IF(B856&lt;&gt;0,VLOOKUP(B856,#REF!,4,FALSE),"")</f>
        <v/>
      </c>
      <c r="Y856" s="334" t="s">
        <v>1891</v>
      </c>
      <c r="Z856" s="58"/>
      <c r="AA856" s="58">
        <f t="shared" si="237"/>
        <v>0</v>
      </c>
      <c r="AB856" s="58"/>
      <c r="AC856" s="58">
        <f t="shared" si="238"/>
        <v>0</v>
      </c>
      <c r="AD856" s="58" t="str">
        <f>IF(B856&lt;&gt;0,VLOOKUP(B856,#REF!,2,FALSE),"")</f>
        <v/>
      </c>
      <c r="AE856" s="55">
        <v>23</v>
      </c>
      <c r="AF856" s="55">
        <f t="shared" si="244"/>
        <v>23</v>
      </c>
    </row>
    <row r="857" spans="1:32" s="55" customFormat="1">
      <c r="A857" s="21" t="s">
        <v>2939</v>
      </c>
      <c r="B857" s="20">
        <v>4439</v>
      </c>
      <c r="C857" s="19" t="s">
        <v>1949</v>
      </c>
      <c r="D857" s="21" t="s">
        <v>44</v>
      </c>
      <c r="E857" s="21" t="s">
        <v>17</v>
      </c>
      <c r="F857" s="22">
        <v>23</v>
      </c>
      <c r="G857" s="22">
        <f t="shared" si="234"/>
        <v>71.722999999999999</v>
      </c>
      <c r="H857" s="22">
        <f t="shared" ref="H857:H866" si="245">ROUND(G857*(1+$X$13),2)</f>
        <v>90.95</v>
      </c>
      <c r="I857" s="147">
        <f t="shared" ref="I857:I866" si="246">ROUND(H857*F857,2)</f>
        <v>2091.85</v>
      </c>
      <c r="J857" s="148"/>
      <c r="K857" s="148"/>
      <c r="L857" s="148"/>
      <c r="M857" s="148">
        <v>79.900000000000006</v>
      </c>
      <c r="N857" s="148">
        <v>101.32</v>
      </c>
      <c r="O857" s="148">
        <v>2330.36</v>
      </c>
      <c r="P857" s="494"/>
      <c r="Q857" s="147">
        <f t="shared" si="242"/>
        <v>0</v>
      </c>
      <c r="R857" s="148"/>
      <c r="S857" s="148">
        <f t="shared" si="243"/>
        <v>0</v>
      </c>
      <c r="T857" s="148">
        <f t="shared" si="233"/>
        <v>23</v>
      </c>
      <c r="U857" s="148">
        <f t="shared" si="230"/>
        <v>2330.36</v>
      </c>
      <c r="V857" s="379"/>
      <c r="W857" s="379"/>
      <c r="X857" s="57">
        <f>'COMPOSIÇÃO DE CUSTOS'!G1947</f>
        <v>71.73</v>
      </c>
      <c r="Y857" s="334">
        <v>84.38</v>
      </c>
      <c r="Z857" s="58">
        <f t="shared" si="236"/>
        <v>-12.656999999999996</v>
      </c>
      <c r="AA857" s="58">
        <f t="shared" si="237"/>
        <v>1649.6289999999999</v>
      </c>
      <c r="AB857" s="58"/>
      <c r="AC857" s="58">
        <f t="shared" si="238"/>
        <v>2091.85</v>
      </c>
      <c r="AD857" s="58" t="e">
        <f>IF(B857&lt;&gt;0,VLOOKUP(B857,#REF!,2,FALSE),"")</f>
        <v>#REF!</v>
      </c>
      <c r="AE857" s="55">
        <v>2</v>
      </c>
      <c r="AF857" s="55">
        <f t="shared" si="244"/>
        <v>-21</v>
      </c>
    </row>
    <row r="858" spans="1:32" s="55" customFormat="1">
      <c r="A858" s="21" t="s">
        <v>2940</v>
      </c>
      <c r="B858" s="20">
        <v>11527</v>
      </c>
      <c r="C858" s="19" t="s">
        <v>297</v>
      </c>
      <c r="D858" s="21" t="s">
        <v>44</v>
      </c>
      <c r="E858" s="21" t="s">
        <v>17</v>
      </c>
      <c r="F858" s="22">
        <v>7</v>
      </c>
      <c r="G858" s="22">
        <f t="shared" si="234"/>
        <v>1156.9860000000001</v>
      </c>
      <c r="H858" s="22">
        <f t="shared" si="245"/>
        <v>1467.17</v>
      </c>
      <c r="I858" s="147">
        <f t="shared" si="246"/>
        <v>10270.19</v>
      </c>
      <c r="J858" s="148"/>
      <c r="K858" s="148"/>
      <c r="L858" s="148"/>
      <c r="M858" s="148">
        <v>1288.8900000000001</v>
      </c>
      <c r="N858" s="148">
        <v>1634.44</v>
      </c>
      <c r="O858" s="148">
        <v>11441.08</v>
      </c>
      <c r="P858" s="494"/>
      <c r="Q858" s="147">
        <f t="shared" si="242"/>
        <v>0</v>
      </c>
      <c r="R858" s="148"/>
      <c r="S858" s="148">
        <f t="shared" si="243"/>
        <v>0</v>
      </c>
      <c r="T858" s="148">
        <f t="shared" si="233"/>
        <v>7</v>
      </c>
      <c r="U858" s="148">
        <f t="shared" si="230"/>
        <v>11441.08</v>
      </c>
      <c r="V858" s="379"/>
      <c r="W858" s="379"/>
      <c r="X858" s="57">
        <f>'COMPOSIÇÃO DE CUSTOS'!G2175</f>
        <v>1156.99</v>
      </c>
      <c r="Y858" s="334">
        <v>1361.16</v>
      </c>
      <c r="Z858" s="58">
        <f t="shared" si="236"/>
        <v>-204.17399999999998</v>
      </c>
      <c r="AA858" s="58">
        <f t="shared" si="237"/>
        <v>8098.902000000001</v>
      </c>
      <c r="AB858" s="58"/>
      <c r="AC858" s="58">
        <f t="shared" si="238"/>
        <v>10270.19</v>
      </c>
      <c r="AD858" s="58" t="e">
        <f>IF(B858&lt;&gt;0,VLOOKUP(B858,#REF!,2,FALSE),"")</f>
        <v>#REF!</v>
      </c>
      <c r="AE858" s="55">
        <v>4</v>
      </c>
      <c r="AF858" s="55">
        <f t="shared" si="244"/>
        <v>-3</v>
      </c>
    </row>
    <row r="859" spans="1:32" s="55" customFormat="1">
      <c r="A859" s="21" t="s">
        <v>2941</v>
      </c>
      <c r="B859" s="150">
        <v>4436</v>
      </c>
      <c r="C859" s="151" t="s">
        <v>2341</v>
      </c>
      <c r="D859" s="152" t="s">
        <v>44</v>
      </c>
      <c r="E859" s="21" t="s">
        <v>17</v>
      </c>
      <c r="F859" s="22">
        <v>7</v>
      </c>
      <c r="G859" s="22">
        <f t="shared" si="234"/>
        <v>126.65</v>
      </c>
      <c r="H859" s="22">
        <f t="shared" si="245"/>
        <v>160.6</v>
      </c>
      <c r="I859" s="147">
        <f t="shared" si="246"/>
        <v>1124.2</v>
      </c>
      <c r="J859" s="148"/>
      <c r="K859" s="148"/>
      <c r="L859" s="148"/>
      <c r="M859" s="148">
        <v>141.09</v>
      </c>
      <c r="N859" s="148">
        <v>178.92</v>
      </c>
      <c r="O859" s="148">
        <v>1252.44</v>
      </c>
      <c r="P859" s="494"/>
      <c r="Q859" s="147">
        <f t="shared" si="242"/>
        <v>0</v>
      </c>
      <c r="R859" s="148"/>
      <c r="S859" s="148">
        <f t="shared" si="243"/>
        <v>0</v>
      </c>
      <c r="T859" s="148">
        <f t="shared" si="233"/>
        <v>7</v>
      </c>
      <c r="U859" s="148">
        <f t="shared" si="230"/>
        <v>1252.44</v>
      </c>
      <c r="V859" s="379"/>
      <c r="W859" s="379"/>
      <c r="X859" s="57">
        <f>'COMPOSIÇÃO DE CUSTOS'!G2170</f>
        <v>126.65</v>
      </c>
      <c r="Y859" s="334">
        <v>149</v>
      </c>
      <c r="Z859" s="58">
        <f t="shared" si="236"/>
        <v>-22.349999999999994</v>
      </c>
      <c r="AA859" s="58">
        <f t="shared" si="237"/>
        <v>886.55000000000007</v>
      </c>
      <c r="AB859" s="58"/>
      <c r="AC859" s="58">
        <f t="shared" si="238"/>
        <v>1124.2</v>
      </c>
      <c r="AD859" s="58" t="e">
        <f>IF(B859&lt;&gt;0,VLOOKUP(B859,#REF!,2,FALSE),"")</f>
        <v>#REF!</v>
      </c>
      <c r="AE859" s="55">
        <v>6</v>
      </c>
      <c r="AF859" s="55">
        <f t="shared" si="244"/>
        <v>-1</v>
      </c>
    </row>
    <row r="860" spans="1:32" s="55" customFormat="1">
      <c r="A860" s="21" t="s">
        <v>2942</v>
      </c>
      <c r="B860" s="138">
        <v>10243</v>
      </c>
      <c r="C860" s="139" t="s">
        <v>2034</v>
      </c>
      <c r="D860" s="131" t="s">
        <v>44</v>
      </c>
      <c r="E860" s="21" t="s">
        <v>17</v>
      </c>
      <c r="F860" s="22">
        <v>6</v>
      </c>
      <c r="G860" s="22">
        <f t="shared" si="234"/>
        <v>12.75</v>
      </c>
      <c r="H860" s="22">
        <f t="shared" si="245"/>
        <v>16.170000000000002</v>
      </c>
      <c r="I860" s="147">
        <f t="shared" si="246"/>
        <v>97.02</v>
      </c>
      <c r="J860" s="148"/>
      <c r="K860" s="148"/>
      <c r="L860" s="148"/>
      <c r="M860" s="148">
        <v>14.2</v>
      </c>
      <c r="N860" s="148">
        <v>18.010000000000002</v>
      </c>
      <c r="O860" s="148">
        <v>108.06</v>
      </c>
      <c r="P860" s="494"/>
      <c r="Q860" s="147">
        <f t="shared" si="242"/>
        <v>0</v>
      </c>
      <c r="R860" s="148"/>
      <c r="S860" s="148">
        <f t="shared" si="243"/>
        <v>0</v>
      </c>
      <c r="T860" s="148">
        <f t="shared" si="233"/>
        <v>6</v>
      </c>
      <c r="U860" s="148">
        <f t="shared" si="230"/>
        <v>108.06</v>
      </c>
      <c r="V860" s="379"/>
      <c r="W860" s="379"/>
      <c r="X860" s="57">
        <f>'COMPOSIÇÃO DE CUSTOS'!G2180</f>
        <v>12.75</v>
      </c>
      <c r="Y860" s="334">
        <v>15</v>
      </c>
      <c r="Z860" s="58">
        <f t="shared" si="236"/>
        <v>-2.25</v>
      </c>
      <c r="AA860" s="58">
        <f t="shared" si="237"/>
        <v>76.5</v>
      </c>
      <c r="AB860" s="58"/>
      <c r="AC860" s="58">
        <f t="shared" si="238"/>
        <v>97.02000000000001</v>
      </c>
      <c r="AD860" s="58" t="e">
        <f>IF(B860&lt;&gt;0,VLOOKUP(B860,#REF!,2,FALSE),"")</f>
        <v>#REF!</v>
      </c>
      <c r="AE860" s="55">
        <v>6</v>
      </c>
      <c r="AF860" s="55">
        <f t="shared" si="244"/>
        <v>0</v>
      </c>
    </row>
    <row r="861" spans="1:32" s="55" customFormat="1" ht="30">
      <c r="A861" s="21" t="s">
        <v>2943</v>
      </c>
      <c r="B861" s="138" t="s">
        <v>2446</v>
      </c>
      <c r="C861" s="139" t="s">
        <v>1956</v>
      </c>
      <c r="D861" s="131" t="s">
        <v>1914</v>
      </c>
      <c r="E861" s="21" t="s">
        <v>17</v>
      </c>
      <c r="F861" s="22">
        <v>6</v>
      </c>
      <c r="G861" s="22">
        <f t="shared" si="234"/>
        <v>35.453499999999998</v>
      </c>
      <c r="H861" s="22">
        <f t="shared" si="245"/>
        <v>44.96</v>
      </c>
      <c r="I861" s="147">
        <f t="shared" si="246"/>
        <v>269.76</v>
      </c>
      <c r="J861" s="148"/>
      <c r="K861" s="148"/>
      <c r="L861" s="148"/>
      <c r="M861" s="148">
        <v>39.5</v>
      </c>
      <c r="N861" s="148">
        <v>50.09</v>
      </c>
      <c r="O861" s="148">
        <v>300.54000000000002</v>
      </c>
      <c r="P861" s="494"/>
      <c r="Q861" s="147">
        <f t="shared" si="242"/>
        <v>0</v>
      </c>
      <c r="R861" s="148"/>
      <c r="S861" s="148">
        <f t="shared" si="243"/>
        <v>0</v>
      </c>
      <c r="T861" s="148">
        <f t="shared" si="233"/>
        <v>6</v>
      </c>
      <c r="U861" s="148">
        <f t="shared" si="230"/>
        <v>300.54000000000002</v>
      </c>
      <c r="V861" s="379"/>
      <c r="W861" s="379"/>
      <c r="X861" s="57">
        <f>'COMPOSIÇÃO DE CUSTOS'!G2238</f>
        <v>35.44</v>
      </c>
      <c r="Y861" s="334">
        <v>41.71</v>
      </c>
      <c r="Z861" s="58">
        <f t="shared" si="236"/>
        <v>-6.2565000000000026</v>
      </c>
      <c r="AA861" s="58">
        <f t="shared" si="237"/>
        <v>212.721</v>
      </c>
      <c r="AB861" s="58"/>
      <c r="AC861" s="58">
        <f t="shared" si="238"/>
        <v>269.76</v>
      </c>
      <c r="AD861" s="58" t="e">
        <f>IF(B861&lt;&gt;0,VLOOKUP(B861,#REF!,2,FALSE),"")</f>
        <v>#REF!</v>
      </c>
      <c r="AE861" s="55">
        <v>1</v>
      </c>
      <c r="AF861" s="55">
        <f t="shared" si="244"/>
        <v>-5</v>
      </c>
    </row>
    <row r="862" spans="1:32" s="55" customFormat="1" ht="30.75" customHeight="1">
      <c r="A862" s="21" t="s">
        <v>2944</v>
      </c>
      <c r="B862" s="20">
        <v>8681</v>
      </c>
      <c r="C862" s="19" t="s">
        <v>2205</v>
      </c>
      <c r="D862" s="21" t="s">
        <v>44</v>
      </c>
      <c r="E862" s="21" t="s">
        <v>17</v>
      </c>
      <c r="F862" s="22">
        <v>1</v>
      </c>
      <c r="G862" s="22">
        <f t="shared" si="234"/>
        <v>387.66800000000001</v>
      </c>
      <c r="H862" s="22">
        <f t="shared" si="245"/>
        <v>491.6</v>
      </c>
      <c r="I862" s="147">
        <f t="shared" si="246"/>
        <v>491.6</v>
      </c>
      <c r="J862" s="148"/>
      <c r="K862" s="148"/>
      <c r="L862" s="148"/>
      <c r="M862" s="148">
        <v>431.87</v>
      </c>
      <c r="N862" s="148">
        <v>547.65</v>
      </c>
      <c r="O862" s="148">
        <v>547.65</v>
      </c>
      <c r="P862" s="494"/>
      <c r="Q862" s="147">
        <f t="shared" si="242"/>
        <v>0</v>
      </c>
      <c r="R862" s="148"/>
      <c r="S862" s="148">
        <f t="shared" si="243"/>
        <v>0</v>
      </c>
      <c r="T862" s="148">
        <f t="shared" si="233"/>
        <v>1</v>
      </c>
      <c r="U862" s="148">
        <f t="shared" si="230"/>
        <v>547.65</v>
      </c>
      <c r="V862" s="379"/>
      <c r="W862" s="379"/>
      <c r="X862" s="57">
        <f>'COMPOSIÇÃO DE CUSTOS'!G1940</f>
        <v>387.68</v>
      </c>
      <c r="Y862" s="334">
        <v>456.08</v>
      </c>
      <c r="Z862" s="58">
        <f t="shared" si="236"/>
        <v>-68.411999999999978</v>
      </c>
      <c r="AA862" s="58">
        <f t="shared" si="237"/>
        <v>387.66800000000001</v>
      </c>
      <c r="AB862" s="58"/>
      <c r="AC862" s="58">
        <f t="shared" si="238"/>
        <v>491.6</v>
      </c>
      <c r="AD862" s="58" t="e">
        <f>IF(B862&lt;&gt;0,VLOOKUP(B862,#REF!,2,FALSE),"")</f>
        <v>#REF!</v>
      </c>
      <c r="AE862" s="55">
        <v>1</v>
      </c>
      <c r="AF862" s="55">
        <f t="shared" si="244"/>
        <v>0</v>
      </c>
    </row>
    <row r="863" spans="1:32" s="55" customFormat="1" ht="30">
      <c r="A863" s="21" t="s">
        <v>2945</v>
      </c>
      <c r="B863" s="144">
        <v>13247</v>
      </c>
      <c r="C863" s="143" t="s">
        <v>1951</v>
      </c>
      <c r="D863" s="154" t="s">
        <v>44</v>
      </c>
      <c r="E863" s="21" t="s">
        <v>17</v>
      </c>
      <c r="F863" s="22">
        <v>1</v>
      </c>
      <c r="G863" s="22">
        <f t="shared" si="234"/>
        <v>759.39</v>
      </c>
      <c r="H863" s="22">
        <f t="shared" si="245"/>
        <v>962.98</v>
      </c>
      <c r="I863" s="147">
        <f t="shared" si="246"/>
        <v>962.98</v>
      </c>
      <c r="J863" s="148"/>
      <c r="K863" s="148"/>
      <c r="L863" s="148"/>
      <c r="M863" s="148">
        <v>845.97</v>
      </c>
      <c r="N863" s="148">
        <v>1072.77</v>
      </c>
      <c r="O863" s="148">
        <v>1072.77</v>
      </c>
      <c r="P863" s="494"/>
      <c r="Q863" s="147">
        <f t="shared" si="242"/>
        <v>0</v>
      </c>
      <c r="R863" s="148"/>
      <c r="S863" s="148">
        <f t="shared" si="243"/>
        <v>0</v>
      </c>
      <c r="T863" s="148">
        <f t="shared" si="233"/>
        <v>1</v>
      </c>
      <c r="U863" s="148">
        <f t="shared" si="230"/>
        <v>1072.77</v>
      </c>
      <c r="V863" s="379"/>
      <c r="W863" s="379"/>
      <c r="X863" s="57">
        <f>'COMPOSIÇÃO DE CUSTOS'!G1954</f>
        <v>759.4</v>
      </c>
      <c r="Y863" s="334">
        <v>893.4</v>
      </c>
      <c r="Z863" s="58">
        <f t="shared" si="236"/>
        <v>-134.01</v>
      </c>
      <c r="AA863" s="58">
        <f t="shared" si="237"/>
        <v>759.39</v>
      </c>
      <c r="AB863" s="58"/>
      <c r="AC863" s="58">
        <f t="shared" si="238"/>
        <v>962.98</v>
      </c>
      <c r="AD863" s="58" t="e">
        <f>IF(B863&lt;&gt;0,VLOOKUP(B863,#REF!,2,FALSE),"")</f>
        <v>#REF!</v>
      </c>
      <c r="AE863" s="55">
        <v>1</v>
      </c>
      <c r="AF863" s="55">
        <f t="shared" si="244"/>
        <v>0</v>
      </c>
    </row>
    <row r="864" spans="1:32" s="55" customFormat="1" ht="30">
      <c r="A864" s="21" t="s">
        <v>2946</v>
      </c>
      <c r="B864" s="20">
        <v>4350</v>
      </c>
      <c r="C864" s="19" t="s">
        <v>1953</v>
      </c>
      <c r="D864" s="21" t="s">
        <v>44</v>
      </c>
      <c r="E864" s="21" t="s">
        <v>17</v>
      </c>
      <c r="F864" s="22">
        <v>1</v>
      </c>
      <c r="G864" s="22">
        <f t="shared" si="234"/>
        <v>1506.4634999999998</v>
      </c>
      <c r="H864" s="22">
        <f t="shared" si="245"/>
        <v>1910.35</v>
      </c>
      <c r="I864" s="147">
        <f t="shared" si="246"/>
        <v>1910.35</v>
      </c>
      <c r="J864" s="148"/>
      <c r="K864" s="148"/>
      <c r="L864" s="148"/>
      <c r="M864" s="148">
        <v>1678.21</v>
      </c>
      <c r="N864" s="148">
        <v>2128.14</v>
      </c>
      <c r="O864" s="148">
        <v>2128.14</v>
      </c>
      <c r="P864" s="494"/>
      <c r="Q864" s="147">
        <f t="shared" si="242"/>
        <v>0</v>
      </c>
      <c r="R864" s="148"/>
      <c r="S864" s="148">
        <f t="shared" si="243"/>
        <v>0</v>
      </c>
      <c r="T864" s="148">
        <f t="shared" si="233"/>
        <v>1</v>
      </c>
      <c r="U864" s="148">
        <f t="shared" si="230"/>
        <v>2128.14</v>
      </c>
      <c r="V864" s="379"/>
      <c r="W864" s="379"/>
      <c r="X864" s="57">
        <f>'COMPOSIÇÃO DE CUSTOS'!G1960</f>
        <v>1506.47</v>
      </c>
      <c r="Y864" s="334">
        <v>1772.31</v>
      </c>
      <c r="Z864" s="58">
        <f t="shared" si="236"/>
        <v>-265.84650000000011</v>
      </c>
      <c r="AA864" s="58">
        <f t="shared" si="237"/>
        <v>1506.4634999999998</v>
      </c>
      <c r="AB864" s="58"/>
      <c r="AC864" s="58">
        <f t="shared" si="238"/>
        <v>1910.35</v>
      </c>
      <c r="AD864" s="58" t="e">
        <f>IF(B864&lt;&gt;0,VLOOKUP(B864,#REF!,2,FALSE),"")</f>
        <v>#REF!</v>
      </c>
      <c r="AE864" s="55">
        <v>4</v>
      </c>
      <c r="AF864" s="55">
        <f t="shared" si="244"/>
        <v>3</v>
      </c>
    </row>
    <row r="865" spans="1:32" s="55" customFormat="1">
      <c r="A865" s="21" t="s">
        <v>2947</v>
      </c>
      <c r="B865" s="20">
        <v>8914</v>
      </c>
      <c r="C865" s="19" t="s">
        <v>298</v>
      </c>
      <c r="D865" s="21" t="s">
        <v>44</v>
      </c>
      <c r="E865" s="21" t="s">
        <v>17</v>
      </c>
      <c r="F865" s="22">
        <v>4</v>
      </c>
      <c r="G865" s="22">
        <f t="shared" si="234"/>
        <v>401.625</v>
      </c>
      <c r="H865" s="22">
        <f t="shared" si="245"/>
        <v>509.3</v>
      </c>
      <c r="I865" s="147">
        <f t="shared" si="246"/>
        <v>2037.2</v>
      </c>
      <c r="J865" s="148"/>
      <c r="K865" s="148"/>
      <c r="L865" s="148"/>
      <c r="M865" s="148">
        <v>447.41</v>
      </c>
      <c r="N865" s="148">
        <v>567.36</v>
      </c>
      <c r="O865" s="148">
        <v>2269.44</v>
      </c>
      <c r="P865" s="494"/>
      <c r="Q865" s="147">
        <f t="shared" si="242"/>
        <v>0</v>
      </c>
      <c r="R865" s="148"/>
      <c r="S865" s="148">
        <f t="shared" si="243"/>
        <v>0</v>
      </c>
      <c r="T865" s="148">
        <f t="shared" si="233"/>
        <v>4</v>
      </c>
      <c r="U865" s="148">
        <f t="shared" ref="U865:U958" si="247">L865+Q865-S865+O865</f>
        <v>2269.44</v>
      </c>
      <c r="V865" s="379"/>
      <c r="W865" s="379"/>
      <c r="X865" s="57">
        <f>'COMPOSIÇÃO DE CUSTOS'!G2143</f>
        <v>401.63</v>
      </c>
      <c r="Y865" s="334">
        <v>472.5</v>
      </c>
      <c r="Z865" s="58">
        <f t="shared" si="236"/>
        <v>-70.875</v>
      </c>
      <c r="AA865" s="58">
        <f t="shared" si="237"/>
        <v>1606.5</v>
      </c>
      <c r="AB865" s="58"/>
      <c r="AC865" s="58">
        <f t="shared" si="238"/>
        <v>2037.2</v>
      </c>
      <c r="AD865" s="58" t="e">
        <f>IF(B865&lt;&gt;0,VLOOKUP(B865,#REF!,2,FALSE),"")</f>
        <v>#REF!</v>
      </c>
      <c r="AE865" s="55">
        <v>1</v>
      </c>
      <c r="AF865" s="55">
        <f t="shared" si="244"/>
        <v>-3</v>
      </c>
    </row>
    <row r="866" spans="1:32" s="55" customFormat="1" ht="30">
      <c r="A866" s="21" t="s">
        <v>2948</v>
      </c>
      <c r="B866" s="20">
        <v>11419</v>
      </c>
      <c r="C866" s="19" t="s">
        <v>220</v>
      </c>
      <c r="D866" s="21" t="s">
        <v>44</v>
      </c>
      <c r="E866" s="21" t="s">
        <v>17</v>
      </c>
      <c r="F866" s="22">
        <v>1</v>
      </c>
      <c r="G866" s="22">
        <f t="shared" si="234"/>
        <v>17.977499999999999</v>
      </c>
      <c r="H866" s="22">
        <f t="shared" si="245"/>
        <v>22.8</v>
      </c>
      <c r="I866" s="147">
        <f t="shared" si="246"/>
        <v>22.8</v>
      </c>
      <c r="J866" s="148"/>
      <c r="K866" s="148"/>
      <c r="L866" s="148"/>
      <c r="M866" s="148">
        <v>20.03</v>
      </c>
      <c r="N866" s="148">
        <v>25.4</v>
      </c>
      <c r="O866" s="148">
        <v>25.4</v>
      </c>
      <c r="P866" s="494"/>
      <c r="Q866" s="147">
        <f>ROUND(P866*N866,2)</f>
        <v>0</v>
      </c>
      <c r="R866" s="148"/>
      <c r="S866" s="148">
        <f t="shared" si="243"/>
        <v>0</v>
      </c>
      <c r="T866" s="148">
        <f t="shared" si="233"/>
        <v>1</v>
      </c>
      <c r="U866" s="148">
        <f t="shared" si="247"/>
        <v>25.4</v>
      </c>
      <c r="V866" s="379"/>
      <c r="W866" s="379"/>
      <c r="X866" s="57">
        <f>'COMPOSIÇÃO DE CUSTOS'!G1933</f>
        <v>21.15</v>
      </c>
      <c r="Y866" s="334">
        <v>21.15</v>
      </c>
      <c r="Z866" s="58">
        <f t="shared" si="236"/>
        <v>-3.1724999999999994</v>
      </c>
      <c r="AA866" s="58">
        <f t="shared" si="237"/>
        <v>17.977499999999999</v>
      </c>
      <c r="AB866" s="58"/>
      <c r="AC866" s="58">
        <f t="shared" si="238"/>
        <v>22.8</v>
      </c>
      <c r="AD866" s="58" t="e">
        <f>IF(B866&lt;&gt;0,VLOOKUP(B866,#REF!,2,FALSE),"")</f>
        <v>#REF!</v>
      </c>
      <c r="AF866" s="55">
        <f t="shared" si="244"/>
        <v>-1</v>
      </c>
    </row>
    <row r="867" spans="1:32" s="55" customFormat="1">
      <c r="A867" s="21"/>
      <c r="B867" s="20"/>
      <c r="C867" s="19"/>
      <c r="D867" s="21"/>
      <c r="E867" s="21"/>
      <c r="F867" s="22"/>
      <c r="G867" s="22"/>
      <c r="H867" s="22"/>
      <c r="I867" s="147"/>
      <c r="J867" s="148"/>
      <c r="K867" s="148"/>
      <c r="L867" s="148"/>
      <c r="M867" s="148"/>
      <c r="N867" s="148"/>
      <c r="O867" s="148"/>
      <c r="P867" s="494"/>
      <c r="Q867" s="147"/>
      <c r="R867" s="148"/>
      <c r="S867" s="148"/>
      <c r="T867" s="148" t="str">
        <f t="shared" ref="T867:T960" si="248">IF(F867&gt;0,F867+P867-R867," ")</f>
        <v xml:space="preserve"> </v>
      </c>
      <c r="U867" s="148"/>
      <c r="V867" s="379"/>
      <c r="W867" s="379"/>
      <c r="X867" s="58" t="str">
        <f>IF(B867&lt;&gt;0,VLOOKUP(B867,#REF!,4,FALSE),"")</f>
        <v/>
      </c>
      <c r="Y867" s="334" t="s">
        <v>1891</v>
      </c>
      <c r="Z867" s="58"/>
      <c r="AA867" s="58">
        <f t="shared" si="237"/>
        <v>0</v>
      </c>
      <c r="AB867" s="58"/>
      <c r="AC867" s="58">
        <f t="shared" si="238"/>
        <v>0</v>
      </c>
      <c r="AD867" s="58" t="str">
        <f>IF(B867&lt;&gt;0,VLOOKUP(B867,#REF!,2,FALSE),"")</f>
        <v/>
      </c>
      <c r="AF867" s="55">
        <f t="shared" si="244"/>
        <v>0</v>
      </c>
    </row>
    <row r="868" spans="1:32" s="55" customFormat="1">
      <c r="A868" s="69" t="s">
        <v>1390</v>
      </c>
      <c r="B868" s="129"/>
      <c r="C868" s="229" t="s">
        <v>299</v>
      </c>
      <c r="D868" s="230"/>
      <c r="E868" s="230"/>
      <c r="F868" s="230"/>
      <c r="G868" s="22"/>
      <c r="H868" s="230"/>
      <c r="I868" s="445">
        <f>ROUND(SUM(I870:I885),2)</f>
        <v>43692.65</v>
      </c>
      <c r="J868" s="440"/>
      <c r="K868" s="440"/>
      <c r="L868" s="440"/>
      <c r="M868" s="440"/>
      <c r="N868" s="440"/>
      <c r="O868" s="440">
        <v>50290.64</v>
      </c>
      <c r="P868" s="492"/>
      <c r="Q868" s="445">
        <f>ROUND(SUM(Q870:Q885),2)</f>
        <v>0</v>
      </c>
      <c r="R868" s="440"/>
      <c r="S868" s="440">
        <f>ROUND(SUM(S870:S885),2)</f>
        <v>0</v>
      </c>
      <c r="T868" s="148" t="str">
        <f t="shared" si="248"/>
        <v xml:space="preserve"> </v>
      </c>
      <c r="U868" s="440">
        <f t="shared" si="247"/>
        <v>50290.64</v>
      </c>
      <c r="V868" s="330"/>
      <c r="W868" s="330"/>
      <c r="X868" s="58" t="str">
        <f>IF(B868&lt;&gt;0,VLOOKUP(B868,#REF!,4,FALSE),"")</f>
        <v/>
      </c>
      <c r="Y868" s="334" t="s">
        <v>1891</v>
      </c>
      <c r="Z868" s="58"/>
      <c r="AA868" s="58">
        <f t="shared" si="237"/>
        <v>0</v>
      </c>
      <c r="AB868" s="58"/>
      <c r="AC868" s="58">
        <f t="shared" si="238"/>
        <v>0</v>
      </c>
      <c r="AD868" s="58" t="str">
        <f>IF(B868&lt;&gt;0,VLOOKUP(B868,#REF!,2,FALSE),"")</f>
        <v/>
      </c>
      <c r="AF868" s="55">
        <f t="shared" si="244"/>
        <v>0</v>
      </c>
    </row>
    <row r="869" spans="1:32" s="55" customFormat="1">
      <c r="A869" s="69" t="s">
        <v>1391</v>
      </c>
      <c r="B869" s="129"/>
      <c r="C869" s="229" t="s">
        <v>300</v>
      </c>
      <c r="D869" s="230"/>
      <c r="E869" s="230"/>
      <c r="F869" s="230"/>
      <c r="G869" s="22"/>
      <c r="H869" s="230"/>
      <c r="I869" s="445"/>
      <c r="J869" s="440"/>
      <c r="K869" s="440"/>
      <c r="L869" s="440"/>
      <c r="M869" s="440"/>
      <c r="N869" s="440"/>
      <c r="O869" s="440"/>
      <c r="P869" s="492"/>
      <c r="Q869" s="445"/>
      <c r="R869" s="440"/>
      <c r="S869" s="440"/>
      <c r="T869" s="148" t="str">
        <f t="shared" si="248"/>
        <v xml:space="preserve"> </v>
      </c>
      <c r="U869" s="148"/>
      <c r="V869" s="330"/>
      <c r="W869" s="330"/>
      <c r="X869" s="58" t="str">
        <f>IF(B869&lt;&gt;0,VLOOKUP(B869,#REF!,4,FALSE),"")</f>
        <v/>
      </c>
      <c r="Y869" s="334" t="s">
        <v>1891</v>
      </c>
      <c r="Z869" s="58"/>
      <c r="AA869" s="58">
        <f t="shared" si="237"/>
        <v>0</v>
      </c>
      <c r="AB869" s="58"/>
      <c r="AC869" s="58">
        <f t="shared" si="238"/>
        <v>0</v>
      </c>
      <c r="AD869" s="58" t="str">
        <f>IF(B869&lt;&gt;0,VLOOKUP(B869,#REF!,2,FALSE),"")</f>
        <v/>
      </c>
      <c r="AE869" s="55">
        <v>312</v>
      </c>
      <c r="AF869" s="55">
        <f t="shared" si="244"/>
        <v>312</v>
      </c>
    </row>
    <row r="870" spans="1:32" s="55" customFormat="1" ht="45">
      <c r="A870" s="21" t="s">
        <v>2949</v>
      </c>
      <c r="B870" s="20">
        <v>96973</v>
      </c>
      <c r="C870" s="19" t="s">
        <v>2508</v>
      </c>
      <c r="D870" s="21" t="s">
        <v>12</v>
      </c>
      <c r="E870" s="21" t="s">
        <v>52</v>
      </c>
      <c r="F870" s="22">
        <v>312</v>
      </c>
      <c r="G870" s="22">
        <f t="shared" si="234"/>
        <v>49.376500000000007</v>
      </c>
      <c r="H870" s="22">
        <f t="shared" ref="H870:H875" si="249">ROUND(G870*(1+$X$13),2)</f>
        <v>62.61</v>
      </c>
      <c r="I870" s="147">
        <f t="shared" ref="I870:I875" si="250">ROUND(H870*F870,2)</f>
        <v>19534.32</v>
      </c>
      <c r="J870" s="148"/>
      <c r="K870" s="148"/>
      <c r="L870" s="148"/>
      <c r="M870" s="148">
        <v>59.09</v>
      </c>
      <c r="N870" s="148">
        <v>74.930000000000007</v>
      </c>
      <c r="O870" s="148">
        <v>23378.16</v>
      </c>
      <c r="P870" s="494"/>
      <c r="Q870" s="147">
        <f t="shared" ref="Q870:Q884" si="251">ROUND(P870*N870,2)</f>
        <v>0</v>
      </c>
      <c r="R870" s="148"/>
      <c r="S870" s="148">
        <f>ROUND(R870*N870,2)</f>
        <v>0</v>
      </c>
      <c r="T870" s="148">
        <f t="shared" si="248"/>
        <v>312</v>
      </c>
      <c r="U870" s="148">
        <f t="shared" si="247"/>
        <v>23378.16</v>
      </c>
      <c r="V870" s="379"/>
      <c r="W870" s="379"/>
      <c r="X870" s="58" t="e">
        <f>IF(B870&lt;&gt;0,VLOOKUP(B870,#REF!,4,FALSE),"")</f>
        <v>#REF!</v>
      </c>
      <c r="Y870" s="334" t="s">
        <v>3257</v>
      </c>
      <c r="Z870" s="58">
        <f t="shared" si="236"/>
        <v>-8.7134999999999962</v>
      </c>
      <c r="AA870" s="58">
        <f t="shared" si="237"/>
        <v>15405.468000000003</v>
      </c>
      <c r="AB870" s="58"/>
      <c r="AC870" s="58">
        <f t="shared" si="238"/>
        <v>19534.32</v>
      </c>
      <c r="AD870" s="58" t="e">
        <f>IF(B870&lt;&gt;0,VLOOKUP(B870,#REF!,2,FALSE),"")</f>
        <v>#REF!</v>
      </c>
      <c r="AE870" s="55">
        <v>18</v>
      </c>
      <c r="AF870" s="55">
        <f t="shared" si="244"/>
        <v>-294</v>
      </c>
    </row>
    <row r="871" spans="1:32" s="55" customFormat="1" ht="30">
      <c r="A871" s="21" t="s">
        <v>2950</v>
      </c>
      <c r="B871" s="20">
        <v>8795</v>
      </c>
      <c r="C871" s="19" t="s">
        <v>301</v>
      </c>
      <c r="D871" s="21" t="s">
        <v>44</v>
      </c>
      <c r="E871" s="21" t="s">
        <v>17</v>
      </c>
      <c r="F871" s="22">
        <v>18</v>
      </c>
      <c r="G871" s="22">
        <f t="shared" si="234"/>
        <v>19.473500000000001</v>
      </c>
      <c r="H871" s="22">
        <f t="shared" si="249"/>
        <v>24.69</v>
      </c>
      <c r="I871" s="147">
        <f t="shared" si="250"/>
        <v>444.42</v>
      </c>
      <c r="J871" s="148"/>
      <c r="K871" s="148"/>
      <c r="L871" s="148"/>
      <c r="M871" s="148">
        <v>21.69</v>
      </c>
      <c r="N871" s="148">
        <v>27.51</v>
      </c>
      <c r="O871" s="148">
        <v>495.18</v>
      </c>
      <c r="P871" s="494"/>
      <c r="Q871" s="147">
        <f t="shared" si="251"/>
        <v>0</v>
      </c>
      <c r="R871" s="148"/>
      <c r="S871" s="148">
        <f t="shared" ref="S871:S885" si="252">ROUND(R871*N871,2)</f>
        <v>0</v>
      </c>
      <c r="T871" s="148">
        <f t="shared" si="248"/>
        <v>18</v>
      </c>
      <c r="U871" s="148">
        <f t="shared" si="247"/>
        <v>495.18</v>
      </c>
      <c r="V871" s="379"/>
      <c r="W871" s="379"/>
      <c r="X871" s="58">
        <f>'COMPOSIÇÃO DE CUSTOS'!G2150</f>
        <v>19.47</v>
      </c>
      <c r="Y871" s="334">
        <v>22.91</v>
      </c>
      <c r="Z871" s="58">
        <f t="shared" si="236"/>
        <v>-3.4364999999999988</v>
      </c>
      <c r="AA871" s="58">
        <f t="shared" si="237"/>
        <v>350.52300000000002</v>
      </c>
      <c r="AB871" s="58"/>
      <c r="AC871" s="58">
        <f t="shared" si="238"/>
        <v>444.42</v>
      </c>
      <c r="AD871" s="58" t="e">
        <f>IF(B871&lt;&gt;0,VLOOKUP(B871,#REF!,2,FALSE),"")</f>
        <v>#REF!</v>
      </c>
      <c r="AE871" s="55">
        <v>1</v>
      </c>
      <c r="AF871" s="55">
        <f t="shared" si="244"/>
        <v>-17</v>
      </c>
    </row>
    <row r="872" spans="1:32" ht="30">
      <c r="A872" s="21" t="s">
        <v>2951</v>
      </c>
      <c r="B872" s="20">
        <v>96989</v>
      </c>
      <c r="C872" s="19" t="s">
        <v>2509</v>
      </c>
      <c r="D872" s="21" t="s">
        <v>12</v>
      </c>
      <c r="E872" s="21" t="s">
        <v>17</v>
      </c>
      <c r="F872" s="22">
        <v>1</v>
      </c>
      <c r="G872" s="22">
        <f t="shared" si="234"/>
        <v>103.10499999999999</v>
      </c>
      <c r="H872" s="22">
        <f t="shared" si="249"/>
        <v>130.75</v>
      </c>
      <c r="I872" s="147">
        <f t="shared" si="250"/>
        <v>130.75</v>
      </c>
      <c r="J872" s="148"/>
      <c r="K872" s="148"/>
      <c r="L872" s="148"/>
      <c r="M872" s="148">
        <v>114.86</v>
      </c>
      <c r="N872" s="148">
        <v>145.65</v>
      </c>
      <c r="O872" s="148">
        <v>145.65</v>
      </c>
      <c r="P872" s="494"/>
      <c r="Q872" s="147">
        <f t="shared" si="251"/>
        <v>0</v>
      </c>
      <c r="R872" s="148"/>
      <c r="S872" s="148">
        <f t="shared" si="252"/>
        <v>0</v>
      </c>
      <c r="T872" s="148">
        <f t="shared" si="248"/>
        <v>1</v>
      </c>
      <c r="U872" s="148">
        <f t="shared" si="247"/>
        <v>145.65</v>
      </c>
      <c r="V872" s="379"/>
      <c r="W872" s="379"/>
      <c r="X872" s="30" t="e">
        <f>IF(B872&lt;&gt;0,VLOOKUP(B872,#REF!,4,FALSE),"")</f>
        <v>#REF!</v>
      </c>
      <c r="Y872" s="337" t="s">
        <v>3261</v>
      </c>
      <c r="Z872" s="58">
        <f t="shared" si="236"/>
        <v>-18.195000000000007</v>
      </c>
      <c r="AA872" s="58">
        <f t="shared" si="237"/>
        <v>103.10499999999999</v>
      </c>
      <c r="AB872" s="58"/>
      <c r="AC872" s="58">
        <f t="shared" si="238"/>
        <v>130.75</v>
      </c>
      <c r="AD872" s="30" t="e">
        <f>IF(B872&lt;&gt;0,VLOOKUP(B872,#REF!,2,FALSE),"")</f>
        <v>#REF!</v>
      </c>
      <c r="AE872" s="2">
        <v>245</v>
      </c>
      <c r="AF872" s="2">
        <f t="shared" si="244"/>
        <v>244</v>
      </c>
    </row>
    <row r="873" spans="1:32" ht="30">
      <c r="A873" s="21" t="s">
        <v>2952</v>
      </c>
      <c r="B873" s="20">
        <v>96987</v>
      </c>
      <c r="C873" s="19" t="s">
        <v>3088</v>
      </c>
      <c r="D873" s="21" t="s">
        <v>12</v>
      </c>
      <c r="E873" s="21" t="s">
        <v>17</v>
      </c>
      <c r="F873" s="22">
        <v>1</v>
      </c>
      <c r="G873" s="22">
        <f t="shared" si="234"/>
        <v>97.393000000000001</v>
      </c>
      <c r="H873" s="22">
        <f t="shared" si="249"/>
        <v>123.5</v>
      </c>
      <c r="I873" s="147">
        <f>ROUND(H873*F873,2)</f>
        <v>123.5</v>
      </c>
      <c r="J873" s="148"/>
      <c r="K873" s="148"/>
      <c r="L873" s="148"/>
      <c r="M873" s="148">
        <v>108.5</v>
      </c>
      <c r="N873" s="148">
        <v>137.59</v>
      </c>
      <c r="O873" s="148">
        <v>137.59</v>
      </c>
      <c r="P873" s="494"/>
      <c r="Q873" s="147">
        <f t="shared" si="251"/>
        <v>0</v>
      </c>
      <c r="R873" s="148"/>
      <c r="S873" s="148">
        <f t="shared" si="252"/>
        <v>0</v>
      </c>
      <c r="T873" s="148">
        <f t="shared" si="248"/>
        <v>1</v>
      </c>
      <c r="U873" s="148">
        <f t="shared" si="247"/>
        <v>137.59</v>
      </c>
      <c r="V873" s="379"/>
      <c r="W873" s="379"/>
      <c r="X873" s="30" t="e">
        <f>IF(B873&lt;&gt;0,VLOOKUP(B873,#REF!,4,FALSE),"")</f>
        <v>#REF!</v>
      </c>
      <c r="Y873" s="337" t="s">
        <v>3259</v>
      </c>
      <c r="Z873" s="58">
        <f t="shared" si="236"/>
        <v>-17.186999999999998</v>
      </c>
      <c r="AA873" s="58">
        <f t="shared" si="237"/>
        <v>97.393000000000001</v>
      </c>
      <c r="AB873" s="58"/>
      <c r="AC873" s="58">
        <f t="shared" si="238"/>
        <v>123.5</v>
      </c>
      <c r="AD873" s="30" t="e">
        <f>IF(B873&lt;&gt;0,VLOOKUP(B873,#REF!,2,FALSE),"")</f>
        <v>#REF!</v>
      </c>
    </row>
    <row r="874" spans="1:32" ht="30">
      <c r="A874" s="21" t="s">
        <v>3083</v>
      </c>
      <c r="B874" s="20">
        <v>96988</v>
      </c>
      <c r="C874" s="19" t="s">
        <v>3089</v>
      </c>
      <c r="D874" s="21" t="s">
        <v>12</v>
      </c>
      <c r="E874" s="21" t="s">
        <v>17</v>
      </c>
      <c r="F874" s="22">
        <v>1</v>
      </c>
      <c r="G874" s="22">
        <f t="shared" si="234"/>
        <v>156.995</v>
      </c>
      <c r="H874" s="22">
        <f t="shared" si="249"/>
        <v>199.09</v>
      </c>
      <c r="I874" s="147">
        <f>ROUND(H874*F874,2)</f>
        <v>199.09</v>
      </c>
      <c r="J874" s="148"/>
      <c r="K874" s="148"/>
      <c r="L874" s="148"/>
      <c r="M874" s="148">
        <v>174.89</v>
      </c>
      <c r="N874" s="148">
        <v>221.78</v>
      </c>
      <c r="O874" s="148">
        <v>221.78</v>
      </c>
      <c r="P874" s="494"/>
      <c r="Q874" s="147">
        <f t="shared" si="251"/>
        <v>0</v>
      </c>
      <c r="R874" s="148"/>
      <c r="S874" s="148">
        <f t="shared" si="252"/>
        <v>0</v>
      </c>
      <c r="T874" s="148">
        <f t="shared" si="248"/>
        <v>1</v>
      </c>
      <c r="U874" s="148">
        <f t="shared" si="247"/>
        <v>221.78</v>
      </c>
      <c r="V874" s="379"/>
      <c r="W874" s="379"/>
      <c r="X874" s="30" t="e">
        <f>IF(B874&lt;&gt;0,VLOOKUP(B874,#REF!,4,FALSE),"")</f>
        <v>#REF!</v>
      </c>
      <c r="Y874" s="337" t="s">
        <v>3260</v>
      </c>
      <c r="Z874" s="58">
        <f t="shared" si="236"/>
        <v>-27.704999999999984</v>
      </c>
      <c r="AA874" s="58">
        <f t="shared" si="237"/>
        <v>156.995</v>
      </c>
      <c r="AB874" s="58"/>
      <c r="AC874" s="58">
        <f t="shared" si="238"/>
        <v>199.09</v>
      </c>
      <c r="AD874" s="30" t="e">
        <f>IF(B874&lt;&gt;0,VLOOKUP(B874,#REF!,2,FALSE),"")</f>
        <v>#REF!</v>
      </c>
    </row>
    <row r="875" spans="1:32" ht="30">
      <c r="A875" s="21" t="s">
        <v>3084</v>
      </c>
      <c r="B875" s="20">
        <v>10694</v>
      </c>
      <c r="C875" s="19" t="s">
        <v>302</v>
      </c>
      <c r="D875" s="21" t="s">
        <v>44</v>
      </c>
      <c r="E875" s="21" t="s">
        <v>17</v>
      </c>
      <c r="F875" s="22">
        <v>245</v>
      </c>
      <c r="G875" s="22">
        <f t="shared" si="234"/>
        <v>19.694500000000001</v>
      </c>
      <c r="H875" s="22">
        <f t="shared" si="249"/>
        <v>24.97</v>
      </c>
      <c r="I875" s="147">
        <f t="shared" si="250"/>
        <v>6117.65</v>
      </c>
      <c r="J875" s="148"/>
      <c r="K875" s="148"/>
      <c r="L875" s="148"/>
      <c r="M875" s="148">
        <v>21.94</v>
      </c>
      <c r="N875" s="148">
        <v>27.82</v>
      </c>
      <c r="O875" s="148">
        <v>6815.9</v>
      </c>
      <c r="P875" s="494"/>
      <c r="Q875" s="147">
        <f t="shared" si="251"/>
        <v>0</v>
      </c>
      <c r="R875" s="148"/>
      <c r="S875" s="148">
        <f t="shared" si="252"/>
        <v>0</v>
      </c>
      <c r="T875" s="148">
        <f t="shared" si="248"/>
        <v>245</v>
      </c>
      <c r="U875" s="148">
        <f t="shared" si="247"/>
        <v>6815.9</v>
      </c>
      <c r="V875" s="379"/>
      <c r="W875" s="379"/>
      <c r="X875" s="30">
        <f>'COMPOSIÇÃO DE CUSTOS'!G1921</f>
        <v>19.690000000000001</v>
      </c>
      <c r="Y875" s="337">
        <v>23.17</v>
      </c>
      <c r="Z875" s="58">
        <f t="shared" si="236"/>
        <v>-3.4755000000000003</v>
      </c>
      <c r="AA875" s="58">
        <f t="shared" si="237"/>
        <v>4825.1525000000001</v>
      </c>
      <c r="AB875" s="58"/>
      <c r="AC875" s="58">
        <f t="shared" si="238"/>
        <v>6117.65</v>
      </c>
      <c r="AD875" s="30" t="e">
        <f>IF(B875&lt;&gt;0,VLOOKUP(B875,#REF!,2,FALSE),"")</f>
        <v>#REF!</v>
      </c>
      <c r="AF875" s="2">
        <f t="shared" ref="AF875:AF890" si="253">AE875-F875</f>
        <v>-245</v>
      </c>
    </row>
    <row r="876" spans="1:32" s="55" customFormat="1">
      <c r="A876" s="69" t="s">
        <v>1398</v>
      </c>
      <c r="B876" s="129"/>
      <c r="C876" s="229" t="s">
        <v>303</v>
      </c>
      <c r="D876" s="230"/>
      <c r="E876" s="230"/>
      <c r="F876" s="230"/>
      <c r="G876" s="22"/>
      <c r="H876" s="230"/>
      <c r="I876" s="445"/>
      <c r="J876" s="440"/>
      <c r="K876" s="440"/>
      <c r="L876" s="440"/>
      <c r="M876" s="440"/>
      <c r="N876" s="440"/>
      <c r="O876" s="440"/>
      <c r="P876" s="492"/>
      <c r="Q876" s="147"/>
      <c r="R876" s="440"/>
      <c r="S876" s="148"/>
      <c r="T876" s="148" t="str">
        <f t="shared" si="248"/>
        <v xml:space="preserve"> </v>
      </c>
      <c r="U876" s="148"/>
      <c r="V876" s="330"/>
      <c r="W876" s="330"/>
      <c r="X876" s="58" t="str">
        <f>IF(B876&lt;&gt;0,VLOOKUP(B876,#REF!,4,FALSE),"")</f>
        <v/>
      </c>
      <c r="Y876" s="334" t="s">
        <v>1891</v>
      </c>
      <c r="Z876" s="58"/>
      <c r="AA876" s="58">
        <f t="shared" ref="AA876:AA971" si="254">F876*G876</f>
        <v>0</v>
      </c>
      <c r="AB876" s="58"/>
      <c r="AC876" s="58">
        <f t="shared" ref="AC876:AC971" si="255">F876*H876</f>
        <v>0</v>
      </c>
      <c r="AD876" s="58" t="str">
        <f>IF(B876&lt;&gt;0,VLOOKUP(B876,#REF!,2,FALSE),"")</f>
        <v/>
      </c>
      <c r="AE876" s="55">
        <v>77</v>
      </c>
      <c r="AF876" s="55">
        <f t="shared" si="253"/>
        <v>77</v>
      </c>
    </row>
    <row r="877" spans="1:32" s="55" customFormat="1" ht="45">
      <c r="A877" s="21" t="s">
        <v>1399</v>
      </c>
      <c r="B877" s="20"/>
      <c r="C877" s="19" t="s">
        <v>304</v>
      </c>
      <c r="D877" s="21" t="s">
        <v>44</v>
      </c>
      <c r="E877" s="21" t="s">
        <v>17</v>
      </c>
      <c r="F877" s="22">
        <v>77</v>
      </c>
      <c r="G877" s="22">
        <f t="shared" ref="G877:G968" si="256">Y877-(Y877*$Z$14)</f>
        <v>52.003</v>
      </c>
      <c r="H877" s="22">
        <f>ROUND(G877*(1+$X$13),2)</f>
        <v>65.95</v>
      </c>
      <c r="I877" s="147">
        <f>ROUND(H877*F877,2)</f>
        <v>5078.1499999999996</v>
      </c>
      <c r="J877" s="148"/>
      <c r="K877" s="148"/>
      <c r="L877" s="148"/>
      <c r="M877" s="148">
        <v>57.93</v>
      </c>
      <c r="N877" s="148">
        <v>73.459999999999994</v>
      </c>
      <c r="O877" s="148">
        <v>5656.42</v>
      </c>
      <c r="P877" s="494"/>
      <c r="Q877" s="147">
        <f t="shared" si="251"/>
        <v>0</v>
      </c>
      <c r="R877" s="148"/>
      <c r="S877" s="148">
        <f t="shared" si="252"/>
        <v>0</v>
      </c>
      <c r="T877" s="148">
        <f t="shared" si="248"/>
        <v>77</v>
      </c>
      <c r="U877" s="148">
        <f t="shared" si="247"/>
        <v>5656.42</v>
      </c>
      <c r="V877" s="379"/>
      <c r="W877" s="379"/>
      <c r="X877" s="58">
        <f>'COMPOSIÇÃO DE CUSTOS'!G1479</f>
        <v>52</v>
      </c>
      <c r="Y877" s="334">
        <v>61.18</v>
      </c>
      <c r="Z877" s="58">
        <f t="shared" ref="Z877:Z968" si="257">G877-Y877</f>
        <v>-9.1769999999999996</v>
      </c>
      <c r="AA877" s="58">
        <f t="shared" si="254"/>
        <v>4004.2310000000002</v>
      </c>
      <c r="AB877" s="58"/>
      <c r="AC877" s="58">
        <f t="shared" si="255"/>
        <v>5078.1500000000005</v>
      </c>
      <c r="AD877" s="58" t="str">
        <f>IF(B877&lt;&gt;0,VLOOKUP(B877,#REF!,2,FALSE),"")</f>
        <v/>
      </c>
      <c r="AE877" s="55">
        <v>32</v>
      </c>
      <c r="AF877" s="55">
        <f t="shared" si="253"/>
        <v>-45</v>
      </c>
    </row>
    <row r="878" spans="1:32" s="55" customFormat="1" ht="30">
      <c r="A878" s="21" t="s">
        <v>1400</v>
      </c>
      <c r="B878" s="20"/>
      <c r="C878" s="19" t="s">
        <v>3081</v>
      </c>
      <c r="D878" s="21" t="s">
        <v>44</v>
      </c>
      <c r="E878" s="21" t="s">
        <v>17</v>
      </c>
      <c r="F878" s="22">
        <v>32</v>
      </c>
      <c r="G878" s="22">
        <f t="shared" si="256"/>
        <v>7.6754999999999995</v>
      </c>
      <c r="H878" s="22">
        <f>ROUND(G878*(1+$X$13),2)</f>
        <v>9.73</v>
      </c>
      <c r="I878" s="147">
        <f>ROUND(H878*F878,2)</f>
        <v>311.36</v>
      </c>
      <c r="J878" s="148"/>
      <c r="K878" s="148"/>
      <c r="L878" s="148"/>
      <c r="M878" s="148">
        <v>8.5500000000000007</v>
      </c>
      <c r="N878" s="148">
        <v>10.84</v>
      </c>
      <c r="O878" s="148">
        <v>346.88</v>
      </c>
      <c r="P878" s="494"/>
      <c r="Q878" s="147">
        <f t="shared" si="251"/>
        <v>0</v>
      </c>
      <c r="R878" s="148"/>
      <c r="S878" s="148">
        <f t="shared" si="252"/>
        <v>0</v>
      </c>
      <c r="T878" s="148">
        <f t="shared" si="248"/>
        <v>32</v>
      </c>
      <c r="U878" s="148">
        <f t="shared" si="247"/>
        <v>346.88</v>
      </c>
      <c r="V878" s="379"/>
      <c r="W878" s="379"/>
      <c r="X878" s="58">
        <f>'COMPOSIÇÃO DE CUSTOS'!G1486</f>
        <v>7.67</v>
      </c>
      <c r="Y878" s="334">
        <v>9.0299999999999994</v>
      </c>
      <c r="Z878" s="58">
        <f t="shared" si="257"/>
        <v>-1.3544999999999998</v>
      </c>
      <c r="AA878" s="58">
        <f t="shared" si="254"/>
        <v>245.61599999999999</v>
      </c>
      <c r="AB878" s="58"/>
      <c r="AC878" s="58">
        <f t="shared" si="255"/>
        <v>311.36</v>
      </c>
      <c r="AD878" s="58" t="str">
        <f>IF(B878&lt;&gt;0,VLOOKUP(B878,#REF!,2,FALSE),"")</f>
        <v/>
      </c>
      <c r="AF878" s="55">
        <f t="shared" si="253"/>
        <v>-32</v>
      </c>
    </row>
    <row r="879" spans="1:32" s="55" customFormat="1" ht="15" customHeight="1">
      <c r="A879" s="69" t="s">
        <v>1407</v>
      </c>
      <c r="B879" s="129"/>
      <c r="C879" s="229" t="s">
        <v>305</v>
      </c>
      <c r="D879" s="230"/>
      <c r="E879" s="230"/>
      <c r="F879" s="230"/>
      <c r="G879" s="22"/>
      <c r="H879" s="230"/>
      <c r="I879" s="445"/>
      <c r="J879" s="440"/>
      <c r="K879" s="440"/>
      <c r="L879" s="440"/>
      <c r="M879" s="440"/>
      <c r="N879" s="440"/>
      <c r="O879" s="440"/>
      <c r="P879" s="492"/>
      <c r="Q879" s="147"/>
      <c r="R879" s="440"/>
      <c r="S879" s="148"/>
      <c r="T879" s="148" t="str">
        <f t="shared" si="248"/>
        <v xml:space="preserve"> </v>
      </c>
      <c r="U879" s="148"/>
      <c r="V879" s="330"/>
      <c r="W879" s="330"/>
      <c r="X879" s="58" t="str">
        <f>IF(B879&lt;&gt;0,VLOOKUP(B879,#REF!,4,FALSE),"")</f>
        <v/>
      </c>
      <c r="Y879" s="334" t="s">
        <v>1891</v>
      </c>
      <c r="Z879" s="58"/>
      <c r="AA879" s="58">
        <f t="shared" si="254"/>
        <v>0</v>
      </c>
      <c r="AB879" s="58"/>
      <c r="AC879" s="58">
        <f t="shared" si="255"/>
        <v>0</v>
      </c>
      <c r="AD879" s="58" t="str">
        <f>IF(B879&lt;&gt;0,VLOOKUP(B879,#REF!,2,FALSE),"")</f>
        <v/>
      </c>
      <c r="AE879" s="55">
        <v>41</v>
      </c>
      <c r="AF879" s="55">
        <f t="shared" si="253"/>
        <v>41</v>
      </c>
    </row>
    <row r="880" spans="1:32" s="55" customFormat="1" ht="45">
      <c r="A880" s="235" t="s">
        <v>2953</v>
      </c>
      <c r="B880" s="20">
        <v>98111</v>
      </c>
      <c r="C880" s="439" t="s">
        <v>3773</v>
      </c>
      <c r="D880" s="21" t="s">
        <v>12</v>
      </c>
      <c r="E880" s="21" t="s">
        <v>17</v>
      </c>
      <c r="F880" s="22">
        <f>16+25</f>
        <v>41</v>
      </c>
      <c r="G880" s="22">
        <f t="shared" si="256"/>
        <v>15.359500000000001</v>
      </c>
      <c r="H880" s="22">
        <f t="shared" ref="H880:H885" si="258">ROUND(G880*(1+$X$13),2)</f>
        <v>19.48</v>
      </c>
      <c r="I880" s="147">
        <f t="shared" ref="I880:I885" si="259">ROUND(H880*F880,2)</f>
        <v>798.68</v>
      </c>
      <c r="J880" s="148"/>
      <c r="K880" s="148"/>
      <c r="L880" s="148"/>
      <c r="M880" s="148">
        <v>17.11</v>
      </c>
      <c r="N880" s="148">
        <v>21.7</v>
      </c>
      <c r="O880" s="148">
        <v>889.7</v>
      </c>
      <c r="P880" s="494"/>
      <c r="Q880" s="147">
        <f t="shared" si="251"/>
        <v>0</v>
      </c>
      <c r="R880" s="148"/>
      <c r="S880" s="148">
        <f t="shared" si="252"/>
        <v>0</v>
      </c>
      <c r="T880" s="148">
        <f t="shared" si="248"/>
        <v>41</v>
      </c>
      <c r="U880" s="148">
        <f t="shared" si="247"/>
        <v>889.7</v>
      </c>
      <c r="V880" s="379"/>
      <c r="W880" s="379"/>
      <c r="X880" s="58" t="e">
        <f>IF(B880&lt;&gt;0,VLOOKUP(B880,#REF!,4,FALSE),"")</f>
        <v>#REF!</v>
      </c>
      <c r="Y880" s="334" t="s">
        <v>3133</v>
      </c>
      <c r="Z880" s="58">
        <f t="shared" si="257"/>
        <v>-2.7104999999999997</v>
      </c>
      <c r="AA880" s="58">
        <f t="shared" si="254"/>
        <v>629.73950000000002</v>
      </c>
      <c r="AB880" s="58"/>
      <c r="AC880" s="58">
        <f t="shared" si="255"/>
        <v>798.68000000000006</v>
      </c>
      <c r="AD880" s="58" t="e">
        <f>IF(B880&lt;&gt;0,VLOOKUP(B880,#REF!,2,FALSE),"")</f>
        <v>#REF!</v>
      </c>
      <c r="AE880" s="55">
        <v>41</v>
      </c>
      <c r="AF880" s="55">
        <f t="shared" si="253"/>
        <v>0</v>
      </c>
    </row>
    <row r="881" spans="1:32" s="55" customFormat="1" ht="30">
      <c r="A881" s="235" t="s">
        <v>2954</v>
      </c>
      <c r="B881" s="20">
        <v>96985</v>
      </c>
      <c r="C881" s="19" t="s">
        <v>2511</v>
      </c>
      <c r="D881" s="21" t="s">
        <v>12</v>
      </c>
      <c r="E881" s="21" t="s">
        <v>17</v>
      </c>
      <c r="F881" s="22">
        <f>16+25</f>
        <v>41</v>
      </c>
      <c r="G881" s="22">
        <f t="shared" si="256"/>
        <v>48.637</v>
      </c>
      <c r="H881" s="22">
        <f t="shared" si="258"/>
        <v>61.68</v>
      </c>
      <c r="I881" s="147">
        <f t="shared" si="259"/>
        <v>2528.88</v>
      </c>
      <c r="J881" s="148"/>
      <c r="K881" s="148"/>
      <c r="L881" s="148"/>
      <c r="M881" s="148">
        <v>54.18</v>
      </c>
      <c r="N881" s="148">
        <v>68.709999999999994</v>
      </c>
      <c r="O881" s="148">
        <v>2817.11</v>
      </c>
      <c r="P881" s="494"/>
      <c r="Q881" s="147">
        <f t="shared" si="251"/>
        <v>0</v>
      </c>
      <c r="R881" s="148"/>
      <c r="S881" s="148">
        <f t="shared" si="252"/>
        <v>0</v>
      </c>
      <c r="T881" s="148">
        <f t="shared" si="248"/>
        <v>41</v>
      </c>
      <c r="U881" s="148">
        <f t="shared" si="247"/>
        <v>2817.11</v>
      </c>
      <c r="V881" s="379"/>
      <c r="W881" s="379"/>
      <c r="X881" s="58" t="e">
        <f>IF(B881&lt;&gt;0,VLOOKUP(B881,#REF!,4,FALSE),"")</f>
        <v>#REF!</v>
      </c>
      <c r="Y881" s="334" t="s">
        <v>1883</v>
      </c>
      <c r="Z881" s="58">
        <f t="shared" si="257"/>
        <v>-8.5829999999999984</v>
      </c>
      <c r="AA881" s="58">
        <f t="shared" si="254"/>
        <v>1994.117</v>
      </c>
      <c r="AB881" s="58"/>
      <c r="AC881" s="58">
        <f t="shared" si="255"/>
        <v>2528.88</v>
      </c>
      <c r="AD881" s="58" t="e">
        <f>IF(B881&lt;&gt;0,VLOOKUP(B881,#REF!,2,FALSE),"")</f>
        <v>#REF!</v>
      </c>
      <c r="AE881" s="55">
        <v>112</v>
      </c>
      <c r="AF881" s="55">
        <f t="shared" si="253"/>
        <v>71</v>
      </c>
    </row>
    <row r="882" spans="1:32" s="55" customFormat="1" ht="45">
      <c r="A882" s="235" t="s">
        <v>2955</v>
      </c>
      <c r="B882" s="20">
        <v>96977</v>
      </c>
      <c r="C882" s="439" t="s">
        <v>3774</v>
      </c>
      <c r="D882" s="21" t="s">
        <v>12</v>
      </c>
      <c r="E882" s="21" t="s">
        <v>52</v>
      </c>
      <c r="F882" s="22">
        <v>112</v>
      </c>
      <c r="G882" s="22">
        <f t="shared" si="256"/>
        <v>50.226500000000001</v>
      </c>
      <c r="H882" s="22">
        <f t="shared" si="258"/>
        <v>63.69</v>
      </c>
      <c r="I882" s="147">
        <f t="shared" si="259"/>
        <v>7133.28</v>
      </c>
      <c r="J882" s="148"/>
      <c r="K882" s="148"/>
      <c r="L882" s="148"/>
      <c r="M882" s="148">
        <v>55.95</v>
      </c>
      <c r="N882" s="148">
        <v>70.95</v>
      </c>
      <c r="O882" s="148">
        <v>7946.4</v>
      </c>
      <c r="P882" s="494"/>
      <c r="Q882" s="147">
        <f t="shared" si="251"/>
        <v>0</v>
      </c>
      <c r="R882" s="148"/>
      <c r="S882" s="148">
        <f t="shared" si="252"/>
        <v>0</v>
      </c>
      <c r="T882" s="148">
        <f t="shared" si="248"/>
        <v>112</v>
      </c>
      <c r="U882" s="148">
        <f t="shared" si="247"/>
        <v>7946.4</v>
      </c>
      <c r="V882" s="379"/>
      <c r="W882" s="379"/>
      <c r="X882" s="58" t="e">
        <f>IF(B882&lt;&gt;0,VLOOKUP(B882,#REF!,4,FALSE),"")</f>
        <v>#REF!</v>
      </c>
      <c r="Y882" s="334" t="s">
        <v>3258</v>
      </c>
      <c r="Z882" s="58">
        <f t="shared" si="257"/>
        <v>-8.8635000000000019</v>
      </c>
      <c r="AA882" s="58">
        <f t="shared" si="254"/>
        <v>5625.3680000000004</v>
      </c>
      <c r="AB882" s="58"/>
      <c r="AC882" s="58">
        <f t="shared" si="255"/>
        <v>7133.28</v>
      </c>
      <c r="AD882" s="58" t="e">
        <f>IF(B882&lt;&gt;0,VLOOKUP(B882,#REF!,2,FALSE),"")</f>
        <v>#REF!</v>
      </c>
      <c r="AE882" s="55">
        <v>41</v>
      </c>
      <c r="AF882" s="55">
        <f t="shared" si="253"/>
        <v>-71</v>
      </c>
    </row>
    <row r="883" spans="1:32" s="55" customFormat="1" ht="30">
      <c r="A883" s="235" t="s">
        <v>2956</v>
      </c>
      <c r="B883" s="20">
        <v>10694</v>
      </c>
      <c r="C883" s="19" t="s">
        <v>302</v>
      </c>
      <c r="D883" s="21" t="s">
        <v>44</v>
      </c>
      <c r="E883" s="21" t="s">
        <v>17</v>
      </c>
      <c r="F883" s="22">
        <v>41</v>
      </c>
      <c r="G883" s="22">
        <f t="shared" si="256"/>
        <v>19.694500000000001</v>
      </c>
      <c r="H883" s="22">
        <f t="shared" si="258"/>
        <v>24.97</v>
      </c>
      <c r="I883" s="147">
        <f t="shared" si="259"/>
        <v>1023.77</v>
      </c>
      <c r="J883" s="148"/>
      <c r="K883" s="148"/>
      <c r="L883" s="148"/>
      <c r="M883" s="148">
        <v>21.94</v>
      </c>
      <c r="N883" s="148">
        <v>27.82</v>
      </c>
      <c r="O883" s="148">
        <v>1140.6199999999999</v>
      </c>
      <c r="P883" s="494"/>
      <c r="Q883" s="147">
        <f t="shared" si="251"/>
        <v>0</v>
      </c>
      <c r="R883" s="148"/>
      <c r="S883" s="148">
        <f t="shared" si="252"/>
        <v>0</v>
      </c>
      <c r="T883" s="148">
        <f t="shared" si="248"/>
        <v>41</v>
      </c>
      <c r="U883" s="148">
        <f t="shared" si="247"/>
        <v>1140.6199999999999</v>
      </c>
      <c r="V883" s="379"/>
      <c r="W883" s="379"/>
      <c r="X883" s="58">
        <f>'COMPOSIÇÃO DE CUSTOS'!G1921</f>
        <v>19.690000000000001</v>
      </c>
      <c r="Y883" s="334">
        <v>23.17</v>
      </c>
      <c r="Z883" s="58">
        <f t="shared" si="257"/>
        <v>-3.4755000000000003</v>
      </c>
      <c r="AA883" s="58">
        <f t="shared" si="254"/>
        <v>807.47450000000003</v>
      </c>
      <c r="AB883" s="58"/>
      <c r="AC883" s="58">
        <f t="shared" si="255"/>
        <v>1023.77</v>
      </c>
      <c r="AD883" s="58" t="e">
        <f>IF(B883&lt;&gt;0,VLOOKUP(B883,#REF!,2,FALSE),"")</f>
        <v>#REF!</v>
      </c>
      <c r="AE883" s="55">
        <v>21</v>
      </c>
      <c r="AF883" s="55">
        <f t="shared" si="253"/>
        <v>-20</v>
      </c>
    </row>
    <row r="884" spans="1:32" s="55" customFormat="1" ht="114" customHeight="1">
      <c r="A884" s="235" t="s">
        <v>2957</v>
      </c>
      <c r="B884" s="20">
        <v>90092</v>
      </c>
      <c r="C884" s="19" t="s">
        <v>1679</v>
      </c>
      <c r="D884" s="21" t="s">
        <v>12</v>
      </c>
      <c r="E884" s="21" t="s">
        <v>35</v>
      </c>
      <c r="F884" s="22">
        <v>21</v>
      </c>
      <c r="G884" s="22">
        <f t="shared" si="256"/>
        <v>3.4595000000000002</v>
      </c>
      <c r="H884" s="22">
        <f t="shared" si="258"/>
        <v>4.3899999999999997</v>
      </c>
      <c r="I884" s="147">
        <f t="shared" si="259"/>
        <v>92.19</v>
      </c>
      <c r="J884" s="148"/>
      <c r="K884" s="148"/>
      <c r="L884" s="148"/>
      <c r="M884" s="148">
        <v>3.85</v>
      </c>
      <c r="N884" s="148">
        <v>4.88</v>
      </c>
      <c r="O884" s="148">
        <v>102.48</v>
      </c>
      <c r="P884" s="494"/>
      <c r="Q884" s="147">
        <f t="shared" si="251"/>
        <v>0</v>
      </c>
      <c r="R884" s="148"/>
      <c r="S884" s="148">
        <f t="shared" si="252"/>
        <v>0</v>
      </c>
      <c r="T884" s="148">
        <f t="shared" si="248"/>
        <v>21</v>
      </c>
      <c r="U884" s="148">
        <f t="shared" si="247"/>
        <v>102.48</v>
      </c>
      <c r="V884" s="379"/>
      <c r="W884" s="379"/>
      <c r="X884" s="58" t="e">
        <f>IF(B884&lt;&gt;0,VLOOKUP(B884,#REF!,4,FALSE),"")</f>
        <v>#REF!</v>
      </c>
      <c r="Y884" s="334" t="s">
        <v>1854</v>
      </c>
      <c r="Z884" s="58">
        <f t="shared" si="257"/>
        <v>-0.61050000000000004</v>
      </c>
      <c r="AA884" s="58">
        <f t="shared" si="254"/>
        <v>72.649500000000003</v>
      </c>
      <c r="AB884" s="58"/>
      <c r="AC884" s="58">
        <f t="shared" si="255"/>
        <v>92.19</v>
      </c>
      <c r="AD884" s="58" t="e">
        <f>IF(B884&lt;&gt;0,VLOOKUP(B884,#REF!,2,FALSE),"")</f>
        <v>#REF!</v>
      </c>
      <c r="AE884" s="55">
        <v>21</v>
      </c>
      <c r="AF884" s="55">
        <f t="shared" si="253"/>
        <v>0</v>
      </c>
    </row>
    <row r="885" spans="1:32" s="55" customFormat="1" ht="90">
      <c r="A885" s="235" t="s">
        <v>2958</v>
      </c>
      <c r="B885" s="20">
        <v>93381</v>
      </c>
      <c r="C885" s="19" t="s">
        <v>1680</v>
      </c>
      <c r="D885" s="21" t="s">
        <v>12</v>
      </c>
      <c r="E885" s="21" t="s">
        <v>35</v>
      </c>
      <c r="F885" s="22">
        <v>21</v>
      </c>
      <c r="G885" s="22">
        <f t="shared" si="256"/>
        <v>6.63</v>
      </c>
      <c r="H885" s="22">
        <f t="shared" si="258"/>
        <v>8.41</v>
      </c>
      <c r="I885" s="147">
        <f t="shared" si="259"/>
        <v>176.61</v>
      </c>
      <c r="J885" s="148"/>
      <c r="K885" s="148"/>
      <c r="L885" s="148"/>
      <c r="M885" s="148">
        <v>7.39</v>
      </c>
      <c r="N885" s="148">
        <v>9.3699999999999992</v>
      </c>
      <c r="O885" s="148">
        <v>196.77</v>
      </c>
      <c r="P885" s="494"/>
      <c r="Q885" s="147">
        <f>ROUND(P885*N885,2)</f>
        <v>0</v>
      </c>
      <c r="R885" s="148"/>
      <c r="S885" s="148">
        <f t="shared" si="252"/>
        <v>0</v>
      </c>
      <c r="T885" s="148">
        <f t="shared" si="248"/>
        <v>21</v>
      </c>
      <c r="U885" s="148">
        <f t="shared" si="247"/>
        <v>196.77</v>
      </c>
      <c r="V885" s="379"/>
      <c r="W885" s="379"/>
      <c r="X885" s="58" t="e">
        <f>IF(B885&lt;&gt;0,VLOOKUP(B885,#REF!,4,FALSE),"")</f>
        <v>#REF!</v>
      </c>
      <c r="Y885" s="334" t="s">
        <v>3114</v>
      </c>
      <c r="Z885" s="58">
        <f t="shared" si="257"/>
        <v>-1.17</v>
      </c>
      <c r="AA885" s="58">
        <f t="shared" si="254"/>
        <v>139.22999999999999</v>
      </c>
      <c r="AB885" s="58"/>
      <c r="AC885" s="58">
        <f t="shared" si="255"/>
        <v>176.61</v>
      </c>
      <c r="AD885" s="58" t="e">
        <f>IF(B885&lt;&gt;0,VLOOKUP(B885,#REF!,2,FALSE),"")</f>
        <v>#REF!</v>
      </c>
      <c r="AF885" s="55">
        <f t="shared" si="253"/>
        <v>-21</v>
      </c>
    </row>
    <row r="886" spans="1:32" s="55" customFormat="1">
      <c r="A886" s="21"/>
      <c r="B886" s="20"/>
      <c r="C886" s="19"/>
      <c r="D886" s="21"/>
      <c r="E886" s="21"/>
      <c r="F886" s="22"/>
      <c r="G886" s="22"/>
      <c r="H886" s="22"/>
      <c r="I886" s="147"/>
      <c r="J886" s="148"/>
      <c r="K886" s="148"/>
      <c r="L886" s="148"/>
      <c r="M886" s="148"/>
      <c r="N886" s="148"/>
      <c r="O886" s="148"/>
      <c r="P886" s="494"/>
      <c r="Q886" s="147"/>
      <c r="R886" s="148"/>
      <c r="S886" s="148"/>
      <c r="T886" s="148"/>
      <c r="U886" s="148"/>
      <c r="V886" s="379"/>
      <c r="W886" s="379"/>
      <c r="X886" s="58" t="str">
        <f>IF(B886&lt;&gt;0,VLOOKUP(B886,#REF!,4,FALSE),"")</f>
        <v/>
      </c>
      <c r="Y886" s="334" t="s">
        <v>1891</v>
      </c>
      <c r="Z886" s="58"/>
      <c r="AA886" s="58">
        <f t="shared" si="254"/>
        <v>0</v>
      </c>
      <c r="AB886" s="58"/>
      <c r="AC886" s="58">
        <f t="shared" si="255"/>
        <v>0</v>
      </c>
      <c r="AD886" s="58" t="str">
        <f>IF(B886&lt;&gt;0,VLOOKUP(B886,#REF!,2,FALSE),"")</f>
        <v/>
      </c>
      <c r="AF886" s="55">
        <f t="shared" si="253"/>
        <v>0</v>
      </c>
    </row>
    <row r="887" spans="1:32" s="55" customFormat="1">
      <c r="A887" s="69" t="s">
        <v>1437</v>
      </c>
      <c r="B887" s="129"/>
      <c r="C887" s="229" t="s">
        <v>321</v>
      </c>
      <c r="D887" s="230"/>
      <c r="E887" s="230"/>
      <c r="F887" s="230"/>
      <c r="G887" s="22"/>
      <c r="H887" s="230"/>
      <c r="I887" s="445">
        <f>ROUND(SUM(I890:I956),2)</f>
        <v>837062.44</v>
      </c>
      <c r="J887" s="440"/>
      <c r="K887" s="440"/>
      <c r="L887" s="440"/>
      <c r="M887" s="440"/>
      <c r="N887" s="440"/>
      <c r="O887" s="440">
        <v>958454.35</v>
      </c>
      <c r="P887" s="492"/>
      <c r="Q887" s="445">
        <f>ROUND(SUM(Q890:Q956),2)</f>
        <v>454471.89</v>
      </c>
      <c r="R887" s="440"/>
      <c r="S887" s="440">
        <f>ROUND(SUM(S890:S956),2)</f>
        <v>476359.67999999999</v>
      </c>
      <c r="T887" s="148" t="str">
        <f t="shared" si="248"/>
        <v xml:space="preserve"> </v>
      </c>
      <c r="U887" s="440">
        <f t="shared" si="247"/>
        <v>936566.56</v>
      </c>
      <c r="V887" s="330"/>
      <c r="W887" s="330"/>
      <c r="X887" s="58" t="str">
        <f>IF(B887&lt;&gt;0,VLOOKUP(B887,#REF!,4,FALSE),"")</f>
        <v/>
      </c>
      <c r="Y887" s="334" t="s">
        <v>1891</v>
      </c>
      <c r="Z887" s="58"/>
      <c r="AA887" s="58">
        <f t="shared" si="254"/>
        <v>0</v>
      </c>
      <c r="AB887" s="58"/>
      <c r="AC887" s="58">
        <f t="shared" si="255"/>
        <v>0</v>
      </c>
      <c r="AD887" s="58" t="str">
        <f>IF(B887&lt;&gt;0,VLOOKUP(B887,#REF!,2,FALSE),"")</f>
        <v/>
      </c>
      <c r="AF887" s="55">
        <f t="shared" si="253"/>
        <v>0</v>
      </c>
    </row>
    <row r="888" spans="1:32" s="55" customFormat="1">
      <c r="A888" s="69" t="s">
        <v>1438</v>
      </c>
      <c r="B888" s="129"/>
      <c r="C888" s="229" t="s">
        <v>322</v>
      </c>
      <c r="D888" s="230"/>
      <c r="E888" s="230"/>
      <c r="F888" s="230"/>
      <c r="G888" s="22"/>
      <c r="H888" s="230"/>
      <c r="I888" s="445"/>
      <c r="J888" s="440"/>
      <c r="K888" s="440"/>
      <c r="L888" s="440"/>
      <c r="M888" s="440"/>
      <c r="N888" s="440"/>
      <c r="O888" s="440"/>
      <c r="P888" s="492"/>
      <c r="Q888" s="445"/>
      <c r="R888" s="440"/>
      <c r="S888" s="440"/>
      <c r="T888" s="148" t="str">
        <f t="shared" si="248"/>
        <v xml:space="preserve"> </v>
      </c>
      <c r="U888" s="148"/>
      <c r="V888" s="330"/>
      <c r="W888" s="330"/>
      <c r="X888" s="58" t="str">
        <f>IF(B888&lt;&gt;0,VLOOKUP(B888,#REF!,4,FALSE),"")</f>
        <v/>
      </c>
      <c r="Y888" s="334" t="s">
        <v>1891</v>
      </c>
      <c r="Z888" s="58"/>
      <c r="AA888" s="58">
        <f t="shared" si="254"/>
        <v>0</v>
      </c>
      <c r="AB888" s="58"/>
      <c r="AC888" s="58">
        <f t="shared" si="255"/>
        <v>0</v>
      </c>
      <c r="AD888" s="58" t="str">
        <f>IF(B888&lt;&gt;0,VLOOKUP(B888,#REF!,2,FALSE),"")</f>
        <v/>
      </c>
      <c r="AF888" s="55">
        <f t="shared" si="253"/>
        <v>0</v>
      </c>
    </row>
    <row r="889" spans="1:32" s="55" customFormat="1" ht="15" customHeight="1">
      <c r="A889" s="69" t="s">
        <v>1439</v>
      </c>
      <c r="B889" s="129"/>
      <c r="C889" s="229" t="s">
        <v>323</v>
      </c>
      <c r="D889" s="230"/>
      <c r="E889" s="230"/>
      <c r="F889" s="230"/>
      <c r="G889" s="22"/>
      <c r="H889" s="230"/>
      <c r="I889" s="445"/>
      <c r="J889" s="440"/>
      <c r="K889" s="440"/>
      <c r="L889" s="440"/>
      <c r="M889" s="440"/>
      <c r="N889" s="440"/>
      <c r="O889" s="440"/>
      <c r="P889" s="492"/>
      <c r="Q889" s="445"/>
      <c r="R889" s="440"/>
      <c r="S889" s="440"/>
      <c r="T889" s="148" t="str">
        <f t="shared" si="248"/>
        <v xml:space="preserve"> </v>
      </c>
      <c r="U889" s="148"/>
      <c r="V889" s="330"/>
      <c r="W889" s="330"/>
      <c r="X889" s="58" t="str">
        <f>IF(B889&lt;&gt;0,VLOOKUP(B889,#REF!,4,FALSE),"")</f>
        <v/>
      </c>
      <c r="Y889" s="334" t="s">
        <v>1891</v>
      </c>
      <c r="Z889" s="58"/>
      <c r="AA889" s="58">
        <f t="shared" si="254"/>
        <v>0</v>
      </c>
      <c r="AB889" s="58"/>
      <c r="AC889" s="58">
        <f t="shared" si="255"/>
        <v>0</v>
      </c>
      <c r="AD889" s="58" t="str">
        <f>IF(B889&lt;&gt;0,VLOOKUP(B889,#REF!,2,FALSE),"")</f>
        <v/>
      </c>
      <c r="AE889" s="55">
        <v>406</v>
      </c>
      <c r="AF889" s="55">
        <f t="shared" si="253"/>
        <v>406</v>
      </c>
    </row>
    <row r="890" spans="1:32" s="55" customFormat="1" ht="30">
      <c r="A890" s="21" t="s">
        <v>1440</v>
      </c>
      <c r="B890" s="20">
        <v>10754</v>
      </c>
      <c r="C890" s="19" t="s">
        <v>324</v>
      </c>
      <c r="D890" s="21" t="s">
        <v>44</v>
      </c>
      <c r="E890" s="21" t="s">
        <v>52</v>
      </c>
      <c r="F890" s="22">
        <v>406</v>
      </c>
      <c r="G890" s="22">
        <f t="shared" si="256"/>
        <v>15.589</v>
      </c>
      <c r="H890" s="22">
        <f t="shared" ref="H890:H896" si="260">ROUND(G890*(1+$X$13),2)</f>
        <v>19.77</v>
      </c>
      <c r="I890" s="147">
        <f>ROUND(H890*F890,2)</f>
        <v>8026.62</v>
      </c>
      <c r="J890" s="148"/>
      <c r="K890" s="148"/>
      <c r="L890" s="148"/>
      <c r="M890" s="148">
        <v>17.37</v>
      </c>
      <c r="N890" s="148">
        <v>22.03</v>
      </c>
      <c r="O890" s="148">
        <v>8944.18</v>
      </c>
      <c r="P890" s="494"/>
      <c r="Q890" s="147">
        <f>ROUND(P890*N890,2)</f>
        <v>0</v>
      </c>
      <c r="R890" s="148"/>
      <c r="S890" s="148">
        <f>ROUND(R890*N890,2)</f>
        <v>0</v>
      </c>
      <c r="T890" s="148">
        <f t="shared" si="248"/>
        <v>406</v>
      </c>
      <c r="U890" s="148">
        <f t="shared" si="247"/>
        <v>8944.18</v>
      </c>
      <c r="V890" s="379"/>
      <c r="W890" s="379"/>
      <c r="X890" s="57">
        <f>'COMPOSIÇÃO DE CUSTOS'!G1596</f>
        <v>15.59</v>
      </c>
      <c r="Y890" s="334">
        <v>18.34</v>
      </c>
      <c r="Z890" s="58">
        <f t="shared" si="257"/>
        <v>-2.7509999999999994</v>
      </c>
      <c r="AA890" s="58">
        <f t="shared" si="254"/>
        <v>6329.134</v>
      </c>
      <c r="AB890" s="58"/>
      <c r="AC890" s="58">
        <f t="shared" si="255"/>
        <v>8026.62</v>
      </c>
      <c r="AD890" s="58" t="e">
        <f>IF(B890&lt;&gt;0,VLOOKUP(B890,#REF!,2,FALSE),"")</f>
        <v>#REF!</v>
      </c>
      <c r="AF890" s="55">
        <f t="shared" si="253"/>
        <v>-406</v>
      </c>
    </row>
    <row r="891" spans="1:32" s="55" customFormat="1" ht="30">
      <c r="A891" s="21" t="s">
        <v>3418</v>
      </c>
      <c r="B891" s="20">
        <v>4235</v>
      </c>
      <c r="C891" s="19" t="str">
        <f>'COMPOSIÇÃO DE CUSTOS'!A2563</f>
        <v>CABO DE COBRE PP CORDPLAST 5 X 4.0 MM2, 450/750V</v>
      </c>
      <c r="D891" s="21" t="s">
        <v>44</v>
      </c>
      <c r="E891" s="21" t="s">
        <v>52</v>
      </c>
      <c r="F891" s="22">
        <v>406</v>
      </c>
      <c r="G891" s="22">
        <f t="shared" si="256"/>
        <v>23.766000000000002</v>
      </c>
      <c r="H891" s="22">
        <f t="shared" si="260"/>
        <v>30.14</v>
      </c>
      <c r="I891" s="147">
        <f>ROUND(H891*F891,2)</f>
        <v>12236.84</v>
      </c>
      <c r="J891" s="148"/>
      <c r="K891" s="148"/>
      <c r="L891" s="148"/>
      <c r="M891" s="148">
        <v>26.48</v>
      </c>
      <c r="N891" s="148">
        <v>33.58</v>
      </c>
      <c r="O891" s="148">
        <v>13633.48</v>
      </c>
      <c r="P891" s="494"/>
      <c r="Q891" s="147">
        <f t="shared" ref="Q891:Q956" si="261">ROUND(P891*N891,2)</f>
        <v>0</v>
      </c>
      <c r="R891" s="148"/>
      <c r="S891" s="148">
        <f t="shared" ref="S891:S956" si="262">ROUND(R891*N891,2)</f>
        <v>0</v>
      </c>
      <c r="T891" s="148">
        <f t="shared" si="248"/>
        <v>406</v>
      </c>
      <c r="U891" s="148">
        <f t="shared" si="247"/>
        <v>13633.48</v>
      </c>
      <c r="V891" s="379"/>
      <c r="W891" s="379"/>
      <c r="X891" s="57">
        <f>'COMPOSIÇÃO DE CUSTOS'!G2568</f>
        <v>23.78</v>
      </c>
      <c r="Y891" s="334">
        <v>27.96</v>
      </c>
      <c r="Z891" s="58">
        <f t="shared" si="257"/>
        <v>-4.1939999999999991</v>
      </c>
      <c r="AA891" s="58">
        <f t="shared" si="254"/>
        <v>9648.996000000001</v>
      </c>
      <c r="AB891" s="58"/>
      <c r="AC891" s="58">
        <f t="shared" si="255"/>
        <v>12236.84</v>
      </c>
      <c r="AD891" s="58"/>
    </row>
    <row r="892" spans="1:32" s="55" customFormat="1" ht="48.75" customHeight="1">
      <c r="A892" s="21" t="s">
        <v>3424</v>
      </c>
      <c r="B892" s="20">
        <v>93655</v>
      </c>
      <c r="C892" s="19" t="s">
        <v>2851</v>
      </c>
      <c r="D892" s="21" t="s">
        <v>12</v>
      </c>
      <c r="E892" s="21" t="s">
        <v>17</v>
      </c>
      <c r="F892" s="22">
        <v>42</v>
      </c>
      <c r="G892" s="22">
        <f t="shared" si="256"/>
        <v>10.3445</v>
      </c>
      <c r="H892" s="22">
        <f t="shared" si="260"/>
        <v>13.12</v>
      </c>
      <c r="I892" s="147">
        <f>ROUND(H892*F892,2)</f>
        <v>551.04</v>
      </c>
      <c r="J892" s="148"/>
      <c r="K892" s="148"/>
      <c r="L892" s="148"/>
      <c r="M892" s="148">
        <v>11.52</v>
      </c>
      <c r="N892" s="148">
        <v>14.61</v>
      </c>
      <c r="O892" s="148">
        <v>613.62</v>
      </c>
      <c r="P892" s="494"/>
      <c r="Q892" s="147">
        <f t="shared" si="261"/>
        <v>0</v>
      </c>
      <c r="R892" s="148"/>
      <c r="S892" s="148">
        <f t="shared" si="262"/>
        <v>0</v>
      </c>
      <c r="T892" s="148">
        <f t="shared" si="248"/>
        <v>42</v>
      </c>
      <c r="U892" s="148">
        <f t="shared" si="247"/>
        <v>613.62</v>
      </c>
      <c r="V892" s="379"/>
      <c r="W892" s="379"/>
      <c r="X892" s="58" t="e">
        <f>IF(B892&lt;&gt;0,VLOOKUP(B892,#REF!,4,FALSE),"")</f>
        <v>#REF!</v>
      </c>
      <c r="Y892" s="334" t="s">
        <v>1878</v>
      </c>
      <c r="Z892" s="58">
        <f t="shared" si="257"/>
        <v>-1.8254999999999999</v>
      </c>
      <c r="AA892" s="58">
        <f t="shared" si="254"/>
        <v>434.46899999999999</v>
      </c>
      <c r="AB892" s="58"/>
      <c r="AC892" s="58">
        <f t="shared" si="255"/>
        <v>551.04</v>
      </c>
      <c r="AD892" s="58" t="e">
        <f>IF(B892&lt;&gt;0,VLOOKUP(B892,#REF!,2,FALSE),"")</f>
        <v>#REF!</v>
      </c>
    </row>
    <row r="893" spans="1:32" s="55" customFormat="1" ht="80.25" customHeight="1">
      <c r="A893" s="21" t="s">
        <v>3425</v>
      </c>
      <c r="B893" s="20">
        <v>101881</v>
      </c>
      <c r="C893" s="19" t="s">
        <v>3426</v>
      </c>
      <c r="D893" s="21" t="s">
        <v>12</v>
      </c>
      <c r="E893" s="21" t="s">
        <v>17</v>
      </c>
      <c r="F893" s="22">
        <v>2</v>
      </c>
      <c r="G893" s="22">
        <f t="shared" si="256"/>
        <v>765.94350000000009</v>
      </c>
      <c r="H893" s="22">
        <f t="shared" si="260"/>
        <v>971.29</v>
      </c>
      <c r="I893" s="147">
        <f>ROUND(H893*F893,2)</f>
        <v>1942.58</v>
      </c>
      <c r="J893" s="148"/>
      <c r="K893" s="148"/>
      <c r="L893" s="148"/>
      <c r="M893" s="148">
        <v>853.27</v>
      </c>
      <c r="N893" s="148">
        <v>1082.03</v>
      </c>
      <c r="O893" s="148">
        <v>2164.06</v>
      </c>
      <c r="P893" s="494"/>
      <c r="Q893" s="147">
        <f t="shared" si="261"/>
        <v>0</v>
      </c>
      <c r="R893" s="148"/>
      <c r="S893" s="148">
        <f t="shared" si="262"/>
        <v>0</v>
      </c>
      <c r="T893" s="148">
        <f t="shared" si="248"/>
        <v>2</v>
      </c>
      <c r="U893" s="148">
        <f t="shared" si="247"/>
        <v>2164.06</v>
      </c>
      <c r="V893" s="379"/>
      <c r="W893" s="379"/>
      <c r="X893" s="58" t="e">
        <f>IF(B893&lt;&gt;0,VLOOKUP(B893,#REF!,4,FALSE),"")</f>
        <v>#REF!</v>
      </c>
      <c r="Y893" s="334" t="s">
        <v>3248</v>
      </c>
      <c r="Z893" s="58">
        <f t="shared" si="257"/>
        <v>-135.16649999999993</v>
      </c>
      <c r="AA893" s="58">
        <f t="shared" si="254"/>
        <v>1531.8870000000002</v>
      </c>
      <c r="AB893" s="58"/>
      <c r="AC893" s="58">
        <f t="shared" si="255"/>
        <v>1942.58</v>
      </c>
      <c r="AD893" s="58" t="e">
        <f>IF(B893&lt;&gt;0,VLOOKUP(B893,#REF!,2,FALSE),"")</f>
        <v>#REF!</v>
      </c>
    </row>
    <row r="894" spans="1:32" s="38" customFormat="1">
      <c r="A894" s="447" t="s">
        <v>3873</v>
      </c>
      <c r="B894" s="448">
        <v>7826</v>
      </c>
      <c r="C894" s="449" t="s">
        <v>3886</v>
      </c>
      <c r="D894" s="447" t="s">
        <v>44</v>
      </c>
      <c r="E894" s="447" t="s">
        <v>17</v>
      </c>
      <c r="F894" s="450"/>
      <c r="G894" s="450">
        <f>'PLANILHA ORÇA - CORREGEDORIA'!G1161</f>
        <v>2467.7346192120199</v>
      </c>
      <c r="H894" s="450">
        <f t="shared" si="260"/>
        <v>3129.33</v>
      </c>
      <c r="I894" s="451"/>
      <c r="J894" s="452"/>
      <c r="K894" s="452"/>
      <c r="L894" s="452"/>
      <c r="M894" s="452"/>
      <c r="N894" s="452"/>
      <c r="O894" s="452"/>
      <c r="P894" s="493">
        <v>1</v>
      </c>
      <c r="Q894" s="451">
        <f>ROUND(P894*H894,2)</f>
        <v>3129.33</v>
      </c>
      <c r="R894" s="452"/>
      <c r="S894" s="452"/>
      <c r="T894" s="452">
        <f t="shared" ref="T894:T896" si="263">F894+P894-R894</f>
        <v>1</v>
      </c>
      <c r="U894" s="452">
        <f t="shared" si="247"/>
        <v>3129.33</v>
      </c>
      <c r="V894" s="453"/>
      <c r="W894" s="453"/>
      <c r="X894" s="39"/>
      <c r="Y894" s="336"/>
      <c r="Z894" s="39"/>
      <c r="AA894" s="39"/>
      <c r="AB894" s="39"/>
      <c r="AC894" s="39"/>
      <c r="AD894" s="39"/>
    </row>
    <row r="895" spans="1:32" s="38" customFormat="1">
      <c r="A895" s="447" t="s">
        <v>3874</v>
      </c>
      <c r="B895" s="448">
        <v>7826</v>
      </c>
      <c r="C895" s="449" t="s">
        <v>3887</v>
      </c>
      <c r="D895" s="447" t="s">
        <v>44</v>
      </c>
      <c r="E895" s="447" t="s">
        <v>17</v>
      </c>
      <c r="F895" s="450"/>
      <c r="G895" s="450">
        <f>'PLANILHA ORÇA - CORREGEDORIA'!G1162</f>
        <v>2467.7346192120199</v>
      </c>
      <c r="H895" s="450">
        <f t="shared" si="260"/>
        <v>3129.33</v>
      </c>
      <c r="I895" s="451"/>
      <c r="J895" s="452"/>
      <c r="K895" s="452"/>
      <c r="L895" s="452"/>
      <c r="M895" s="452"/>
      <c r="N895" s="452"/>
      <c r="O895" s="452"/>
      <c r="P895" s="493">
        <v>1</v>
      </c>
      <c r="Q895" s="451">
        <f>ROUND(P895*H895,2)</f>
        <v>3129.33</v>
      </c>
      <c r="R895" s="452"/>
      <c r="S895" s="452"/>
      <c r="T895" s="452">
        <f t="shared" si="263"/>
        <v>1</v>
      </c>
      <c r="U895" s="452">
        <f t="shared" si="247"/>
        <v>3129.33</v>
      </c>
      <c r="V895" s="453"/>
      <c r="W895" s="453"/>
      <c r="X895" s="39"/>
      <c r="Y895" s="336"/>
      <c r="Z895" s="39"/>
      <c r="AA895" s="39"/>
      <c r="AB895" s="39"/>
      <c r="AC895" s="39"/>
      <c r="AD895" s="39"/>
    </row>
    <row r="896" spans="1:32" s="38" customFormat="1">
      <c r="A896" s="447" t="s">
        <v>3891</v>
      </c>
      <c r="B896" s="448">
        <v>12336</v>
      </c>
      <c r="C896" s="449" t="s">
        <v>4076</v>
      </c>
      <c r="D896" s="447" t="s">
        <v>44</v>
      </c>
      <c r="E896" s="447" t="s">
        <v>52</v>
      </c>
      <c r="F896" s="450"/>
      <c r="G896" s="450">
        <f>'PLANILHA ORÇA - CORREGEDORIA'!G1163</f>
        <v>16.845477485814751</v>
      </c>
      <c r="H896" s="450">
        <f t="shared" si="260"/>
        <v>21.36</v>
      </c>
      <c r="I896" s="451"/>
      <c r="J896" s="452"/>
      <c r="K896" s="452"/>
      <c r="L896" s="452"/>
      <c r="M896" s="452"/>
      <c r="N896" s="452"/>
      <c r="O896" s="452"/>
      <c r="P896" s="493">
        <v>482</v>
      </c>
      <c r="Q896" s="451">
        <f>ROUND(P896*H896,2)</f>
        <v>10295.52</v>
      </c>
      <c r="R896" s="452"/>
      <c r="S896" s="452"/>
      <c r="T896" s="452">
        <f t="shared" si="263"/>
        <v>482</v>
      </c>
      <c r="U896" s="452">
        <f t="shared" si="247"/>
        <v>10295.52</v>
      </c>
      <c r="V896" s="453"/>
      <c r="W896" s="453"/>
      <c r="X896" s="39"/>
      <c r="Y896" s="336"/>
      <c r="Z896" s="39"/>
      <c r="AA896" s="39"/>
      <c r="AB896" s="39"/>
      <c r="AC896" s="39"/>
      <c r="AD896" s="39"/>
    </row>
    <row r="897" spans="1:32" s="55" customFormat="1">
      <c r="A897" s="69" t="s">
        <v>1441</v>
      </c>
      <c r="B897" s="129"/>
      <c r="C897" s="229" t="s">
        <v>325</v>
      </c>
      <c r="D897" s="230"/>
      <c r="E897" s="230"/>
      <c r="F897" s="230"/>
      <c r="G897" s="22"/>
      <c r="H897" s="230"/>
      <c r="I897" s="445"/>
      <c r="J897" s="440"/>
      <c r="K897" s="440"/>
      <c r="L897" s="440"/>
      <c r="M897" s="440"/>
      <c r="N897" s="440"/>
      <c r="O897" s="440"/>
      <c r="P897" s="492"/>
      <c r="Q897" s="147"/>
      <c r="R897" s="440"/>
      <c r="S897" s="148"/>
      <c r="T897" s="148" t="str">
        <f t="shared" si="248"/>
        <v xml:space="preserve"> </v>
      </c>
      <c r="U897" s="148"/>
      <c r="V897" s="330"/>
      <c r="W897" s="330"/>
      <c r="X897" s="57" t="str">
        <f>IF(B897&lt;&gt;0,VLOOKUP(B897,#REF!,4,FALSE),"")</f>
        <v/>
      </c>
      <c r="Y897" s="334" t="s">
        <v>1891</v>
      </c>
      <c r="Z897" s="58"/>
      <c r="AA897" s="58">
        <f t="shared" si="254"/>
        <v>0</v>
      </c>
      <c r="AB897" s="58"/>
      <c r="AC897" s="58">
        <f t="shared" si="255"/>
        <v>0</v>
      </c>
      <c r="AD897" s="58" t="str">
        <f>IF(B897&lt;&gt;0,VLOOKUP(B897,#REF!,2,FALSE),"")</f>
        <v/>
      </c>
      <c r="AE897" s="55">
        <v>107</v>
      </c>
      <c r="AF897" s="55">
        <f t="shared" ref="AF897:AF908" si="264">AE897-F897</f>
        <v>107</v>
      </c>
    </row>
    <row r="898" spans="1:32" s="38" customFormat="1">
      <c r="A898" s="447" t="s">
        <v>1442</v>
      </c>
      <c r="B898" s="448">
        <v>70473</v>
      </c>
      <c r="C898" s="449" t="s">
        <v>2624</v>
      </c>
      <c r="D898" s="447" t="s">
        <v>1914</v>
      </c>
      <c r="E898" s="447" t="s">
        <v>52</v>
      </c>
      <c r="F898" s="450">
        <v>107</v>
      </c>
      <c r="G898" s="450">
        <f t="shared" si="256"/>
        <v>89.0715</v>
      </c>
      <c r="H898" s="450">
        <f>ROUND(G898*(1+$X$13),2)</f>
        <v>112.95</v>
      </c>
      <c r="I898" s="451">
        <f>ROUND(H898*F898,2)</f>
        <v>12085.65</v>
      </c>
      <c r="J898" s="452"/>
      <c r="K898" s="452"/>
      <c r="L898" s="452"/>
      <c r="M898" s="452">
        <v>99.23</v>
      </c>
      <c r="N898" s="452">
        <v>125.83</v>
      </c>
      <c r="O898" s="452">
        <v>13463.81</v>
      </c>
      <c r="P898" s="493"/>
      <c r="Q898" s="451">
        <f t="shared" si="261"/>
        <v>0</v>
      </c>
      <c r="R898" s="452">
        <f>F898</f>
        <v>107</v>
      </c>
      <c r="S898" s="452">
        <f t="shared" si="262"/>
        <v>13463.81</v>
      </c>
      <c r="T898" s="452">
        <f t="shared" si="248"/>
        <v>0</v>
      </c>
      <c r="U898" s="452">
        <f t="shared" si="247"/>
        <v>0</v>
      </c>
      <c r="V898" s="453"/>
      <c r="W898" s="453"/>
      <c r="X898" s="42">
        <f>'COMPOSIÇÃO DE CUSTOS'!G1602</f>
        <v>89.07</v>
      </c>
      <c r="Y898" s="336">
        <v>104.79</v>
      </c>
      <c r="Z898" s="39">
        <f t="shared" si="257"/>
        <v>-15.718500000000006</v>
      </c>
      <c r="AA898" s="39">
        <f t="shared" si="254"/>
        <v>9530.6504999999997</v>
      </c>
      <c r="AB898" s="39"/>
      <c r="AC898" s="39">
        <f t="shared" si="255"/>
        <v>12085.65</v>
      </c>
      <c r="AD898" s="39" t="e">
        <f>IF(B898&lt;&gt;0,VLOOKUP(B898,#REF!,2,FALSE),"")</f>
        <v>#REF!</v>
      </c>
      <c r="AE898" s="38">
        <v>4</v>
      </c>
      <c r="AF898" s="38">
        <f t="shared" si="264"/>
        <v>-103</v>
      </c>
    </row>
    <row r="899" spans="1:32" s="38" customFormat="1" ht="30">
      <c r="A899" s="447" t="s">
        <v>2959</v>
      </c>
      <c r="B899" s="448" t="s">
        <v>3366</v>
      </c>
      <c r="C899" s="449" t="s">
        <v>2960</v>
      </c>
      <c r="D899" s="447" t="s">
        <v>3046</v>
      </c>
      <c r="E899" s="447" t="s">
        <v>17</v>
      </c>
      <c r="F899" s="450">
        <v>4</v>
      </c>
      <c r="G899" s="450">
        <f t="shared" si="256"/>
        <v>65.858000000000004</v>
      </c>
      <c r="H899" s="450">
        <f>ROUND(G899*(1+$X$13),2)</f>
        <v>83.51</v>
      </c>
      <c r="I899" s="451">
        <f>ROUND(H899*F899,2)</f>
        <v>334.04</v>
      </c>
      <c r="J899" s="452"/>
      <c r="K899" s="452"/>
      <c r="L899" s="452"/>
      <c r="M899" s="452">
        <v>73.37</v>
      </c>
      <c r="N899" s="452">
        <v>93.04</v>
      </c>
      <c r="O899" s="452">
        <v>372.16</v>
      </c>
      <c r="P899" s="493"/>
      <c r="Q899" s="451">
        <f t="shared" si="261"/>
        <v>0</v>
      </c>
      <c r="R899" s="452">
        <v>4</v>
      </c>
      <c r="S899" s="452">
        <f t="shared" si="262"/>
        <v>372.16</v>
      </c>
      <c r="T899" s="452">
        <f t="shared" si="248"/>
        <v>0</v>
      </c>
      <c r="U899" s="452">
        <f t="shared" si="247"/>
        <v>0</v>
      </c>
      <c r="V899" s="453"/>
      <c r="W899" s="453"/>
      <c r="X899" s="42">
        <f>'COMPOSIÇÃO DE CUSTOS'!G2532</f>
        <v>77.48</v>
      </c>
      <c r="Y899" s="336">
        <v>77.48</v>
      </c>
      <c r="Z899" s="39">
        <f t="shared" si="257"/>
        <v>-11.622</v>
      </c>
      <c r="AA899" s="39">
        <f t="shared" si="254"/>
        <v>263.43200000000002</v>
      </c>
      <c r="AB899" s="39"/>
      <c r="AC899" s="39">
        <f t="shared" si="255"/>
        <v>334.04</v>
      </c>
      <c r="AD899" s="39" t="e">
        <f>IF(B899&lt;&gt;0,VLOOKUP(B899,#REF!,2,FALSE),"")</f>
        <v>#REF!</v>
      </c>
      <c r="AF899" s="38">
        <f t="shared" si="264"/>
        <v>-4</v>
      </c>
    </row>
    <row r="900" spans="1:32" s="55" customFormat="1" ht="15" customHeight="1">
      <c r="A900" s="69" t="s">
        <v>1443</v>
      </c>
      <c r="B900" s="129"/>
      <c r="C900" s="229" t="s">
        <v>135</v>
      </c>
      <c r="D900" s="230"/>
      <c r="E900" s="230"/>
      <c r="F900" s="230"/>
      <c r="G900" s="22"/>
      <c r="H900" s="230"/>
      <c r="I900" s="445"/>
      <c r="J900" s="440"/>
      <c r="K900" s="440"/>
      <c r="L900" s="440"/>
      <c r="M900" s="440"/>
      <c r="N900" s="440"/>
      <c r="O900" s="440"/>
      <c r="P900" s="492"/>
      <c r="Q900" s="147"/>
      <c r="R900" s="440"/>
      <c r="S900" s="148"/>
      <c r="T900" s="148" t="str">
        <f t="shared" si="248"/>
        <v xml:space="preserve"> </v>
      </c>
      <c r="U900" s="148"/>
      <c r="V900" s="330"/>
      <c r="W900" s="330"/>
      <c r="X900" s="57" t="str">
        <f>IF(B900&lt;&gt;0,VLOOKUP(B900,#REF!,4,FALSE),"")</f>
        <v/>
      </c>
      <c r="Y900" s="334" t="s">
        <v>1891</v>
      </c>
      <c r="Z900" s="58"/>
      <c r="AA900" s="58">
        <f t="shared" si="254"/>
        <v>0</v>
      </c>
      <c r="AB900" s="58"/>
      <c r="AC900" s="58">
        <f t="shared" si="255"/>
        <v>0</v>
      </c>
      <c r="AD900" s="58" t="str">
        <f>IF(B900&lt;&gt;0,VLOOKUP(B900,#REF!,2,FALSE),"")</f>
        <v/>
      </c>
      <c r="AE900" s="55">
        <v>1</v>
      </c>
      <c r="AF900" s="55">
        <f t="shared" si="264"/>
        <v>1</v>
      </c>
    </row>
    <row r="901" spans="1:32" s="38" customFormat="1" ht="30">
      <c r="A901" s="447" t="s">
        <v>1444</v>
      </c>
      <c r="B901" s="448" t="s">
        <v>3350</v>
      </c>
      <c r="C901" s="449" t="s">
        <v>3071</v>
      </c>
      <c r="D901" s="447" t="s">
        <v>3046</v>
      </c>
      <c r="E901" s="447" t="s">
        <v>17</v>
      </c>
      <c r="F901" s="450">
        <v>1</v>
      </c>
      <c r="G901" s="450">
        <f t="shared" si="256"/>
        <v>82280.934999999998</v>
      </c>
      <c r="H901" s="450">
        <f t="shared" ref="H901:H908" si="265">ROUND(G901*(1+$X$14),2)</f>
        <v>97651.01</v>
      </c>
      <c r="I901" s="451">
        <f t="shared" ref="I901:I913" si="266">ROUND(H901*F901,2)</f>
        <v>97651.01</v>
      </c>
      <c r="J901" s="452"/>
      <c r="K901" s="452"/>
      <c r="L901" s="452"/>
      <c r="M901" s="452">
        <v>69108.47</v>
      </c>
      <c r="N901" s="452">
        <v>82017.929999999993</v>
      </c>
      <c r="O901" s="452">
        <v>82017.929999999993</v>
      </c>
      <c r="P901" s="493"/>
      <c r="Q901" s="451">
        <f t="shared" si="261"/>
        <v>0</v>
      </c>
      <c r="R901" s="452">
        <v>1</v>
      </c>
      <c r="S901" s="452">
        <f t="shared" si="262"/>
        <v>82017.929999999993</v>
      </c>
      <c r="T901" s="452">
        <f t="shared" si="248"/>
        <v>0</v>
      </c>
      <c r="U901" s="452">
        <f t="shared" si="247"/>
        <v>0</v>
      </c>
      <c r="V901" s="453"/>
      <c r="W901" s="453"/>
      <c r="X901" s="42">
        <f>'COMPOSIÇÃO DE CUSTOS'!G2517</f>
        <v>82280.94</v>
      </c>
      <c r="Y901" s="336">
        <v>96801.1</v>
      </c>
      <c r="Z901" s="39">
        <f t="shared" si="257"/>
        <v>-14520.165000000008</v>
      </c>
      <c r="AA901" s="39">
        <f t="shared" si="254"/>
        <v>82280.934999999998</v>
      </c>
      <c r="AB901" s="39"/>
      <c r="AC901" s="39">
        <f t="shared" si="255"/>
        <v>97651.01</v>
      </c>
      <c r="AD901" s="39" t="e">
        <f>IF(B901&lt;&gt;0,VLOOKUP(B901,#REF!,2,FALSE),"")</f>
        <v>#REF!</v>
      </c>
      <c r="AE901" s="38">
        <v>1</v>
      </c>
      <c r="AF901" s="38">
        <f t="shared" si="264"/>
        <v>0</v>
      </c>
    </row>
    <row r="902" spans="1:32" s="38" customFormat="1" ht="30">
      <c r="A902" s="447" t="s">
        <v>1445</v>
      </c>
      <c r="B902" s="448" t="s">
        <v>3436</v>
      </c>
      <c r="C902" s="449" t="s">
        <v>3072</v>
      </c>
      <c r="D902" s="447" t="s">
        <v>3046</v>
      </c>
      <c r="E902" s="447" t="s">
        <v>17</v>
      </c>
      <c r="F902" s="450">
        <v>1</v>
      </c>
      <c r="G902" s="450">
        <f t="shared" si="256"/>
        <v>91692.79800000001</v>
      </c>
      <c r="H902" s="450">
        <f t="shared" si="265"/>
        <v>108821.01</v>
      </c>
      <c r="I902" s="451">
        <f t="shared" si="266"/>
        <v>108821.01</v>
      </c>
      <c r="J902" s="452"/>
      <c r="K902" s="452"/>
      <c r="L902" s="452"/>
      <c r="M902" s="452">
        <v>80450.570000000007</v>
      </c>
      <c r="N902" s="452">
        <v>95478.74</v>
      </c>
      <c r="O902" s="452">
        <v>95478.74</v>
      </c>
      <c r="P902" s="493"/>
      <c r="Q902" s="451">
        <f t="shared" si="261"/>
        <v>0</v>
      </c>
      <c r="R902" s="452">
        <v>1</v>
      </c>
      <c r="S902" s="452">
        <f t="shared" si="262"/>
        <v>95478.74</v>
      </c>
      <c r="T902" s="452">
        <f t="shared" si="248"/>
        <v>0</v>
      </c>
      <c r="U902" s="452">
        <f t="shared" si="247"/>
        <v>0</v>
      </c>
      <c r="V902" s="453"/>
      <c r="W902" s="453"/>
      <c r="X902" s="42">
        <f>'COMPOSIÇÃO DE CUSTOS'!G2522</f>
        <v>91692.800000000003</v>
      </c>
      <c r="Y902" s="336">
        <v>107873.88</v>
      </c>
      <c r="Z902" s="39">
        <f t="shared" si="257"/>
        <v>-16181.081999999995</v>
      </c>
      <c r="AA902" s="39">
        <f t="shared" si="254"/>
        <v>91692.79800000001</v>
      </c>
      <c r="AB902" s="39"/>
      <c r="AC902" s="39">
        <f t="shared" si="255"/>
        <v>108821.01</v>
      </c>
      <c r="AD902" s="39" t="e">
        <f>IF(B902&lt;&gt;0,VLOOKUP(B902,#REF!,2,FALSE),"")</f>
        <v>#REF!</v>
      </c>
      <c r="AE902" s="38">
        <v>1</v>
      </c>
      <c r="AF902" s="38">
        <f t="shared" si="264"/>
        <v>0</v>
      </c>
    </row>
    <row r="903" spans="1:32" s="38" customFormat="1" ht="30">
      <c r="A903" s="447" t="s">
        <v>1446</v>
      </c>
      <c r="B903" s="448" t="s">
        <v>3362</v>
      </c>
      <c r="C903" s="449" t="s">
        <v>3077</v>
      </c>
      <c r="D903" s="447" t="s">
        <v>3046</v>
      </c>
      <c r="E903" s="447" t="s">
        <v>17</v>
      </c>
      <c r="F903" s="450">
        <v>1</v>
      </c>
      <c r="G903" s="450">
        <f t="shared" si="256"/>
        <v>137539.19700000001</v>
      </c>
      <c r="H903" s="450">
        <f t="shared" si="265"/>
        <v>163231.51999999999</v>
      </c>
      <c r="I903" s="451">
        <f t="shared" si="266"/>
        <v>163231.51999999999</v>
      </c>
      <c r="J903" s="452"/>
      <c r="K903" s="452"/>
      <c r="L903" s="452"/>
      <c r="M903" s="452">
        <v>127198.67</v>
      </c>
      <c r="N903" s="452">
        <v>150959.38</v>
      </c>
      <c r="O903" s="452">
        <v>150959.38</v>
      </c>
      <c r="P903" s="493"/>
      <c r="Q903" s="451">
        <f t="shared" si="261"/>
        <v>0</v>
      </c>
      <c r="R903" s="452">
        <v>1</v>
      </c>
      <c r="S903" s="452">
        <f t="shared" si="262"/>
        <v>150959.38</v>
      </c>
      <c r="T903" s="452">
        <f t="shared" si="248"/>
        <v>0</v>
      </c>
      <c r="U903" s="452">
        <f t="shared" si="247"/>
        <v>0</v>
      </c>
      <c r="V903" s="453"/>
      <c r="W903" s="453"/>
      <c r="X903" s="42">
        <f>'COMPOSIÇÃO DE CUSTOS'!G2527</f>
        <v>137539.20000000001</v>
      </c>
      <c r="Y903" s="336">
        <v>161810.82</v>
      </c>
      <c r="Z903" s="39">
        <f t="shared" si="257"/>
        <v>-24271.622999999992</v>
      </c>
      <c r="AA903" s="39">
        <f t="shared" si="254"/>
        <v>137539.19700000001</v>
      </c>
      <c r="AB903" s="39"/>
      <c r="AC903" s="39">
        <f t="shared" si="255"/>
        <v>163231.51999999999</v>
      </c>
      <c r="AD903" s="39" t="e">
        <f>IF(B903&lt;&gt;0,VLOOKUP(B903,#REF!,2,FALSE),"")</f>
        <v>#REF!</v>
      </c>
      <c r="AE903" s="38">
        <v>21</v>
      </c>
      <c r="AF903" s="38">
        <f t="shared" si="264"/>
        <v>20</v>
      </c>
    </row>
    <row r="904" spans="1:32" s="38" customFormat="1" ht="30">
      <c r="A904" s="447" t="s">
        <v>1447</v>
      </c>
      <c r="B904" s="448" t="s">
        <v>3332</v>
      </c>
      <c r="C904" s="449" t="s">
        <v>3052</v>
      </c>
      <c r="D904" s="447" t="s">
        <v>3046</v>
      </c>
      <c r="E904" s="447" t="s">
        <v>17</v>
      </c>
      <c r="F904" s="450">
        <v>21</v>
      </c>
      <c r="G904" s="450">
        <f t="shared" si="256"/>
        <v>3752.2655000000004</v>
      </c>
      <c r="H904" s="450">
        <f t="shared" si="265"/>
        <v>4453.1899999999996</v>
      </c>
      <c r="I904" s="451">
        <f t="shared" si="266"/>
        <v>93516.99</v>
      </c>
      <c r="J904" s="452"/>
      <c r="K904" s="452"/>
      <c r="L904" s="452"/>
      <c r="M904" s="452">
        <v>4149.95</v>
      </c>
      <c r="N904" s="452">
        <v>4925.16</v>
      </c>
      <c r="O904" s="452">
        <v>103428.36</v>
      </c>
      <c r="P904" s="493"/>
      <c r="Q904" s="451">
        <f t="shared" si="261"/>
        <v>0</v>
      </c>
      <c r="R904" s="452">
        <f>F904-7-5</f>
        <v>9</v>
      </c>
      <c r="S904" s="452">
        <f t="shared" si="262"/>
        <v>44326.44</v>
      </c>
      <c r="T904" s="452">
        <f t="shared" si="248"/>
        <v>12</v>
      </c>
      <c r="U904" s="452">
        <f t="shared" si="247"/>
        <v>59101.919999999998</v>
      </c>
      <c r="V904" s="453"/>
      <c r="W904" s="453"/>
      <c r="X904" s="42">
        <f>'COMPOSIÇÃO DE CUSTOS'!G1636</f>
        <v>3752.27</v>
      </c>
      <c r="Y904" s="336">
        <v>4414.43</v>
      </c>
      <c r="Z904" s="39">
        <f t="shared" si="257"/>
        <v>-662.16449999999986</v>
      </c>
      <c r="AA904" s="39">
        <f t="shared" si="254"/>
        <v>78797.575500000006</v>
      </c>
      <c r="AB904" s="39"/>
      <c r="AC904" s="39">
        <f t="shared" si="255"/>
        <v>93516.989999999991</v>
      </c>
      <c r="AD904" s="39" t="e">
        <f>IF(B904&lt;&gt;0,VLOOKUP(B904,#REF!,2,FALSE),"")</f>
        <v>#REF!</v>
      </c>
      <c r="AE904" s="38">
        <v>5</v>
      </c>
      <c r="AF904" s="38">
        <f t="shared" si="264"/>
        <v>-16</v>
      </c>
    </row>
    <row r="905" spans="1:32" s="38" customFormat="1" ht="38.25" customHeight="1">
      <c r="A905" s="447" t="s">
        <v>1448</v>
      </c>
      <c r="B905" s="448" t="s">
        <v>3331</v>
      </c>
      <c r="C905" s="449" t="s">
        <v>3074</v>
      </c>
      <c r="D905" s="447" t="s">
        <v>3046</v>
      </c>
      <c r="E905" s="447" t="s">
        <v>17</v>
      </c>
      <c r="F905" s="450">
        <v>5</v>
      </c>
      <c r="G905" s="450">
        <f t="shared" si="256"/>
        <v>3457.069</v>
      </c>
      <c r="H905" s="450">
        <f t="shared" si="265"/>
        <v>4102.8500000000004</v>
      </c>
      <c r="I905" s="451">
        <f t="shared" si="266"/>
        <v>20514.25</v>
      </c>
      <c r="J905" s="452"/>
      <c r="K905" s="452"/>
      <c r="L905" s="452"/>
      <c r="M905" s="452">
        <v>4051.47</v>
      </c>
      <c r="N905" s="452">
        <v>4808.28</v>
      </c>
      <c r="O905" s="452">
        <v>24041.4</v>
      </c>
      <c r="P905" s="493"/>
      <c r="Q905" s="451">
        <f t="shared" si="261"/>
        <v>0</v>
      </c>
      <c r="R905" s="452">
        <v>5</v>
      </c>
      <c r="S905" s="452">
        <f t="shared" si="262"/>
        <v>24041.4</v>
      </c>
      <c r="T905" s="452">
        <f t="shared" si="248"/>
        <v>0</v>
      </c>
      <c r="U905" s="452">
        <f t="shared" si="247"/>
        <v>0</v>
      </c>
      <c r="V905" s="453"/>
      <c r="W905" s="453"/>
      <c r="X905" s="42">
        <f>X906</f>
        <v>3457.07</v>
      </c>
      <c r="Y905" s="336">
        <v>4067.14</v>
      </c>
      <c r="Z905" s="39">
        <f t="shared" si="257"/>
        <v>-610.07099999999991</v>
      </c>
      <c r="AA905" s="39">
        <f t="shared" si="254"/>
        <v>17285.345000000001</v>
      </c>
      <c r="AB905" s="39"/>
      <c r="AC905" s="39">
        <f t="shared" si="255"/>
        <v>20514.25</v>
      </c>
      <c r="AD905" s="39" t="e">
        <f>IF(B905&lt;&gt;0,VLOOKUP(B905,#REF!,2,FALSE),"")</f>
        <v>#REF!</v>
      </c>
      <c r="AE905" s="38">
        <v>7</v>
      </c>
      <c r="AF905" s="38">
        <f t="shared" si="264"/>
        <v>2</v>
      </c>
    </row>
    <row r="906" spans="1:32" ht="30">
      <c r="A906" s="21" t="s">
        <v>1449</v>
      </c>
      <c r="B906" s="20" t="s">
        <v>3331</v>
      </c>
      <c r="C906" s="19" t="s">
        <v>3075</v>
      </c>
      <c r="D906" s="21" t="s">
        <v>3046</v>
      </c>
      <c r="E906" s="21" t="s">
        <v>17</v>
      </c>
      <c r="F906" s="22">
        <v>7</v>
      </c>
      <c r="G906" s="22">
        <f t="shared" si="256"/>
        <v>3457.069</v>
      </c>
      <c r="H906" s="22">
        <f t="shared" si="265"/>
        <v>4102.8500000000004</v>
      </c>
      <c r="I906" s="147">
        <f t="shared" si="266"/>
        <v>28719.95</v>
      </c>
      <c r="J906" s="148"/>
      <c r="K906" s="148"/>
      <c r="L906" s="148"/>
      <c r="M906" s="148">
        <v>4051.47</v>
      </c>
      <c r="N906" s="148">
        <v>4808.28</v>
      </c>
      <c r="O906" s="148">
        <v>33657.96</v>
      </c>
      <c r="P906" s="494"/>
      <c r="Q906" s="147">
        <f t="shared" si="261"/>
        <v>0</v>
      </c>
      <c r="R906" s="148"/>
      <c r="S906" s="148">
        <f t="shared" si="262"/>
        <v>0</v>
      </c>
      <c r="T906" s="148">
        <f t="shared" si="248"/>
        <v>7</v>
      </c>
      <c r="U906" s="148">
        <f t="shared" si="247"/>
        <v>33657.96</v>
      </c>
      <c r="V906" s="379"/>
      <c r="W906" s="379"/>
      <c r="X906" s="33">
        <f>'COMPOSIÇÃO DE CUSTOS'!G1641</f>
        <v>3457.07</v>
      </c>
      <c r="Y906" s="337">
        <v>4067.14</v>
      </c>
      <c r="Z906" s="30">
        <f t="shared" si="257"/>
        <v>-610.07099999999991</v>
      </c>
      <c r="AA906" s="30">
        <f t="shared" si="254"/>
        <v>24199.483</v>
      </c>
      <c r="AB906" s="30"/>
      <c r="AC906" s="30">
        <f t="shared" si="255"/>
        <v>28719.950000000004</v>
      </c>
      <c r="AD906" s="30" t="e">
        <f>IF(B906&lt;&gt;0,VLOOKUP(B906,#REF!,2,FALSE),"")</f>
        <v>#REF!</v>
      </c>
      <c r="AE906" s="2">
        <v>4</v>
      </c>
      <c r="AF906" s="2">
        <f t="shared" si="264"/>
        <v>-3</v>
      </c>
    </row>
    <row r="907" spans="1:32" s="55" customFormat="1" ht="30">
      <c r="A907" s="21" t="s">
        <v>1450</v>
      </c>
      <c r="B907" s="20" t="s">
        <v>3327</v>
      </c>
      <c r="C907" s="19" t="s">
        <v>3342</v>
      </c>
      <c r="D907" s="21" t="s">
        <v>3046</v>
      </c>
      <c r="E907" s="21" t="s">
        <v>17</v>
      </c>
      <c r="F907" s="22">
        <v>4</v>
      </c>
      <c r="G907" s="22">
        <f t="shared" si="256"/>
        <v>3828.9184999999998</v>
      </c>
      <c r="H907" s="22">
        <f t="shared" si="265"/>
        <v>4544.16</v>
      </c>
      <c r="I907" s="147">
        <f t="shared" si="266"/>
        <v>18176.64</v>
      </c>
      <c r="J907" s="148"/>
      <c r="K907" s="148"/>
      <c r="L907" s="148"/>
      <c r="M907" s="148">
        <v>2913.98</v>
      </c>
      <c r="N907" s="148">
        <v>3458.31</v>
      </c>
      <c r="O907" s="148">
        <v>13833.24</v>
      </c>
      <c r="P907" s="494"/>
      <c r="Q907" s="147">
        <f t="shared" si="261"/>
        <v>0</v>
      </c>
      <c r="R907" s="148"/>
      <c r="S907" s="148">
        <f t="shared" si="262"/>
        <v>0</v>
      </c>
      <c r="T907" s="148">
        <f t="shared" si="248"/>
        <v>4</v>
      </c>
      <c r="U907" s="148">
        <f t="shared" si="247"/>
        <v>13833.24</v>
      </c>
      <c r="V907" s="379"/>
      <c r="W907" s="379"/>
      <c r="X907" s="57">
        <f>'COMPOSIÇÃO DE CUSTOS'!G1651</f>
        <v>3828.92</v>
      </c>
      <c r="Y907" s="334">
        <v>4504.6099999999997</v>
      </c>
      <c r="Z907" s="58">
        <f t="shared" si="257"/>
        <v>-675.69149999999991</v>
      </c>
      <c r="AA907" s="58">
        <f t="shared" si="254"/>
        <v>15315.673999999999</v>
      </c>
      <c r="AB907" s="58"/>
      <c r="AC907" s="58">
        <f t="shared" si="255"/>
        <v>18176.64</v>
      </c>
      <c r="AD907" s="58" t="e">
        <f>IF(B907&lt;&gt;0,VLOOKUP(B907,#REF!,2,FALSE),"")</f>
        <v>#REF!</v>
      </c>
      <c r="AE907" s="55">
        <v>5</v>
      </c>
      <c r="AF907" s="55">
        <f t="shared" si="264"/>
        <v>1</v>
      </c>
    </row>
    <row r="908" spans="1:32" s="38" customFormat="1" ht="30">
      <c r="A908" s="447" t="s">
        <v>1451</v>
      </c>
      <c r="B908" s="448" t="s">
        <v>3328</v>
      </c>
      <c r="C908" s="449" t="s">
        <v>3076</v>
      </c>
      <c r="D908" s="447" t="s">
        <v>3046</v>
      </c>
      <c r="E908" s="447" t="s">
        <v>17</v>
      </c>
      <c r="F908" s="450">
        <v>5</v>
      </c>
      <c r="G908" s="450">
        <f t="shared" si="256"/>
        <v>2961.672</v>
      </c>
      <c r="H908" s="450">
        <f t="shared" si="265"/>
        <v>3514.91</v>
      </c>
      <c r="I908" s="451">
        <f t="shared" si="266"/>
        <v>17574.55</v>
      </c>
      <c r="J908" s="452"/>
      <c r="K908" s="452"/>
      <c r="L908" s="452"/>
      <c r="M908" s="452">
        <v>2639.19</v>
      </c>
      <c r="N908" s="452">
        <v>3132.19</v>
      </c>
      <c r="O908" s="452">
        <v>15660.95</v>
      </c>
      <c r="P908" s="493">
        <v>1</v>
      </c>
      <c r="Q908" s="451">
        <f t="shared" si="261"/>
        <v>3132.19</v>
      </c>
      <c r="R908" s="452"/>
      <c r="S908" s="452">
        <f t="shared" si="262"/>
        <v>0</v>
      </c>
      <c r="T908" s="452">
        <f t="shared" si="248"/>
        <v>6</v>
      </c>
      <c r="U908" s="452">
        <f t="shared" si="247"/>
        <v>18793.14</v>
      </c>
      <c r="V908" s="453"/>
      <c r="W908" s="453"/>
      <c r="X908" s="42">
        <f>'COMPOSIÇÃO DE CUSTOS'!G1656</f>
        <v>2961.67</v>
      </c>
      <c r="Y908" s="336">
        <v>3484.32</v>
      </c>
      <c r="Z908" s="39">
        <f t="shared" si="257"/>
        <v>-522.64800000000014</v>
      </c>
      <c r="AA908" s="39">
        <f t="shared" si="254"/>
        <v>14808.36</v>
      </c>
      <c r="AB908" s="536">
        <f>SUM(G901:G908)</f>
        <v>328969.92400000012</v>
      </c>
      <c r="AC908" s="39">
        <f t="shared" si="255"/>
        <v>17574.55</v>
      </c>
      <c r="AD908" s="39" t="e">
        <f>IF(B908&lt;&gt;0,VLOOKUP(B908,#REF!,2,FALSE),"")</f>
        <v>#REF!</v>
      </c>
      <c r="AE908" s="38">
        <v>36</v>
      </c>
      <c r="AF908" s="38">
        <f t="shared" si="264"/>
        <v>31</v>
      </c>
    </row>
    <row r="909" spans="1:32" s="38" customFormat="1" ht="30">
      <c r="A909" s="447" t="s">
        <v>3054</v>
      </c>
      <c r="B909" s="448" t="s">
        <v>3047</v>
      </c>
      <c r="C909" s="449" t="s">
        <v>3045</v>
      </c>
      <c r="D909" s="447" t="s">
        <v>3046</v>
      </c>
      <c r="E909" s="447" t="s">
        <v>17</v>
      </c>
      <c r="F909" s="450">
        <v>42</v>
      </c>
      <c r="G909" s="450">
        <f t="shared" si="256"/>
        <v>295.596</v>
      </c>
      <c r="H909" s="450">
        <f t="shared" ref="H909:H913" si="267">ROUND(G909*(1+$X$13),2)</f>
        <v>374.85</v>
      </c>
      <c r="I909" s="451">
        <f>ROUND(H909*F909,2)</f>
        <v>15743.7</v>
      </c>
      <c r="J909" s="452"/>
      <c r="K909" s="452"/>
      <c r="L909" s="452"/>
      <c r="M909" s="452">
        <v>329.29</v>
      </c>
      <c r="N909" s="452">
        <v>417.57</v>
      </c>
      <c r="O909" s="452">
        <v>17537.939999999999</v>
      </c>
      <c r="P909" s="493"/>
      <c r="Q909" s="451">
        <f t="shared" si="261"/>
        <v>0</v>
      </c>
      <c r="R909" s="452">
        <v>2</v>
      </c>
      <c r="S909" s="452">
        <f t="shared" si="262"/>
        <v>835.14</v>
      </c>
      <c r="T909" s="452">
        <f t="shared" si="248"/>
        <v>40</v>
      </c>
      <c r="U909" s="452">
        <f t="shared" si="247"/>
        <v>16702.8</v>
      </c>
      <c r="V909" s="453"/>
      <c r="W909" s="453"/>
      <c r="X909" s="42">
        <f>'COMPOSIÇÃO DE CUSTOS'!G2546</f>
        <v>295.58999999999997</v>
      </c>
      <c r="Y909" s="336">
        <v>347.76</v>
      </c>
      <c r="Z909" s="39">
        <f t="shared" si="257"/>
        <v>-52.163999999999987</v>
      </c>
      <c r="AA909" s="39">
        <f t="shared" si="254"/>
        <v>12415.031999999999</v>
      </c>
      <c r="AB909" s="39"/>
      <c r="AC909" s="39">
        <f t="shared" si="255"/>
        <v>15743.7</v>
      </c>
      <c r="AD909" s="39"/>
    </row>
    <row r="910" spans="1:32" s="38" customFormat="1" ht="30">
      <c r="A910" s="447" t="s">
        <v>3055</v>
      </c>
      <c r="B910" s="448" t="s">
        <v>3062</v>
      </c>
      <c r="C910" s="449" t="s">
        <v>3063</v>
      </c>
      <c r="D910" s="447" t="s">
        <v>3046</v>
      </c>
      <c r="E910" s="447" t="s">
        <v>17</v>
      </c>
      <c r="F910" s="450">
        <v>3</v>
      </c>
      <c r="G910" s="450">
        <f t="shared" si="256"/>
        <v>543.25199999999995</v>
      </c>
      <c r="H910" s="450">
        <f t="shared" si="267"/>
        <v>688.9</v>
      </c>
      <c r="I910" s="451">
        <f>ROUND(H910*F910,2)</f>
        <v>2066.6999999999998</v>
      </c>
      <c r="J910" s="452"/>
      <c r="K910" s="452"/>
      <c r="L910" s="452"/>
      <c r="M910" s="452">
        <v>605.19000000000005</v>
      </c>
      <c r="N910" s="452">
        <v>767.44</v>
      </c>
      <c r="O910" s="452">
        <v>2302.3200000000002</v>
      </c>
      <c r="P910" s="493"/>
      <c r="Q910" s="451">
        <f t="shared" si="261"/>
        <v>0</v>
      </c>
      <c r="R910" s="452">
        <v>1</v>
      </c>
      <c r="S910" s="452">
        <f t="shared" si="262"/>
        <v>767.44</v>
      </c>
      <c r="T910" s="452">
        <f t="shared" si="248"/>
        <v>2</v>
      </c>
      <c r="U910" s="452">
        <f t="shared" si="247"/>
        <v>1534.88</v>
      </c>
      <c r="V910" s="453"/>
      <c r="W910" s="453"/>
      <c r="X910" s="42">
        <f>'COMPOSIÇÃO DE CUSTOS'!G2554</f>
        <v>543.25</v>
      </c>
      <c r="Y910" s="336">
        <v>639.12</v>
      </c>
      <c r="Z910" s="39">
        <f t="shared" si="257"/>
        <v>-95.868000000000052</v>
      </c>
      <c r="AA910" s="39">
        <f t="shared" si="254"/>
        <v>1629.7559999999999</v>
      </c>
      <c r="AB910" s="39"/>
      <c r="AC910" s="39">
        <f t="shared" si="255"/>
        <v>2066.6999999999998</v>
      </c>
      <c r="AD910" s="39"/>
    </row>
    <row r="911" spans="1:32" s="38" customFormat="1" ht="30">
      <c r="A911" s="447" t="s">
        <v>3056</v>
      </c>
      <c r="B911" s="448">
        <v>779329</v>
      </c>
      <c r="C911" s="449" t="s">
        <v>2513</v>
      </c>
      <c r="D911" s="447" t="s">
        <v>1914</v>
      </c>
      <c r="E911" s="447" t="s">
        <v>17</v>
      </c>
      <c r="F911" s="450">
        <v>36</v>
      </c>
      <c r="G911" s="450">
        <f t="shared" si="256"/>
        <v>241.42549999999997</v>
      </c>
      <c r="H911" s="450">
        <f t="shared" si="267"/>
        <v>306.14999999999998</v>
      </c>
      <c r="I911" s="451">
        <f t="shared" si="266"/>
        <v>11021.4</v>
      </c>
      <c r="J911" s="452"/>
      <c r="K911" s="452"/>
      <c r="L911" s="452"/>
      <c r="M911" s="452">
        <v>268.95</v>
      </c>
      <c r="N911" s="452">
        <v>341.06</v>
      </c>
      <c r="O911" s="452">
        <v>12278.16</v>
      </c>
      <c r="P911" s="493">
        <v>6</v>
      </c>
      <c r="Q911" s="451">
        <f t="shared" si="261"/>
        <v>2046.36</v>
      </c>
      <c r="R911" s="452"/>
      <c r="S911" s="452">
        <f t="shared" si="262"/>
        <v>0</v>
      </c>
      <c r="T911" s="452">
        <f t="shared" si="248"/>
        <v>42</v>
      </c>
      <c r="U911" s="452">
        <f t="shared" si="247"/>
        <v>14324.52</v>
      </c>
      <c r="V911" s="453"/>
      <c r="W911" s="453"/>
      <c r="X911" s="42">
        <f>'COMPOSIÇÃO DE CUSTOS'!G1661</f>
        <v>284.02999999999997</v>
      </c>
      <c r="Y911" s="336">
        <v>284.02999999999997</v>
      </c>
      <c r="Z911" s="39">
        <f t="shared" si="257"/>
        <v>-42.604500000000002</v>
      </c>
      <c r="AA911" s="39">
        <f t="shared" si="254"/>
        <v>8691.3179999999993</v>
      </c>
      <c r="AB911" s="39"/>
      <c r="AC911" s="39">
        <f t="shared" si="255"/>
        <v>11021.4</v>
      </c>
      <c r="AD911" s="39" t="e">
        <f>IF(B911&lt;&gt;0,VLOOKUP(B911,#REF!,2,FALSE),"")</f>
        <v>#REF!</v>
      </c>
      <c r="AE911" s="38">
        <v>150</v>
      </c>
      <c r="AF911" s="38">
        <f t="shared" ref="AF911:AF963" si="268">AE911-F911</f>
        <v>114</v>
      </c>
    </row>
    <row r="912" spans="1:32" s="55" customFormat="1">
      <c r="A912" s="21" t="s">
        <v>3057</v>
      </c>
      <c r="B912" s="20">
        <v>11509</v>
      </c>
      <c r="C912" s="19" t="s">
        <v>2522</v>
      </c>
      <c r="D912" s="21" t="s">
        <v>44</v>
      </c>
      <c r="E912" s="21" t="s">
        <v>45</v>
      </c>
      <c r="F912" s="22">
        <f>17.5+23+31.5</f>
        <v>72</v>
      </c>
      <c r="G912" s="22">
        <f t="shared" si="256"/>
        <v>41.411999999999999</v>
      </c>
      <c r="H912" s="22">
        <f t="shared" si="267"/>
        <v>52.51</v>
      </c>
      <c r="I912" s="147">
        <f t="shared" si="266"/>
        <v>3780.72</v>
      </c>
      <c r="J912" s="148"/>
      <c r="K912" s="148"/>
      <c r="L912" s="148"/>
      <c r="M912" s="148">
        <v>46.13</v>
      </c>
      <c r="N912" s="148">
        <v>58.5</v>
      </c>
      <c r="O912" s="148">
        <v>4212</v>
      </c>
      <c r="P912" s="494"/>
      <c r="Q912" s="147">
        <f t="shared" si="261"/>
        <v>0</v>
      </c>
      <c r="R912" s="148"/>
      <c r="S912" s="148">
        <f t="shared" si="262"/>
        <v>0</v>
      </c>
      <c r="T912" s="148">
        <f t="shared" si="248"/>
        <v>72</v>
      </c>
      <c r="U912" s="148">
        <f t="shared" si="247"/>
        <v>4212</v>
      </c>
      <c r="V912" s="379"/>
      <c r="W912" s="379"/>
      <c r="X912" s="57">
        <f>'COMPOSIÇÃO DE CUSTOS'!G2257</f>
        <v>41.42</v>
      </c>
      <c r="Y912" s="334">
        <v>48.72</v>
      </c>
      <c r="Z912" s="58">
        <f t="shared" si="257"/>
        <v>-7.3079999999999998</v>
      </c>
      <c r="AA912" s="58">
        <f t="shared" si="254"/>
        <v>2981.6639999999998</v>
      </c>
      <c r="AB912" s="58"/>
      <c r="AC912" s="58">
        <f t="shared" si="255"/>
        <v>3780.72</v>
      </c>
      <c r="AD912" s="58" t="e">
        <f>IF(B912&lt;&gt;0,VLOOKUP(B912,#REF!,2,FALSE),"")</f>
        <v>#REF!</v>
      </c>
      <c r="AE912" s="55">
        <v>26</v>
      </c>
      <c r="AF912" s="55">
        <f t="shared" si="268"/>
        <v>-46</v>
      </c>
    </row>
    <row r="913" spans="1:32" s="38" customFormat="1" ht="60">
      <c r="A913" s="447" t="s">
        <v>3066</v>
      </c>
      <c r="B913" s="448" t="s">
        <v>3341</v>
      </c>
      <c r="C913" s="449" t="s">
        <v>326</v>
      </c>
      <c r="D913" s="447" t="s">
        <v>3046</v>
      </c>
      <c r="E913" s="447" t="s">
        <v>17</v>
      </c>
      <c r="F913" s="450">
        <v>26</v>
      </c>
      <c r="G913" s="450">
        <f t="shared" si="256"/>
        <v>303.94299999999998</v>
      </c>
      <c r="H913" s="450">
        <f t="shared" si="267"/>
        <v>385.43</v>
      </c>
      <c r="I913" s="451">
        <f t="shared" si="266"/>
        <v>10021.18</v>
      </c>
      <c r="J913" s="452"/>
      <c r="K913" s="452"/>
      <c r="L913" s="452"/>
      <c r="M913" s="452">
        <v>338.6</v>
      </c>
      <c r="N913" s="452">
        <v>429.38</v>
      </c>
      <c r="O913" s="452">
        <v>11163.88</v>
      </c>
      <c r="P913" s="493"/>
      <c r="Q913" s="451">
        <f t="shared" si="261"/>
        <v>0</v>
      </c>
      <c r="R913" s="452">
        <f>F913</f>
        <v>26</v>
      </c>
      <c r="S913" s="452">
        <f t="shared" si="262"/>
        <v>11163.88</v>
      </c>
      <c r="T913" s="452">
        <f t="shared" si="248"/>
        <v>0</v>
      </c>
      <c r="U913" s="452">
        <f t="shared" si="247"/>
        <v>0</v>
      </c>
      <c r="V913" s="453"/>
      <c r="W913" s="453"/>
      <c r="X913" s="42">
        <f>'COMPOSIÇÃO DE CUSTOS'!G1668</f>
        <v>352.53</v>
      </c>
      <c r="Y913" s="336">
        <v>357.58</v>
      </c>
      <c r="Z913" s="39">
        <f t="shared" si="257"/>
        <v>-53.637</v>
      </c>
      <c r="AA913" s="39">
        <f t="shared" si="254"/>
        <v>7902.518</v>
      </c>
      <c r="AB913" s="39"/>
      <c r="AC913" s="39">
        <f t="shared" si="255"/>
        <v>10021.18</v>
      </c>
      <c r="AD913" s="39" t="e">
        <f>IF(B913&lt;&gt;0,VLOOKUP(B913,#REF!,2,FALSE),"")</f>
        <v>#REF!</v>
      </c>
      <c r="AF913" s="38">
        <f t="shared" si="268"/>
        <v>-26</v>
      </c>
    </row>
    <row r="914" spans="1:32" s="38" customFormat="1" ht="30">
      <c r="A914" s="447" t="s">
        <v>3064</v>
      </c>
      <c r="B914" s="448" t="s">
        <v>4110</v>
      </c>
      <c r="C914" s="449" t="s">
        <v>4066</v>
      </c>
      <c r="D914" s="447" t="s">
        <v>1914</v>
      </c>
      <c r="E914" s="447" t="s">
        <v>17</v>
      </c>
      <c r="F914" s="450"/>
      <c r="G914" s="450">
        <f t="shared" ref="G914:G919" si="269">W914</f>
        <v>3286.25</v>
      </c>
      <c r="H914" s="450">
        <f t="shared" ref="H914" si="270">ROUND(G914*(1+$X$14),2)</f>
        <v>3900.12</v>
      </c>
      <c r="I914" s="451"/>
      <c r="J914" s="452"/>
      <c r="K914" s="452"/>
      <c r="L914" s="452"/>
      <c r="M914" s="452"/>
      <c r="N914" s="452"/>
      <c r="O914" s="452"/>
      <c r="P914" s="493">
        <v>1</v>
      </c>
      <c r="Q914" s="451">
        <f t="shared" ref="Q914:Q921" si="271">ROUND(P914*H914,2)</f>
        <v>3900.12</v>
      </c>
      <c r="R914" s="452"/>
      <c r="S914" s="452"/>
      <c r="T914" s="452">
        <f t="shared" ref="T914:T915" si="272">F914+P914-R914</f>
        <v>1</v>
      </c>
      <c r="U914" s="452">
        <f t="shared" si="247"/>
        <v>3900.12</v>
      </c>
      <c r="V914" s="453"/>
      <c r="W914" s="453">
        <f>COMP!G342</f>
        <v>3286.25</v>
      </c>
      <c r="X914" s="42"/>
      <c r="Y914" s="336"/>
      <c r="Z914" s="39"/>
      <c r="AA914" s="39"/>
      <c r="AB914" s="39"/>
      <c r="AC914" s="39"/>
      <c r="AD914" s="39"/>
    </row>
    <row r="915" spans="1:32" s="38" customFormat="1" ht="30">
      <c r="A915" s="447" t="s">
        <v>3065</v>
      </c>
      <c r="B915" s="448" t="s">
        <v>4106</v>
      </c>
      <c r="C915" s="449" t="s">
        <v>4084</v>
      </c>
      <c r="D915" s="447" t="s">
        <v>1914</v>
      </c>
      <c r="E915" s="447" t="s">
        <v>17</v>
      </c>
      <c r="F915" s="450"/>
      <c r="G915" s="450">
        <f t="shared" si="269"/>
        <v>4663.4399999999996</v>
      </c>
      <c r="H915" s="450">
        <f t="shared" ref="H915" si="273">ROUND(G915*(1+$X$14),2)</f>
        <v>5534.57</v>
      </c>
      <c r="I915" s="451"/>
      <c r="J915" s="452"/>
      <c r="K915" s="452"/>
      <c r="L915" s="452"/>
      <c r="M915" s="452"/>
      <c r="N915" s="452"/>
      <c r="O915" s="452"/>
      <c r="P915" s="493">
        <v>4</v>
      </c>
      <c r="Q915" s="451">
        <f t="shared" si="271"/>
        <v>22138.28</v>
      </c>
      <c r="R915" s="452"/>
      <c r="S915" s="452"/>
      <c r="T915" s="452">
        <f t="shared" si="272"/>
        <v>4</v>
      </c>
      <c r="U915" s="452">
        <f t="shared" si="247"/>
        <v>22138.28</v>
      </c>
      <c r="V915" s="453"/>
      <c r="W915" s="453">
        <f>COMP!G337</f>
        <v>4663.4399999999996</v>
      </c>
      <c r="X915" s="42"/>
      <c r="Y915" s="336"/>
      <c r="Z915" s="39"/>
      <c r="AA915" s="39"/>
      <c r="AB915" s="39"/>
      <c r="AC915" s="39"/>
      <c r="AD915" s="39"/>
    </row>
    <row r="916" spans="1:32" s="38" customFormat="1" ht="30">
      <c r="A916" s="447" t="s">
        <v>3875</v>
      </c>
      <c r="B916" s="448" t="s">
        <v>4105</v>
      </c>
      <c r="C916" s="449" t="s">
        <v>4069</v>
      </c>
      <c r="D916" s="447" t="s">
        <v>1914</v>
      </c>
      <c r="E916" s="447" t="s">
        <v>17</v>
      </c>
      <c r="F916" s="450"/>
      <c r="G916" s="450">
        <f t="shared" si="269"/>
        <v>4663.4399999999996</v>
      </c>
      <c r="H916" s="450">
        <f t="shared" ref="H916" si="274">ROUND(G916*(1+$X$14),2)</f>
        <v>5534.57</v>
      </c>
      <c r="I916" s="451"/>
      <c r="J916" s="452"/>
      <c r="K916" s="452"/>
      <c r="L916" s="452"/>
      <c r="M916" s="452"/>
      <c r="N916" s="452"/>
      <c r="O916" s="452"/>
      <c r="P916" s="493">
        <v>6</v>
      </c>
      <c r="Q916" s="451">
        <f t="shared" si="271"/>
        <v>33207.42</v>
      </c>
      <c r="R916" s="452"/>
      <c r="S916" s="452"/>
      <c r="T916" s="452">
        <f t="shared" ref="T916:T917" si="275">F916+P916-R916</f>
        <v>6</v>
      </c>
      <c r="U916" s="452">
        <f t="shared" si="247"/>
        <v>33207.42</v>
      </c>
      <c r="V916" s="453"/>
      <c r="W916" s="453">
        <f>COMP!G332</f>
        <v>4663.4399999999996</v>
      </c>
      <c r="X916" s="42"/>
      <c r="Y916" s="336"/>
      <c r="Z916" s="39"/>
      <c r="AA916" s="39"/>
      <c r="AB916" s="39"/>
      <c r="AC916" s="39"/>
      <c r="AD916" s="39"/>
    </row>
    <row r="917" spans="1:32" s="38" customFormat="1" ht="60">
      <c r="A917" s="447" t="s">
        <v>4062</v>
      </c>
      <c r="B917" s="448" t="s">
        <v>4098</v>
      </c>
      <c r="C917" s="532" t="s">
        <v>4100</v>
      </c>
      <c r="D917" s="447" t="s">
        <v>1914</v>
      </c>
      <c r="E917" s="447" t="s">
        <v>17</v>
      </c>
      <c r="F917" s="450"/>
      <c r="G917" s="450">
        <f t="shared" si="269"/>
        <v>8297.3599999999988</v>
      </c>
      <c r="H917" s="450">
        <f t="shared" ref="H917" si="276">ROUND(G917*(1+$X$14),2)</f>
        <v>9847.31</v>
      </c>
      <c r="I917" s="451"/>
      <c r="J917" s="452"/>
      <c r="K917" s="452"/>
      <c r="L917" s="452"/>
      <c r="M917" s="452"/>
      <c r="N917" s="452"/>
      <c r="O917" s="452"/>
      <c r="P917" s="493">
        <v>1</v>
      </c>
      <c r="Q917" s="451">
        <f t="shared" si="271"/>
        <v>9847.31</v>
      </c>
      <c r="R917" s="452"/>
      <c r="S917" s="452"/>
      <c r="T917" s="452">
        <f t="shared" si="275"/>
        <v>1</v>
      </c>
      <c r="U917" s="452">
        <f t="shared" si="247"/>
        <v>9847.31</v>
      </c>
      <c r="V917" s="453"/>
      <c r="W917" s="453">
        <f>COMP!G320</f>
        <v>8297.3599999999988</v>
      </c>
      <c r="X917" s="42"/>
      <c r="Y917" s="336"/>
      <c r="Z917" s="39"/>
      <c r="AA917" s="39"/>
      <c r="AB917" s="39"/>
      <c r="AC917" s="39"/>
      <c r="AD917" s="39"/>
    </row>
    <row r="918" spans="1:32" s="38" customFormat="1" ht="72" customHeight="1">
      <c r="A918" s="447" t="s">
        <v>4063</v>
      </c>
      <c r="B918" s="448" t="s">
        <v>4103</v>
      </c>
      <c r="C918" s="535" t="s">
        <v>4102</v>
      </c>
      <c r="D918" s="447" t="s">
        <v>1914</v>
      </c>
      <c r="E918" s="447" t="s">
        <v>17</v>
      </c>
      <c r="F918" s="450"/>
      <c r="G918" s="450">
        <f t="shared" si="269"/>
        <v>21828.36</v>
      </c>
      <c r="H918" s="450">
        <f t="shared" ref="H918" si="277">ROUND(G918*(1+$X$14),2)</f>
        <v>25905.9</v>
      </c>
      <c r="I918" s="451"/>
      <c r="J918" s="452"/>
      <c r="K918" s="452"/>
      <c r="L918" s="452"/>
      <c r="M918" s="452"/>
      <c r="N918" s="452"/>
      <c r="O918" s="452"/>
      <c r="P918" s="493">
        <v>1</v>
      </c>
      <c r="Q918" s="451">
        <f t="shared" si="271"/>
        <v>25905.9</v>
      </c>
      <c r="R918" s="452"/>
      <c r="S918" s="452"/>
      <c r="T918" s="452">
        <f t="shared" ref="T918" si="278">F918+P918-R918</f>
        <v>1</v>
      </c>
      <c r="U918" s="452">
        <f t="shared" si="247"/>
        <v>25905.9</v>
      </c>
      <c r="V918" s="453"/>
      <c r="W918" s="453">
        <f>COMP!G327</f>
        <v>21828.36</v>
      </c>
      <c r="X918" s="42"/>
      <c r="Y918" s="336"/>
      <c r="Z918" s="39"/>
      <c r="AA918" s="39"/>
      <c r="AB918" s="39"/>
      <c r="AC918" s="39"/>
      <c r="AD918" s="39"/>
    </row>
    <row r="919" spans="1:32" s="38" customFormat="1" ht="30">
      <c r="A919" s="447" t="s">
        <v>4064</v>
      </c>
      <c r="B919" s="448" t="s">
        <v>4088</v>
      </c>
      <c r="C919" s="449" t="s">
        <v>4086</v>
      </c>
      <c r="D919" s="447" t="s">
        <v>1914</v>
      </c>
      <c r="E919" s="447" t="s">
        <v>17</v>
      </c>
      <c r="F919" s="450"/>
      <c r="G919" s="450">
        <f t="shared" si="269"/>
        <v>91692.800000000003</v>
      </c>
      <c r="H919" s="450">
        <f t="shared" ref="H919:H921" si="279">ROUND(G919*(1+$X$14),2)</f>
        <v>108821.02</v>
      </c>
      <c r="I919" s="451"/>
      <c r="J919" s="452"/>
      <c r="K919" s="452"/>
      <c r="L919" s="452"/>
      <c r="M919" s="452"/>
      <c r="N919" s="452"/>
      <c r="O919" s="452"/>
      <c r="P919" s="493">
        <v>1</v>
      </c>
      <c r="Q919" s="451">
        <f t="shared" si="271"/>
        <v>108821.02</v>
      </c>
      <c r="R919" s="452"/>
      <c r="S919" s="452"/>
      <c r="T919" s="452">
        <f t="shared" ref="T919" si="280">F919+P919-R919</f>
        <v>1</v>
      </c>
      <c r="U919" s="452">
        <f t="shared" si="247"/>
        <v>108821.02</v>
      </c>
      <c r="V919" s="453"/>
      <c r="W919" s="453">
        <f>COMP!G298</f>
        <v>91692.800000000003</v>
      </c>
      <c r="X919" s="42"/>
      <c r="Y919" s="336"/>
      <c r="Z919" s="39"/>
      <c r="AA919" s="39"/>
      <c r="AB919" s="39"/>
      <c r="AC919" s="39"/>
      <c r="AD919" s="39"/>
    </row>
    <row r="920" spans="1:32" s="38" customFormat="1" ht="30">
      <c r="A920" s="447" t="s">
        <v>4065</v>
      </c>
      <c r="B920" s="448" t="s">
        <v>3360</v>
      </c>
      <c r="C920" s="449" t="s">
        <v>4085</v>
      </c>
      <c r="D920" s="447" t="s">
        <v>1914</v>
      </c>
      <c r="E920" s="447" t="s">
        <v>17</v>
      </c>
      <c r="F920" s="450"/>
      <c r="G920" s="450">
        <f>'PLANILHA ORÇA - CORREGEDORIA'!M1169</f>
        <v>111832.54</v>
      </c>
      <c r="H920" s="450">
        <f>'PLANILHA ORÇA - CORREGEDORIA'!N1169</f>
        <v>132722.85999999999</v>
      </c>
      <c r="I920" s="451"/>
      <c r="J920" s="452"/>
      <c r="K920" s="452"/>
      <c r="L920" s="452"/>
      <c r="M920" s="452"/>
      <c r="N920" s="452"/>
      <c r="O920" s="452"/>
      <c r="P920" s="493">
        <v>1</v>
      </c>
      <c r="Q920" s="451">
        <f t="shared" si="271"/>
        <v>132722.85999999999</v>
      </c>
      <c r="R920" s="452"/>
      <c r="S920" s="452"/>
      <c r="T920" s="452">
        <f t="shared" ref="T920" si="281">F920+P920-R920</f>
        <v>1</v>
      </c>
      <c r="U920" s="452">
        <f t="shared" si="247"/>
        <v>132722.85999999999</v>
      </c>
      <c r="V920" s="453"/>
      <c r="W920" s="453"/>
      <c r="X920" s="42"/>
      <c r="Y920" s="336"/>
      <c r="Z920" s="39"/>
      <c r="AA920" s="39"/>
      <c r="AB920" s="39"/>
      <c r="AC920" s="39"/>
      <c r="AD920" s="39"/>
    </row>
    <row r="921" spans="1:32" s="38" customFormat="1" ht="30">
      <c r="A921" s="447" t="s">
        <v>4073</v>
      </c>
      <c r="B921" s="448" t="s">
        <v>3895</v>
      </c>
      <c r="C921" s="449" t="s">
        <v>4170</v>
      </c>
      <c r="D921" s="447" t="s">
        <v>1914</v>
      </c>
      <c r="E921" s="447" t="s">
        <v>17</v>
      </c>
      <c r="F921" s="450"/>
      <c r="G921" s="450">
        <f>'PLANILHA ORÇA - CORREGEDORIA'!G1182</f>
        <v>501.51988170809022</v>
      </c>
      <c r="H921" s="450">
        <f t="shared" si="279"/>
        <v>595.20000000000005</v>
      </c>
      <c r="I921" s="451"/>
      <c r="J921" s="452"/>
      <c r="K921" s="452"/>
      <c r="L921" s="452"/>
      <c r="M921" s="452"/>
      <c r="N921" s="452"/>
      <c r="O921" s="452"/>
      <c r="P921" s="493">
        <v>2</v>
      </c>
      <c r="Q921" s="451">
        <f t="shared" si="271"/>
        <v>1190.4000000000001</v>
      </c>
      <c r="R921" s="452"/>
      <c r="S921" s="452"/>
      <c r="T921" s="452">
        <f t="shared" ref="T921" si="282">F921+P921-R921</f>
        <v>2</v>
      </c>
      <c r="U921" s="452">
        <f t="shared" si="247"/>
        <v>1190.4000000000001</v>
      </c>
      <c r="V921" s="453"/>
      <c r="W921" s="453"/>
      <c r="X921" s="42"/>
      <c r="Y921" s="336"/>
      <c r="Z921" s="39"/>
      <c r="AA921" s="39"/>
      <c r="AB921" s="39"/>
      <c r="AC921" s="39"/>
      <c r="AD921" s="39"/>
    </row>
    <row r="922" spans="1:32" s="55" customFormat="1">
      <c r="A922" s="69" t="s">
        <v>1452</v>
      </c>
      <c r="B922" s="129"/>
      <c r="C922" s="229" t="s">
        <v>327</v>
      </c>
      <c r="D922" s="230"/>
      <c r="E922" s="230"/>
      <c r="F922" s="230"/>
      <c r="G922" s="22"/>
      <c r="H922" s="230"/>
      <c r="I922" s="445"/>
      <c r="J922" s="440"/>
      <c r="K922" s="440"/>
      <c r="L922" s="440"/>
      <c r="M922" s="440"/>
      <c r="N922" s="440"/>
      <c r="O922" s="440"/>
      <c r="P922" s="492"/>
      <c r="Q922" s="147"/>
      <c r="R922" s="440"/>
      <c r="S922" s="148"/>
      <c r="T922" s="148" t="str">
        <f t="shared" si="248"/>
        <v xml:space="preserve"> </v>
      </c>
      <c r="U922" s="148"/>
      <c r="V922" s="330"/>
      <c r="W922" s="330"/>
      <c r="X922" s="58" t="str">
        <f>IF(B922&lt;&gt;0,VLOOKUP(B922,#REF!,4,FALSE),"")</f>
        <v/>
      </c>
      <c r="Y922" s="334" t="s">
        <v>1891</v>
      </c>
      <c r="Z922" s="58"/>
      <c r="AA922" s="58">
        <f t="shared" si="254"/>
        <v>0</v>
      </c>
      <c r="AB922" s="58"/>
      <c r="AC922" s="58">
        <f t="shared" si="255"/>
        <v>0</v>
      </c>
      <c r="AD922" s="58" t="str">
        <f>IF(B922&lt;&gt;0,VLOOKUP(B922,#REF!,2,FALSE),"")</f>
        <v/>
      </c>
      <c r="AE922" s="55">
        <v>252</v>
      </c>
      <c r="AF922" s="55">
        <f t="shared" si="268"/>
        <v>252</v>
      </c>
    </row>
    <row r="923" spans="1:32" s="55" customFormat="1" ht="90">
      <c r="A923" s="21" t="s">
        <v>1453</v>
      </c>
      <c r="B923" s="20">
        <v>91790</v>
      </c>
      <c r="C923" s="19" t="s">
        <v>2961</v>
      </c>
      <c r="D923" s="21" t="s">
        <v>12</v>
      </c>
      <c r="E923" s="21" t="s">
        <v>52</v>
      </c>
      <c r="F923" s="22">
        <v>252</v>
      </c>
      <c r="G923" s="22">
        <f t="shared" si="256"/>
        <v>48.908999999999999</v>
      </c>
      <c r="H923" s="22">
        <f>ROUND(G923*(1+$X$13),2)</f>
        <v>62.02</v>
      </c>
      <c r="I923" s="147">
        <f>ROUND(H923*F923,2)</f>
        <v>15629.04</v>
      </c>
      <c r="J923" s="148"/>
      <c r="K923" s="148"/>
      <c r="L923" s="148"/>
      <c r="M923" s="148">
        <v>54.49</v>
      </c>
      <c r="N923" s="148">
        <v>69.099999999999994</v>
      </c>
      <c r="O923" s="148">
        <v>17413.2</v>
      </c>
      <c r="P923" s="494"/>
      <c r="Q923" s="147">
        <f t="shared" si="261"/>
        <v>0</v>
      </c>
      <c r="R923" s="148"/>
      <c r="S923" s="148">
        <f t="shared" si="262"/>
        <v>0</v>
      </c>
      <c r="T923" s="148">
        <f t="shared" si="248"/>
        <v>252</v>
      </c>
      <c r="U923" s="148">
        <f t="shared" si="247"/>
        <v>17413.2</v>
      </c>
      <c r="V923" s="379"/>
      <c r="W923" s="379"/>
      <c r="X923" s="58" t="e">
        <f>IF(B923&lt;&gt;0,VLOOKUP(B923,#REF!,4,FALSE),"")</f>
        <v>#REF!</v>
      </c>
      <c r="Y923" s="334" t="s">
        <v>3273</v>
      </c>
      <c r="Z923" s="58">
        <f t="shared" si="257"/>
        <v>-8.6310000000000002</v>
      </c>
      <c r="AA923" s="58">
        <f t="shared" si="254"/>
        <v>12325.067999999999</v>
      </c>
      <c r="AB923" s="58"/>
      <c r="AC923" s="58">
        <f t="shared" si="255"/>
        <v>15629.04</v>
      </c>
      <c r="AD923" s="58" t="e">
        <f>IF(B923&lt;&gt;0,VLOOKUP(B923,#REF!,2,FALSE),"")</f>
        <v>#REF!</v>
      </c>
      <c r="AE923" s="55">
        <v>152</v>
      </c>
      <c r="AF923" s="55">
        <f t="shared" si="268"/>
        <v>-100</v>
      </c>
    </row>
    <row r="924" spans="1:32" s="55" customFormat="1" ht="88.5" customHeight="1">
      <c r="A924" s="21" t="s">
        <v>1454</v>
      </c>
      <c r="B924" s="20">
        <v>91787</v>
      </c>
      <c r="C924" s="19" t="s">
        <v>1739</v>
      </c>
      <c r="D924" s="21" t="s">
        <v>12</v>
      </c>
      <c r="E924" s="21" t="s">
        <v>52</v>
      </c>
      <c r="F924" s="22">
        <v>152</v>
      </c>
      <c r="G924" s="22">
        <f t="shared" si="256"/>
        <v>25.771999999999998</v>
      </c>
      <c r="H924" s="22">
        <f>ROUND(G924*(1+$X$13),2)</f>
        <v>32.68</v>
      </c>
      <c r="I924" s="147">
        <f>ROUND(H924*F924,2)</f>
        <v>4967.3599999999997</v>
      </c>
      <c r="J924" s="148"/>
      <c r="K924" s="148"/>
      <c r="L924" s="148"/>
      <c r="M924" s="148">
        <v>28.71</v>
      </c>
      <c r="N924" s="148">
        <v>36.409999999999997</v>
      </c>
      <c r="O924" s="148">
        <v>5534.32</v>
      </c>
      <c r="P924" s="494"/>
      <c r="Q924" s="147">
        <f t="shared" si="261"/>
        <v>0</v>
      </c>
      <c r="R924" s="148"/>
      <c r="S924" s="148">
        <f t="shared" si="262"/>
        <v>0</v>
      </c>
      <c r="T924" s="148">
        <f t="shared" si="248"/>
        <v>152</v>
      </c>
      <c r="U924" s="148">
        <f t="shared" si="247"/>
        <v>5534.32</v>
      </c>
      <c r="V924" s="379"/>
      <c r="W924" s="379"/>
      <c r="X924" s="58" t="e">
        <f>IF(B924&lt;&gt;0,VLOOKUP(B924,#REF!,4,FALSE),"")</f>
        <v>#REF!</v>
      </c>
      <c r="Y924" s="334" t="s">
        <v>3272</v>
      </c>
      <c r="Z924" s="58">
        <f t="shared" si="257"/>
        <v>-4.5480000000000018</v>
      </c>
      <c r="AA924" s="58">
        <f t="shared" si="254"/>
        <v>3917.3439999999996</v>
      </c>
      <c r="AB924" s="58"/>
      <c r="AC924" s="58">
        <f t="shared" si="255"/>
        <v>4967.3599999999997</v>
      </c>
      <c r="AD924" s="58" t="e">
        <f>IF(B924&lt;&gt;0,VLOOKUP(B924,#REF!,2,FALSE),"")</f>
        <v>#REF!</v>
      </c>
      <c r="AE924" s="55">
        <v>202</v>
      </c>
      <c r="AF924" s="55">
        <f t="shared" si="268"/>
        <v>50</v>
      </c>
    </row>
    <row r="925" spans="1:32" s="55" customFormat="1" ht="90">
      <c r="A925" s="21" t="s">
        <v>1455</v>
      </c>
      <c r="B925" s="20">
        <v>91786</v>
      </c>
      <c r="C925" s="19" t="s">
        <v>1740</v>
      </c>
      <c r="D925" s="21" t="s">
        <v>12</v>
      </c>
      <c r="E925" s="21" t="s">
        <v>52</v>
      </c>
      <c r="F925" s="22">
        <v>202</v>
      </c>
      <c r="G925" s="22">
        <f t="shared" si="256"/>
        <v>21.173500000000001</v>
      </c>
      <c r="H925" s="22">
        <f>ROUND(G925*(1+$X$13),2)</f>
        <v>26.85</v>
      </c>
      <c r="I925" s="147">
        <f>ROUND(H925*F925,2)</f>
        <v>5423.7</v>
      </c>
      <c r="J925" s="148"/>
      <c r="K925" s="148"/>
      <c r="L925" s="148"/>
      <c r="M925" s="148">
        <v>23.59</v>
      </c>
      <c r="N925" s="148">
        <v>29.91</v>
      </c>
      <c r="O925" s="148">
        <v>6041.82</v>
      </c>
      <c r="P925" s="494"/>
      <c r="Q925" s="147">
        <f t="shared" si="261"/>
        <v>0</v>
      </c>
      <c r="R925" s="148"/>
      <c r="S925" s="148">
        <f t="shared" si="262"/>
        <v>0</v>
      </c>
      <c r="T925" s="148">
        <f t="shared" si="248"/>
        <v>202</v>
      </c>
      <c r="U925" s="148">
        <f t="shared" si="247"/>
        <v>6041.82</v>
      </c>
      <c r="V925" s="379"/>
      <c r="W925" s="379"/>
      <c r="X925" s="58" t="e">
        <f>IF(B925&lt;&gt;0,VLOOKUP(B925,#REF!,4,FALSE),"")</f>
        <v>#REF!</v>
      </c>
      <c r="Y925" s="334" t="s">
        <v>1888</v>
      </c>
      <c r="Z925" s="58">
        <f t="shared" si="257"/>
        <v>-3.7364999999999995</v>
      </c>
      <c r="AA925" s="58">
        <f t="shared" si="254"/>
        <v>4277.0470000000005</v>
      </c>
      <c r="AB925" s="58"/>
      <c r="AC925" s="58">
        <f t="shared" si="255"/>
        <v>5423.7000000000007</v>
      </c>
      <c r="AD925" s="58" t="e">
        <f>IF(B925&lt;&gt;0,VLOOKUP(B925,#REF!,2,FALSE),"")</f>
        <v>#REF!</v>
      </c>
      <c r="AE925" s="55">
        <v>4</v>
      </c>
      <c r="AF925" s="55">
        <f t="shared" si="268"/>
        <v>-198</v>
      </c>
    </row>
    <row r="926" spans="1:32" s="55" customFormat="1" ht="90">
      <c r="A926" s="21" t="s">
        <v>2962</v>
      </c>
      <c r="B926" s="20">
        <v>91789</v>
      </c>
      <c r="C926" s="19" t="s">
        <v>2963</v>
      </c>
      <c r="D926" s="21" t="s">
        <v>12</v>
      </c>
      <c r="E926" s="21" t="s">
        <v>52</v>
      </c>
      <c r="F926" s="22">
        <v>4</v>
      </c>
      <c r="G926" s="22">
        <f t="shared" si="256"/>
        <v>32.733499999999999</v>
      </c>
      <c r="H926" s="22">
        <f>ROUND(G926*(1+$X$13),2)</f>
        <v>41.51</v>
      </c>
      <c r="I926" s="147">
        <f>ROUND(H926*F926,2)</f>
        <v>166.04</v>
      </c>
      <c r="J926" s="148"/>
      <c r="K926" s="148"/>
      <c r="L926" s="148"/>
      <c r="M926" s="148">
        <v>36.47</v>
      </c>
      <c r="N926" s="148">
        <v>46.25</v>
      </c>
      <c r="O926" s="148">
        <v>185</v>
      </c>
      <c r="P926" s="494"/>
      <c r="Q926" s="147">
        <f t="shared" si="261"/>
        <v>0</v>
      </c>
      <c r="R926" s="148"/>
      <c r="S926" s="148">
        <f t="shared" si="262"/>
        <v>0</v>
      </c>
      <c r="T926" s="148">
        <f t="shared" si="248"/>
        <v>4</v>
      </c>
      <c r="U926" s="148">
        <f t="shared" si="247"/>
        <v>185</v>
      </c>
      <c r="V926" s="379"/>
      <c r="W926" s="379"/>
      <c r="X926" s="58" t="e">
        <f>IF(B926&lt;&gt;0,VLOOKUP(B926,#REF!,4,FALSE),"")</f>
        <v>#REF!</v>
      </c>
      <c r="Y926" s="334" t="s">
        <v>3028</v>
      </c>
      <c r="Z926" s="58">
        <f t="shared" si="257"/>
        <v>-5.7764999999999986</v>
      </c>
      <c r="AA926" s="58">
        <f t="shared" si="254"/>
        <v>130.934</v>
      </c>
      <c r="AB926" s="58"/>
      <c r="AC926" s="58">
        <f t="shared" si="255"/>
        <v>166.04</v>
      </c>
      <c r="AD926" s="58" t="e">
        <f>IF(B926&lt;&gt;0,VLOOKUP(B926,#REF!,2,FALSE),"")</f>
        <v>#REF!</v>
      </c>
      <c r="AF926" s="55">
        <f t="shared" si="268"/>
        <v>-4</v>
      </c>
    </row>
    <row r="927" spans="1:32" s="55" customFormat="1">
      <c r="A927" s="69" t="s">
        <v>1456</v>
      </c>
      <c r="B927" s="129"/>
      <c r="C927" s="229" t="s">
        <v>328</v>
      </c>
      <c r="D927" s="230"/>
      <c r="E927" s="230"/>
      <c r="F927" s="230"/>
      <c r="G927" s="22"/>
      <c r="H927" s="230"/>
      <c r="I927" s="445"/>
      <c r="J927" s="440"/>
      <c r="K927" s="440"/>
      <c r="L927" s="440"/>
      <c r="M927" s="440">
        <v>0</v>
      </c>
      <c r="N927" s="440">
        <v>0</v>
      </c>
      <c r="O927" s="440">
        <v>0</v>
      </c>
      <c r="P927" s="492"/>
      <c r="Q927" s="147"/>
      <c r="R927" s="440"/>
      <c r="S927" s="148"/>
      <c r="T927" s="148" t="str">
        <f t="shared" si="248"/>
        <v xml:space="preserve"> </v>
      </c>
      <c r="U927" s="148"/>
      <c r="V927" s="330"/>
      <c r="W927" s="330"/>
      <c r="X927" s="58" t="str">
        <f>IF(B927&lt;&gt;0,VLOOKUP(B927,#REF!,4,FALSE),"")</f>
        <v/>
      </c>
      <c r="Y927" s="334" t="s">
        <v>1891</v>
      </c>
      <c r="Z927" s="58"/>
      <c r="AA927" s="58">
        <f t="shared" si="254"/>
        <v>0</v>
      </c>
      <c r="AB927" s="58"/>
      <c r="AC927" s="58">
        <f t="shared" si="255"/>
        <v>0</v>
      </c>
      <c r="AD927" s="58" t="str">
        <f>IF(B927&lt;&gt;0,VLOOKUP(B927,#REF!,2,FALSE),"")</f>
        <v/>
      </c>
      <c r="AE927" s="55">
        <v>50</v>
      </c>
      <c r="AF927" s="55">
        <f t="shared" si="268"/>
        <v>50</v>
      </c>
    </row>
    <row r="928" spans="1:32" s="38" customFormat="1" ht="45">
      <c r="A928" s="447" t="s">
        <v>1457</v>
      </c>
      <c r="B928" s="448" t="s">
        <v>2517</v>
      </c>
      <c r="C928" s="449" t="s">
        <v>329</v>
      </c>
      <c r="D928" s="447" t="s">
        <v>70</v>
      </c>
      <c r="E928" s="447" t="s">
        <v>52</v>
      </c>
      <c r="F928" s="450">
        <v>50</v>
      </c>
      <c r="G928" s="450">
        <f t="shared" si="256"/>
        <v>73.907499999999999</v>
      </c>
      <c r="H928" s="450">
        <f t="shared" ref="H928:H935" si="283">ROUND(G928*(1+$X$13),2)</f>
        <v>93.72</v>
      </c>
      <c r="I928" s="451">
        <f t="shared" ref="I928:I935" si="284">ROUND(H928*F928,2)</f>
        <v>4686</v>
      </c>
      <c r="J928" s="452"/>
      <c r="K928" s="452"/>
      <c r="L928" s="452"/>
      <c r="M928" s="452">
        <v>82.33</v>
      </c>
      <c r="N928" s="452">
        <v>104.4</v>
      </c>
      <c r="O928" s="452">
        <v>5220</v>
      </c>
      <c r="P928" s="493"/>
      <c r="Q928" s="451">
        <f t="shared" si="261"/>
        <v>0</v>
      </c>
      <c r="R928" s="452">
        <f>F928-23.8-12</f>
        <v>14.2</v>
      </c>
      <c r="S928" s="452">
        <f t="shared" si="262"/>
        <v>1482.48</v>
      </c>
      <c r="T928" s="452">
        <f t="shared" si="248"/>
        <v>35.799999999999997</v>
      </c>
      <c r="U928" s="452">
        <f t="shared" si="247"/>
        <v>3737.52</v>
      </c>
      <c r="V928" s="453"/>
      <c r="W928" s="453"/>
      <c r="X928" s="42">
        <f>'COMPOSIÇÃO DE CUSTOS'!G1680</f>
        <v>73.91</v>
      </c>
      <c r="Y928" s="336">
        <v>86.95</v>
      </c>
      <c r="Z928" s="39">
        <f t="shared" si="257"/>
        <v>-13.042500000000004</v>
      </c>
      <c r="AA928" s="39">
        <f t="shared" si="254"/>
        <v>3695.375</v>
      </c>
      <c r="AB928" s="39"/>
      <c r="AC928" s="39">
        <f t="shared" si="255"/>
        <v>4686</v>
      </c>
      <c r="AD928" s="39" t="e">
        <f>IF(B928&lt;&gt;0,VLOOKUP(B928,#REF!,2,FALSE),"")</f>
        <v>#REF!</v>
      </c>
      <c r="AE928" s="38">
        <v>142</v>
      </c>
      <c r="AF928" s="38">
        <f t="shared" si="268"/>
        <v>92</v>
      </c>
    </row>
    <row r="929" spans="1:32" s="38" customFormat="1" ht="69.75" customHeight="1">
      <c r="A929" s="447" t="s">
        <v>1458</v>
      </c>
      <c r="B929" s="448">
        <v>97329</v>
      </c>
      <c r="C929" s="449" t="s">
        <v>330</v>
      </c>
      <c r="D929" s="447" t="s">
        <v>12</v>
      </c>
      <c r="E929" s="447" t="s">
        <v>52</v>
      </c>
      <c r="F929" s="450">
        <v>142</v>
      </c>
      <c r="G929" s="450">
        <f t="shared" si="256"/>
        <v>53.260999999999996</v>
      </c>
      <c r="H929" s="450">
        <f t="shared" si="283"/>
        <v>67.540000000000006</v>
      </c>
      <c r="I929" s="451">
        <f t="shared" si="284"/>
        <v>9590.68</v>
      </c>
      <c r="J929" s="452"/>
      <c r="K929" s="452"/>
      <c r="L929" s="452"/>
      <c r="M929" s="452">
        <v>59.33</v>
      </c>
      <c r="N929" s="452">
        <v>75.239999999999995</v>
      </c>
      <c r="O929" s="452">
        <v>10684.08</v>
      </c>
      <c r="P929" s="493"/>
      <c r="Q929" s="451">
        <f t="shared" si="261"/>
        <v>0</v>
      </c>
      <c r="R929" s="452">
        <f>F929-58.6</f>
        <v>83.4</v>
      </c>
      <c r="S929" s="452">
        <f t="shared" si="262"/>
        <v>6275.02</v>
      </c>
      <c r="T929" s="452">
        <f t="shared" si="248"/>
        <v>58.599999999999994</v>
      </c>
      <c r="U929" s="452">
        <f t="shared" si="247"/>
        <v>4409.0599999999995</v>
      </c>
      <c r="V929" s="453"/>
      <c r="W929" s="453"/>
      <c r="X929" s="42" t="e">
        <f>IF(B929&lt;&gt;0,VLOOKUP(B929,#REF!,4,FALSE),"")</f>
        <v>#REF!</v>
      </c>
      <c r="Y929" s="336" t="s">
        <v>3277</v>
      </c>
      <c r="Z929" s="39">
        <f t="shared" si="257"/>
        <v>-9.3990000000000009</v>
      </c>
      <c r="AA929" s="39">
        <f t="shared" si="254"/>
        <v>7563.061999999999</v>
      </c>
      <c r="AB929" s="39"/>
      <c r="AC929" s="39">
        <f t="shared" si="255"/>
        <v>9590.68</v>
      </c>
      <c r="AD929" s="39" t="e">
        <f>IF(B929&lt;&gt;0,VLOOKUP(B929,#REF!,2,FALSE),"")</f>
        <v>#REF!</v>
      </c>
      <c r="AE929" s="38">
        <v>50</v>
      </c>
      <c r="AF929" s="38">
        <f t="shared" si="268"/>
        <v>-92</v>
      </c>
    </row>
    <row r="930" spans="1:32" s="55" customFormat="1" ht="45">
      <c r="A930" s="21" t="s">
        <v>1459</v>
      </c>
      <c r="B930" s="20">
        <v>97327</v>
      </c>
      <c r="C930" s="19" t="s">
        <v>331</v>
      </c>
      <c r="D930" s="21" t="s">
        <v>12</v>
      </c>
      <c r="E930" s="21" t="s">
        <v>52</v>
      </c>
      <c r="F930" s="22">
        <v>50</v>
      </c>
      <c r="G930" s="22">
        <f t="shared" si="256"/>
        <v>24.055</v>
      </c>
      <c r="H930" s="22">
        <f t="shared" si="283"/>
        <v>30.5</v>
      </c>
      <c r="I930" s="147">
        <f t="shared" si="284"/>
        <v>1525</v>
      </c>
      <c r="J930" s="148"/>
      <c r="K930" s="148"/>
      <c r="L930" s="148"/>
      <c r="M930" s="148">
        <v>26.8</v>
      </c>
      <c r="N930" s="148">
        <v>33.99</v>
      </c>
      <c r="O930" s="148">
        <v>1699.5</v>
      </c>
      <c r="P930" s="494"/>
      <c r="Q930" s="147">
        <f t="shared" si="261"/>
        <v>0</v>
      </c>
      <c r="R930" s="148"/>
      <c r="S930" s="148">
        <f t="shared" si="262"/>
        <v>0</v>
      </c>
      <c r="T930" s="148">
        <f t="shared" si="248"/>
        <v>50</v>
      </c>
      <c r="U930" s="148">
        <f t="shared" si="247"/>
        <v>1699.5</v>
      </c>
      <c r="V930" s="379"/>
      <c r="W930" s="379"/>
      <c r="X930" s="57" t="e">
        <f>IF(B930&lt;&gt;0,VLOOKUP(B930,#REF!,4,FALSE),"")</f>
        <v>#REF!</v>
      </c>
      <c r="Y930" s="334" t="s">
        <v>3029</v>
      </c>
      <c r="Z930" s="58">
        <f t="shared" si="257"/>
        <v>-4.245000000000001</v>
      </c>
      <c r="AA930" s="58">
        <f t="shared" si="254"/>
        <v>1202.75</v>
      </c>
      <c r="AB930" s="58"/>
      <c r="AC930" s="58">
        <f t="shared" si="255"/>
        <v>1525</v>
      </c>
      <c r="AD930" s="58" t="e">
        <f>IF(B930&lt;&gt;0,VLOOKUP(B930,#REF!,2,FALSE),"")</f>
        <v>#REF!</v>
      </c>
      <c r="AE930" s="55">
        <v>14</v>
      </c>
      <c r="AF930" s="55">
        <f t="shared" si="268"/>
        <v>-36</v>
      </c>
    </row>
    <row r="931" spans="1:32" s="38" customFormat="1" ht="69.75" customHeight="1">
      <c r="A931" s="447" t="s">
        <v>1460</v>
      </c>
      <c r="B931" s="448" t="s">
        <v>2426</v>
      </c>
      <c r="C931" s="449" t="s">
        <v>332</v>
      </c>
      <c r="D931" s="447" t="s">
        <v>70</v>
      </c>
      <c r="E931" s="447" t="s">
        <v>52</v>
      </c>
      <c r="F931" s="450">
        <v>114</v>
      </c>
      <c r="G931" s="450">
        <f t="shared" si="256"/>
        <v>76.015500000000003</v>
      </c>
      <c r="H931" s="450">
        <f t="shared" si="283"/>
        <v>96.4</v>
      </c>
      <c r="I931" s="451">
        <f t="shared" si="284"/>
        <v>10989.6</v>
      </c>
      <c r="J931" s="452"/>
      <c r="K931" s="452"/>
      <c r="L931" s="452"/>
      <c r="M931" s="452">
        <v>84.68</v>
      </c>
      <c r="N931" s="452">
        <v>107.38</v>
      </c>
      <c r="O931" s="452">
        <v>12241.32</v>
      </c>
      <c r="P931" s="493"/>
      <c r="Q931" s="451">
        <f t="shared" si="261"/>
        <v>0</v>
      </c>
      <c r="R931" s="452">
        <f>F931-13.7</f>
        <v>100.3</v>
      </c>
      <c r="S931" s="452">
        <f t="shared" si="262"/>
        <v>10770.21</v>
      </c>
      <c r="T931" s="452">
        <f t="shared" si="248"/>
        <v>13.700000000000003</v>
      </c>
      <c r="U931" s="452">
        <f t="shared" si="247"/>
        <v>1471.1100000000006</v>
      </c>
      <c r="V931" s="453"/>
      <c r="W931" s="453"/>
      <c r="X931" s="42">
        <f>'COMPOSIÇÃO DE CUSTOS'!G1692</f>
        <v>76.02</v>
      </c>
      <c r="Y931" s="336">
        <v>89.43</v>
      </c>
      <c r="Z931" s="39">
        <f t="shared" si="257"/>
        <v>-13.414500000000004</v>
      </c>
      <c r="AA931" s="39">
        <f t="shared" si="254"/>
        <v>8665.7669999999998</v>
      </c>
      <c r="AB931" s="39"/>
      <c r="AC931" s="39">
        <f t="shared" si="255"/>
        <v>10989.6</v>
      </c>
      <c r="AD931" s="39" t="e">
        <f>IF(B931&lt;&gt;0,VLOOKUP(B931,#REF!,2,FALSE),"")</f>
        <v>#REF!</v>
      </c>
      <c r="AE931" s="38">
        <v>270</v>
      </c>
      <c r="AF931" s="38">
        <f t="shared" si="268"/>
        <v>156</v>
      </c>
    </row>
    <row r="932" spans="1:32" s="38" customFormat="1" ht="75" customHeight="1">
      <c r="A932" s="447" t="s">
        <v>1461</v>
      </c>
      <c r="B932" s="448">
        <v>97330</v>
      </c>
      <c r="C932" s="449" t="s">
        <v>333</v>
      </c>
      <c r="D932" s="447" t="s">
        <v>12</v>
      </c>
      <c r="E932" s="447" t="s">
        <v>52</v>
      </c>
      <c r="F932" s="450">
        <v>270</v>
      </c>
      <c r="G932" s="450">
        <f t="shared" si="256"/>
        <v>65.084499999999991</v>
      </c>
      <c r="H932" s="450">
        <f t="shared" si="283"/>
        <v>82.53</v>
      </c>
      <c r="I932" s="451">
        <f t="shared" si="284"/>
        <v>22283.1</v>
      </c>
      <c r="J932" s="452"/>
      <c r="K932" s="452"/>
      <c r="L932" s="452"/>
      <c r="M932" s="452">
        <v>72.5</v>
      </c>
      <c r="N932" s="452">
        <v>91.94</v>
      </c>
      <c r="O932" s="452">
        <v>24823.8</v>
      </c>
      <c r="P932" s="493"/>
      <c r="Q932" s="451">
        <f t="shared" si="261"/>
        <v>0</v>
      </c>
      <c r="R932" s="452">
        <f>F932-112.3</f>
        <v>157.69999999999999</v>
      </c>
      <c r="S932" s="452">
        <f t="shared" si="262"/>
        <v>14498.94</v>
      </c>
      <c r="T932" s="452">
        <f t="shared" si="248"/>
        <v>112.30000000000001</v>
      </c>
      <c r="U932" s="452">
        <f t="shared" si="247"/>
        <v>10324.859999999999</v>
      </c>
      <c r="V932" s="453"/>
      <c r="W932" s="453"/>
      <c r="X932" s="39" t="e">
        <f>IF(B932&lt;&gt;0,VLOOKUP(B932,#REF!,4,FALSE),"")</f>
        <v>#REF!</v>
      </c>
      <c r="Y932" s="336" t="s">
        <v>3278</v>
      </c>
      <c r="Z932" s="39">
        <f t="shared" si="257"/>
        <v>-11.485500000000002</v>
      </c>
      <c r="AA932" s="39">
        <f t="shared" si="254"/>
        <v>17572.814999999999</v>
      </c>
      <c r="AB932" s="39"/>
      <c r="AC932" s="39">
        <f t="shared" si="255"/>
        <v>22283.1</v>
      </c>
      <c r="AD932" s="39" t="e">
        <f>IF(B932&lt;&gt;0,VLOOKUP(B932,#REF!,2,FALSE),"")</f>
        <v>#REF!</v>
      </c>
      <c r="AE932" s="38">
        <v>283</v>
      </c>
      <c r="AF932" s="38">
        <f t="shared" si="268"/>
        <v>13</v>
      </c>
    </row>
    <row r="933" spans="1:32" s="38" customFormat="1" ht="67.5" customHeight="1">
      <c r="A933" s="447" t="s">
        <v>1462</v>
      </c>
      <c r="B933" s="448">
        <v>97328</v>
      </c>
      <c r="C933" s="449" t="s">
        <v>334</v>
      </c>
      <c r="D933" s="447" t="s">
        <v>12</v>
      </c>
      <c r="E933" s="447" t="s">
        <v>52</v>
      </c>
      <c r="F933" s="450">
        <v>283</v>
      </c>
      <c r="G933" s="450">
        <f t="shared" si="256"/>
        <v>42.601999999999997</v>
      </c>
      <c r="H933" s="450">
        <f t="shared" si="283"/>
        <v>54.02</v>
      </c>
      <c r="I933" s="451">
        <f t="shared" si="284"/>
        <v>15287.66</v>
      </c>
      <c r="J933" s="452"/>
      <c r="K933" s="452"/>
      <c r="L933" s="452"/>
      <c r="M933" s="452">
        <v>47.46</v>
      </c>
      <c r="N933" s="452">
        <v>60.18</v>
      </c>
      <c r="O933" s="452">
        <v>17030.939999999999</v>
      </c>
      <c r="P933" s="493"/>
      <c r="Q933" s="451">
        <f t="shared" si="261"/>
        <v>0</v>
      </c>
      <c r="R933" s="452">
        <f>F933-137</f>
        <v>146</v>
      </c>
      <c r="S933" s="452">
        <f t="shared" si="262"/>
        <v>8786.2800000000007</v>
      </c>
      <c r="T933" s="452">
        <f t="shared" si="248"/>
        <v>137</v>
      </c>
      <c r="U933" s="452">
        <f t="shared" si="247"/>
        <v>8244.659999999998</v>
      </c>
      <c r="V933" s="453"/>
      <c r="W933" s="453"/>
      <c r="X933" s="42" t="e">
        <f>IF(B933&lt;&gt;0,VLOOKUP(B933,#REF!,4,FALSE),"")</f>
        <v>#REF!</v>
      </c>
      <c r="Y933" s="336" t="s">
        <v>3037</v>
      </c>
      <c r="Z933" s="39">
        <f t="shared" si="257"/>
        <v>-7.5180000000000007</v>
      </c>
      <c r="AA933" s="39">
        <f t="shared" si="254"/>
        <v>12056.366</v>
      </c>
      <c r="AB933" s="39"/>
      <c r="AC933" s="39">
        <f t="shared" si="255"/>
        <v>15287.660000000002</v>
      </c>
      <c r="AD933" s="39" t="e">
        <f>IF(B933&lt;&gt;0,VLOOKUP(B933,#REF!,2,FALSE),"")</f>
        <v>#REF!</v>
      </c>
      <c r="AE933" s="38">
        <v>8</v>
      </c>
      <c r="AF933" s="38">
        <f t="shared" si="268"/>
        <v>-275</v>
      </c>
    </row>
    <row r="934" spans="1:32" s="38" customFormat="1" ht="45">
      <c r="A934" s="447" t="s">
        <v>1463</v>
      </c>
      <c r="B934" s="448" t="s">
        <v>1940</v>
      </c>
      <c r="C934" s="449" t="s">
        <v>335</v>
      </c>
      <c r="D934" s="447" t="s">
        <v>70</v>
      </c>
      <c r="E934" s="447" t="s">
        <v>52</v>
      </c>
      <c r="F934" s="450">
        <v>118</v>
      </c>
      <c r="G934" s="450">
        <f t="shared" si="256"/>
        <v>71.536000000000001</v>
      </c>
      <c r="H934" s="450">
        <f t="shared" si="283"/>
        <v>90.71</v>
      </c>
      <c r="I934" s="451">
        <f t="shared" si="284"/>
        <v>10703.78</v>
      </c>
      <c r="J934" s="452"/>
      <c r="K934" s="452"/>
      <c r="L934" s="452"/>
      <c r="M934" s="452">
        <v>79.69</v>
      </c>
      <c r="N934" s="452">
        <v>101.05</v>
      </c>
      <c r="O934" s="452">
        <v>11923.9</v>
      </c>
      <c r="P934" s="493"/>
      <c r="Q934" s="451">
        <f t="shared" si="261"/>
        <v>0</v>
      </c>
      <c r="R934" s="452">
        <f>F934-50-12</f>
        <v>56</v>
      </c>
      <c r="S934" s="452">
        <f t="shared" si="262"/>
        <v>5658.8</v>
      </c>
      <c r="T934" s="452">
        <f t="shared" si="248"/>
        <v>62</v>
      </c>
      <c r="U934" s="452">
        <f t="shared" si="247"/>
        <v>6265.0999999999995</v>
      </c>
      <c r="V934" s="453"/>
      <c r="W934" s="453"/>
      <c r="X934" s="42">
        <f>'COMPOSIÇÃO DE CUSTOS'!G1915</f>
        <v>71.540000000000006</v>
      </c>
      <c r="Y934" s="336">
        <v>84.16</v>
      </c>
      <c r="Z934" s="39">
        <f t="shared" si="257"/>
        <v>-12.623999999999995</v>
      </c>
      <c r="AA934" s="39">
        <f t="shared" si="254"/>
        <v>8441.2479999999996</v>
      </c>
      <c r="AB934" s="39"/>
      <c r="AC934" s="39">
        <f t="shared" si="255"/>
        <v>10703.779999999999</v>
      </c>
      <c r="AD934" s="39" t="e">
        <f>IF(B934&lt;&gt;0,VLOOKUP(B934,#REF!,2,FALSE),"")</f>
        <v>#REF!</v>
      </c>
      <c r="AE934" s="38">
        <v>9</v>
      </c>
      <c r="AF934" s="38">
        <f t="shared" si="268"/>
        <v>-109</v>
      </c>
    </row>
    <row r="935" spans="1:32" s="38" customFormat="1" ht="45">
      <c r="A935" s="447" t="s">
        <v>1464</v>
      </c>
      <c r="B935" s="448" t="s">
        <v>2425</v>
      </c>
      <c r="C935" s="449" t="s">
        <v>336</v>
      </c>
      <c r="D935" s="447" t="s">
        <v>70</v>
      </c>
      <c r="E935" s="447" t="s">
        <v>52</v>
      </c>
      <c r="F935" s="450">
        <v>89</v>
      </c>
      <c r="G935" s="450">
        <f t="shared" si="256"/>
        <v>65.526499999999999</v>
      </c>
      <c r="H935" s="450">
        <f t="shared" si="283"/>
        <v>83.09</v>
      </c>
      <c r="I935" s="451">
        <f t="shared" si="284"/>
        <v>7395.01</v>
      </c>
      <c r="J935" s="452"/>
      <c r="K935" s="452"/>
      <c r="L935" s="452"/>
      <c r="M935" s="452">
        <v>73</v>
      </c>
      <c r="N935" s="452">
        <v>92.57</v>
      </c>
      <c r="O935" s="452">
        <v>8238.73</v>
      </c>
      <c r="P935" s="493"/>
      <c r="Q935" s="451">
        <f t="shared" si="261"/>
        <v>0</v>
      </c>
      <c r="R935" s="452">
        <v>59</v>
      </c>
      <c r="S935" s="452">
        <f t="shared" si="262"/>
        <v>5461.63</v>
      </c>
      <c r="T935" s="452">
        <f t="shared" si="248"/>
        <v>30</v>
      </c>
      <c r="U935" s="452">
        <f t="shared" si="247"/>
        <v>2777.0999999999995</v>
      </c>
      <c r="V935" s="453"/>
      <c r="W935" s="453"/>
      <c r="X935" s="42">
        <f>'COMPOSIÇÃO DE CUSTOS'!G1704</f>
        <v>65.53</v>
      </c>
      <c r="Y935" s="336">
        <v>77.09</v>
      </c>
      <c r="Z935" s="39">
        <f t="shared" si="257"/>
        <v>-11.563500000000005</v>
      </c>
      <c r="AA935" s="39">
        <f t="shared" si="254"/>
        <v>5831.8585000000003</v>
      </c>
      <c r="AB935" s="39"/>
      <c r="AC935" s="39">
        <f t="shared" si="255"/>
        <v>7395.01</v>
      </c>
      <c r="AD935" s="39" t="e">
        <f>IF(B935&lt;&gt;0,VLOOKUP(B935,#REF!,2,FALSE),"")</f>
        <v>#REF!</v>
      </c>
      <c r="AF935" s="38">
        <f t="shared" si="268"/>
        <v>-89</v>
      </c>
    </row>
    <row r="936" spans="1:32" s="38" customFormat="1" ht="45">
      <c r="A936" s="447" t="s">
        <v>4156</v>
      </c>
      <c r="B936" s="448" t="s">
        <v>4159</v>
      </c>
      <c r="C936" s="449" t="s">
        <v>4160</v>
      </c>
      <c r="D936" s="447" t="s">
        <v>70</v>
      </c>
      <c r="E936" s="447" t="s">
        <v>52</v>
      </c>
      <c r="F936" s="450"/>
      <c r="G936" s="450">
        <f>W936</f>
        <v>167.74</v>
      </c>
      <c r="H936" s="450">
        <f>ROUND(G936*(1+$X$13),2)</f>
        <v>212.71</v>
      </c>
      <c r="I936" s="451"/>
      <c r="J936" s="452"/>
      <c r="K936" s="452"/>
      <c r="L936" s="452"/>
      <c r="M936" s="452"/>
      <c r="N936" s="452"/>
      <c r="O936" s="452"/>
      <c r="P936" s="493">
        <v>21.9</v>
      </c>
      <c r="Q936" s="451">
        <f t="shared" ref="Q936" si="285">ROUND(P936*H936,2)</f>
        <v>4658.3500000000004</v>
      </c>
      <c r="R936" s="452"/>
      <c r="S936" s="452"/>
      <c r="T936" s="452">
        <f>F936+P936-R936</f>
        <v>21.9</v>
      </c>
      <c r="U936" s="452">
        <f t="shared" ref="U936:U937" si="286">L936+Q936-S936+O936</f>
        <v>4658.3500000000004</v>
      </c>
      <c r="V936" s="453"/>
      <c r="W936" s="453">
        <f>COMP!G408</f>
        <v>167.74</v>
      </c>
      <c r="X936" s="42"/>
      <c r="Y936" s="336"/>
      <c r="Z936" s="39"/>
      <c r="AA936" s="39"/>
      <c r="AB936" s="39"/>
      <c r="AC936" s="39"/>
      <c r="AD936" s="39"/>
    </row>
    <row r="937" spans="1:32" s="38" customFormat="1" ht="45">
      <c r="A937" s="447" t="s">
        <v>4157</v>
      </c>
      <c r="B937" s="448" t="s">
        <v>4153</v>
      </c>
      <c r="C937" s="449" t="s">
        <v>4155</v>
      </c>
      <c r="D937" s="447" t="s">
        <v>70</v>
      </c>
      <c r="E937" s="447" t="s">
        <v>52</v>
      </c>
      <c r="F937" s="450"/>
      <c r="G937" s="450">
        <f>W937</f>
        <v>141.77000000000001</v>
      </c>
      <c r="H937" s="450">
        <f>ROUND(G937*(1+$X$13),2)</f>
        <v>179.78</v>
      </c>
      <c r="I937" s="451"/>
      <c r="J937" s="452"/>
      <c r="K937" s="452"/>
      <c r="L937" s="452"/>
      <c r="M937" s="452"/>
      <c r="N937" s="452"/>
      <c r="O937" s="452"/>
      <c r="P937" s="493">
        <v>9.3000000000000007</v>
      </c>
      <c r="Q937" s="451">
        <f t="shared" ref="Q937" si="287">ROUND(P937*H937,2)</f>
        <v>1671.95</v>
      </c>
      <c r="R937" s="452"/>
      <c r="S937" s="452"/>
      <c r="T937" s="452">
        <f>F937+P937-R937</f>
        <v>9.3000000000000007</v>
      </c>
      <c r="U937" s="452">
        <f t="shared" si="286"/>
        <v>1671.95</v>
      </c>
      <c r="V937" s="453"/>
      <c r="W937" s="453">
        <f>COMP!G396</f>
        <v>141.77000000000001</v>
      </c>
      <c r="X937" s="42"/>
      <c r="Y937" s="336"/>
      <c r="Z937" s="39"/>
      <c r="AA937" s="39"/>
      <c r="AB937" s="39"/>
      <c r="AC937" s="39"/>
      <c r="AD937" s="39"/>
    </row>
    <row r="938" spans="1:32" s="55" customFormat="1">
      <c r="A938" s="270" t="s">
        <v>3876</v>
      </c>
      <c r="B938" s="20"/>
      <c r="C938" s="229" t="s">
        <v>3877</v>
      </c>
      <c r="D938" s="21"/>
      <c r="E938" s="21"/>
      <c r="F938" s="22"/>
      <c r="G938" s="22"/>
      <c r="H938" s="22"/>
      <c r="I938" s="147"/>
      <c r="J938" s="148"/>
      <c r="K938" s="148"/>
      <c r="L938" s="148"/>
      <c r="M938" s="148"/>
      <c r="N938" s="148"/>
      <c r="O938" s="148"/>
      <c r="P938" s="494"/>
      <c r="Q938" s="147"/>
      <c r="R938" s="148"/>
      <c r="S938" s="148"/>
      <c r="T938" s="148"/>
      <c r="U938" s="148"/>
      <c r="V938" s="379"/>
      <c r="W938" s="379"/>
      <c r="X938" s="57"/>
      <c r="Y938" s="334"/>
      <c r="Z938" s="58"/>
      <c r="AA938" s="58"/>
      <c r="AB938" s="58"/>
      <c r="AC938" s="58"/>
      <c r="AD938" s="58"/>
    </row>
    <row r="939" spans="1:32" s="38" customFormat="1" ht="41.25" customHeight="1">
      <c r="A939" s="456" t="s">
        <v>4122</v>
      </c>
      <c r="B939" s="448">
        <v>9842</v>
      </c>
      <c r="C939" s="449" t="s">
        <v>4119</v>
      </c>
      <c r="D939" s="447" t="s">
        <v>44</v>
      </c>
      <c r="E939" s="447" t="s">
        <v>52</v>
      </c>
      <c r="F939" s="450"/>
      <c r="G939" s="450">
        <f>W939</f>
        <v>92.15</v>
      </c>
      <c r="H939" s="450">
        <f>ROUND(G939*(1+$X$13),2)</f>
        <v>116.86</v>
      </c>
      <c r="I939" s="451"/>
      <c r="J939" s="452"/>
      <c r="K939" s="452"/>
      <c r="L939" s="452"/>
      <c r="M939" s="452"/>
      <c r="N939" s="452"/>
      <c r="O939" s="452"/>
      <c r="P939" s="493">
        <v>276</v>
      </c>
      <c r="Q939" s="451">
        <f t="shared" ref="Q939" si="288">ROUND(P939*H939,2)</f>
        <v>32253.360000000001</v>
      </c>
      <c r="R939" s="452"/>
      <c r="S939" s="452"/>
      <c r="T939" s="452">
        <f>F939+P939-R939</f>
        <v>276</v>
      </c>
      <c r="U939" s="452">
        <f t="shared" si="247"/>
        <v>32253.360000000001</v>
      </c>
      <c r="V939" s="453"/>
      <c r="W939" s="453">
        <f>COMP!G365</f>
        <v>92.15</v>
      </c>
      <c r="X939" s="42"/>
      <c r="Y939" s="336"/>
      <c r="Z939" s="39"/>
      <c r="AA939" s="39"/>
      <c r="AB939" s="39"/>
      <c r="AC939" s="39"/>
      <c r="AD939" s="39"/>
    </row>
    <row r="940" spans="1:32" s="38" customFormat="1" ht="30">
      <c r="A940" s="456" t="s">
        <v>4137</v>
      </c>
      <c r="B940" s="448" t="s">
        <v>4168</v>
      </c>
      <c r="C940" s="449" t="s">
        <v>4134</v>
      </c>
      <c r="D940" s="447" t="s">
        <v>44</v>
      </c>
      <c r="E940" s="447" t="s">
        <v>3885</v>
      </c>
      <c r="F940" s="450"/>
      <c r="G940" s="450">
        <f>'PLANILHA ORÇA - CORREGEDORIA'!G1209</f>
        <v>22.763646922933482</v>
      </c>
      <c r="H940" s="450">
        <f>'PLANILHA ORÇA - CORREGEDORIA'!H1209</f>
        <v>28.87</v>
      </c>
      <c r="I940" s="451"/>
      <c r="J940" s="452"/>
      <c r="K940" s="452"/>
      <c r="L940" s="452"/>
      <c r="M940" s="452"/>
      <c r="N940" s="452"/>
      <c r="O940" s="452"/>
      <c r="P940" s="493">
        <v>30</v>
      </c>
      <c r="Q940" s="451">
        <f t="shared" ref="Q940:Q941" si="289">ROUND(P940*H940,2)</f>
        <v>866.1</v>
      </c>
      <c r="R940" s="452"/>
      <c r="S940" s="452"/>
      <c r="T940" s="452">
        <f t="shared" ref="T940:T954" si="290">F940+P940-R940</f>
        <v>30</v>
      </c>
      <c r="U940" s="452">
        <f t="shared" si="247"/>
        <v>866.1</v>
      </c>
      <c r="V940" s="453"/>
      <c r="W940" s="453"/>
      <c r="X940" s="42"/>
      <c r="Y940" s="336"/>
      <c r="Z940" s="39"/>
      <c r="AA940" s="39"/>
      <c r="AB940" s="39"/>
      <c r="AC940" s="39"/>
      <c r="AD940" s="39"/>
    </row>
    <row r="941" spans="1:32" s="38" customFormat="1" ht="30">
      <c r="A941" s="456" t="s">
        <v>4138</v>
      </c>
      <c r="B941" s="448" t="s">
        <v>4167</v>
      </c>
      <c r="C941" s="449" t="s">
        <v>4135</v>
      </c>
      <c r="D941" s="447" t="s">
        <v>44</v>
      </c>
      <c r="E941" s="447" t="s">
        <v>3885</v>
      </c>
      <c r="F941" s="450"/>
      <c r="G941" s="450">
        <f>'PLANILHA ORÇA - CORREGEDORIA'!G1210</f>
        <v>19.458941109246386</v>
      </c>
      <c r="H941" s="450">
        <f>'PLANILHA ORÇA - CORREGEDORIA'!H1210</f>
        <v>24.68</v>
      </c>
      <c r="I941" s="451"/>
      <c r="J941" s="452"/>
      <c r="K941" s="452"/>
      <c r="L941" s="452"/>
      <c r="M941" s="452"/>
      <c r="N941" s="452"/>
      <c r="O941" s="452"/>
      <c r="P941" s="493">
        <v>50</v>
      </c>
      <c r="Q941" s="451">
        <f t="shared" si="289"/>
        <v>1234</v>
      </c>
      <c r="R941" s="452"/>
      <c r="S941" s="452"/>
      <c r="T941" s="452">
        <f t="shared" si="290"/>
        <v>50</v>
      </c>
      <c r="U941" s="452">
        <f t="shared" si="247"/>
        <v>1234</v>
      </c>
      <c r="V941" s="453"/>
      <c r="W941" s="453"/>
      <c r="X941" s="42"/>
      <c r="Y941" s="336"/>
      <c r="Z941" s="39"/>
      <c r="AA941" s="39"/>
      <c r="AB941" s="39"/>
      <c r="AC941" s="39"/>
      <c r="AD941" s="39"/>
    </row>
    <row r="942" spans="1:32" s="38" customFormat="1" ht="30">
      <c r="A942" s="456" t="s">
        <v>4139</v>
      </c>
      <c r="B942" s="448" t="s">
        <v>4033</v>
      </c>
      <c r="C942" s="532" t="s">
        <v>4053</v>
      </c>
      <c r="D942" s="447" t="s">
        <v>1914</v>
      </c>
      <c r="E942" s="447" t="s">
        <v>3882</v>
      </c>
      <c r="F942" s="450"/>
      <c r="G942" s="450">
        <f>'PLANILHA ORÇA - CORREGEDORIA'!G1211</f>
        <v>296.30617284211087</v>
      </c>
      <c r="H942" s="450">
        <f>'PLANILHA ORÇA - CORREGEDORIA'!H1211</f>
        <v>375.75</v>
      </c>
      <c r="I942" s="451"/>
      <c r="J942" s="452"/>
      <c r="K942" s="452"/>
      <c r="L942" s="452"/>
      <c r="M942" s="452"/>
      <c r="N942" s="452"/>
      <c r="O942" s="452"/>
      <c r="P942" s="493">
        <v>7</v>
      </c>
      <c r="Q942" s="451">
        <f t="shared" ref="Q942" si="291">ROUND(P942*H942,2)</f>
        <v>2630.25</v>
      </c>
      <c r="R942" s="452"/>
      <c r="S942" s="452"/>
      <c r="T942" s="452">
        <f t="shared" si="290"/>
        <v>7</v>
      </c>
      <c r="U942" s="452">
        <f t="shared" si="247"/>
        <v>2630.25</v>
      </c>
      <c r="V942" s="453"/>
      <c r="W942" s="453"/>
      <c r="X942" s="42"/>
      <c r="Y942" s="336"/>
      <c r="Z942" s="39"/>
      <c r="AA942" s="39"/>
      <c r="AB942" s="39"/>
      <c r="AC942" s="39"/>
      <c r="AD942" s="39"/>
    </row>
    <row r="943" spans="1:32" s="38" customFormat="1" ht="30">
      <c r="A943" s="456" t="s">
        <v>4140</v>
      </c>
      <c r="B943" s="448" t="s">
        <v>4034</v>
      </c>
      <c r="C943" s="532" t="s">
        <v>4054</v>
      </c>
      <c r="D943" s="447" t="s">
        <v>1914</v>
      </c>
      <c r="E943" s="447" t="s">
        <v>3882</v>
      </c>
      <c r="F943" s="450"/>
      <c r="G943" s="450">
        <f>'PLANILHA ORÇA - CORREGEDORIA'!G1212</f>
        <v>163.59714138416049</v>
      </c>
      <c r="H943" s="450">
        <f>'PLANILHA ORÇA - CORREGEDORIA'!H1212</f>
        <v>207.46</v>
      </c>
      <c r="I943" s="451"/>
      <c r="J943" s="452"/>
      <c r="K943" s="452"/>
      <c r="L943" s="452"/>
      <c r="M943" s="452"/>
      <c r="N943" s="452"/>
      <c r="O943" s="452"/>
      <c r="P943" s="493">
        <v>7</v>
      </c>
      <c r="Q943" s="451">
        <f t="shared" ref="Q943:Q949" si="292">ROUND(P943*H943,2)</f>
        <v>1452.22</v>
      </c>
      <c r="R943" s="452"/>
      <c r="S943" s="452"/>
      <c r="T943" s="452">
        <f t="shared" si="290"/>
        <v>7</v>
      </c>
      <c r="U943" s="452">
        <f t="shared" si="247"/>
        <v>1452.22</v>
      </c>
      <c r="V943" s="453"/>
      <c r="W943" s="453"/>
      <c r="X943" s="42"/>
      <c r="Y943" s="336"/>
      <c r="Z943" s="39"/>
      <c r="AA943" s="39"/>
      <c r="AB943" s="39"/>
      <c r="AC943" s="39"/>
      <c r="AD943" s="39"/>
    </row>
    <row r="944" spans="1:32" s="38" customFormat="1" ht="30">
      <c r="A944" s="456" t="s">
        <v>4141</v>
      </c>
      <c r="B944" s="448" t="s">
        <v>4036</v>
      </c>
      <c r="C944" s="532" t="s">
        <v>4056</v>
      </c>
      <c r="D944" s="447" t="s">
        <v>1914</v>
      </c>
      <c r="E944" s="447" t="s">
        <v>3882</v>
      </c>
      <c r="F944" s="450"/>
      <c r="G944" s="450">
        <f>'PLANILHA ORÇA - CORREGEDORIA'!G1214</f>
        <v>342.96028614880521</v>
      </c>
      <c r="H944" s="450">
        <f>'PLANILHA ORÇA - CORREGEDORIA'!H1214</f>
        <v>434.91</v>
      </c>
      <c r="I944" s="451"/>
      <c r="J944" s="452"/>
      <c r="K944" s="452"/>
      <c r="L944" s="452"/>
      <c r="M944" s="452"/>
      <c r="N944" s="452"/>
      <c r="O944" s="452"/>
      <c r="P944" s="493">
        <v>4</v>
      </c>
      <c r="Q944" s="451">
        <f t="shared" si="292"/>
        <v>1739.64</v>
      </c>
      <c r="R944" s="452"/>
      <c r="S944" s="452"/>
      <c r="T944" s="452">
        <f t="shared" si="290"/>
        <v>4</v>
      </c>
      <c r="U944" s="452">
        <f t="shared" si="247"/>
        <v>1739.64</v>
      </c>
      <c r="V944" s="453"/>
      <c r="W944" s="453"/>
      <c r="X944" s="42"/>
      <c r="Y944" s="336"/>
      <c r="Z944" s="39"/>
      <c r="AA944" s="39"/>
      <c r="AB944" s="39"/>
      <c r="AC944" s="39"/>
      <c r="AD944" s="39"/>
    </row>
    <row r="945" spans="1:32" s="38" customFormat="1" ht="30">
      <c r="A945" s="456" t="s">
        <v>4142</v>
      </c>
      <c r="B945" s="448" t="s">
        <v>4037</v>
      </c>
      <c r="C945" s="532" t="s">
        <v>4057</v>
      </c>
      <c r="D945" s="447" t="s">
        <v>1914</v>
      </c>
      <c r="E945" s="447" t="s">
        <v>3882</v>
      </c>
      <c r="F945" s="450"/>
      <c r="G945" s="450">
        <f>'PLANILHA ORÇA - CORREGEDORIA'!G1215</f>
        <v>194.66516366125899</v>
      </c>
      <c r="H945" s="450">
        <f>'PLANILHA ORÇA - CORREGEDORIA'!H1215</f>
        <v>246.85</v>
      </c>
      <c r="I945" s="451"/>
      <c r="J945" s="452"/>
      <c r="K945" s="452"/>
      <c r="L945" s="452"/>
      <c r="M945" s="452"/>
      <c r="N945" s="452"/>
      <c r="O945" s="452"/>
      <c r="P945" s="493">
        <v>3</v>
      </c>
      <c r="Q945" s="451">
        <f t="shared" si="292"/>
        <v>740.55</v>
      </c>
      <c r="R945" s="452"/>
      <c r="S945" s="452"/>
      <c r="T945" s="452">
        <f t="shared" si="290"/>
        <v>3</v>
      </c>
      <c r="U945" s="452">
        <f t="shared" si="247"/>
        <v>740.55</v>
      </c>
      <c r="V945" s="453"/>
      <c r="W945" s="453"/>
      <c r="X945" s="42"/>
      <c r="Y945" s="336"/>
      <c r="Z945" s="39"/>
      <c r="AA945" s="39"/>
      <c r="AB945" s="39"/>
      <c r="AC945" s="39"/>
      <c r="AD945" s="39"/>
    </row>
    <row r="946" spans="1:32" s="38" customFormat="1" ht="30">
      <c r="A946" s="456" t="s">
        <v>4143</v>
      </c>
      <c r="B946" s="448" t="s">
        <v>4038</v>
      </c>
      <c r="C946" s="532" t="s">
        <v>4058</v>
      </c>
      <c r="D946" s="447" t="s">
        <v>1914</v>
      </c>
      <c r="E946" s="447" t="s">
        <v>3882</v>
      </c>
      <c r="F946" s="450"/>
      <c r="G946" s="450">
        <f>'PLANILHA ORÇA - CORREGEDORIA'!G1216</f>
        <v>274.35686603372494</v>
      </c>
      <c r="H946" s="450">
        <f>'PLANILHA ORÇA - CORREGEDORIA'!H1216</f>
        <v>347.91</v>
      </c>
      <c r="I946" s="451"/>
      <c r="J946" s="452"/>
      <c r="K946" s="452"/>
      <c r="L946" s="452"/>
      <c r="M946" s="452"/>
      <c r="N946" s="452"/>
      <c r="O946" s="452"/>
      <c r="P946" s="493">
        <v>2</v>
      </c>
      <c r="Q946" s="451">
        <f t="shared" si="292"/>
        <v>695.82</v>
      </c>
      <c r="R946" s="452"/>
      <c r="S946" s="452"/>
      <c r="T946" s="452">
        <f t="shared" si="290"/>
        <v>2</v>
      </c>
      <c r="U946" s="452">
        <f t="shared" si="247"/>
        <v>695.82</v>
      </c>
      <c r="V946" s="453"/>
      <c r="W946" s="453"/>
      <c r="X946" s="42"/>
      <c r="Y946" s="336"/>
      <c r="Z946" s="39"/>
      <c r="AA946" s="39"/>
      <c r="AB946" s="39"/>
      <c r="AC946" s="39"/>
      <c r="AD946" s="39"/>
    </row>
    <row r="947" spans="1:32" s="38" customFormat="1" ht="30">
      <c r="A947" s="456" t="s">
        <v>4144</v>
      </c>
      <c r="B947" s="448" t="s">
        <v>4039</v>
      </c>
      <c r="C947" s="532" t="s">
        <v>4059</v>
      </c>
      <c r="D947" s="447" t="s">
        <v>1914</v>
      </c>
      <c r="E947" s="447" t="s">
        <v>3882</v>
      </c>
      <c r="F947" s="450"/>
      <c r="G947" s="450">
        <f>'PLANILHA ORÇA - CORREGEDORIA'!G1217</f>
        <v>441.4480946535603</v>
      </c>
      <c r="H947" s="450">
        <f>'PLANILHA ORÇA - CORREGEDORIA'!H1217</f>
        <v>559.79999999999995</v>
      </c>
      <c r="I947" s="451"/>
      <c r="J947" s="452"/>
      <c r="K947" s="452"/>
      <c r="L947" s="452"/>
      <c r="M947" s="452"/>
      <c r="N947" s="452"/>
      <c r="O947" s="452"/>
      <c r="P947" s="493">
        <v>1</v>
      </c>
      <c r="Q947" s="451">
        <f t="shared" si="292"/>
        <v>559.79999999999995</v>
      </c>
      <c r="R947" s="452"/>
      <c r="S947" s="452"/>
      <c r="T947" s="452">
        <f t="shared" si="290"/>
        <v>1</v>
      </c>
      <c r="U947" s="452">
        <f t="shared" si="247"/>
        <v>559.79999999999995</v>
      </c>
      <c r="V947" s="453"/>
      <c r="W947" s="453"/>
      <c r="X947" s="42"/>
      <c r="Y947" s="336"/>
      <c r="Z947" s="39"/>
      <c r="AA947" s="39"/>
      <c r="AB947" s="39"/>
      <c r="AC947" s="39"/>
      <c r="AD947" s="39"/>
    </row>
    <row r="948" spans="1:32" s="38" customFormat="1" ht="30">
      <c r="A948" s="456" t="s">
        <v>4145</v>
      </c>
      <c r="B948" s="448" t="s">
        <v>4040</v>
      </c>
      <c r="C948" s="532" t="s">
        <v>4060</v>
      </c>
      <c r="D948" s="447" t="s">
        <v>1914</v>
      </c>
      <c r="E948" s="447" t="s">
        <v>3882</v>
      </c>
      <c r="F948" s="450"/>
      <c r="G948" s="450">
        <f>'PLANILHA ORÇA - CORREGEDORIA'!G1218</f>
        <v>104.61429750606035</v>
      </c>
      <c r="H948" s="450">
        <f>'PLANILHA ORÇA - CORREGEDORIA'!H1218</f>
        <v>132.66</v>
      </c>
      <c r="I948" s="451"/>
      <c r="J948" s="452"/>
      <c r="K948" s="452"/>
      <c r="L948" s="452"/>
      <c r="M948" s="452"/>
      <c r="N948" s="452"/>
      <c r="O948" s="452"/>
      <c r="P948" s="493">
        <v>25</v>
      </c>
      <c r="Q948" s="451">
        <f t="shared" si="292"/>
        <v>3316.5</v>
      </c>
      <c r="R948" s="452"/>
      <c r="S948" s="452"/>
      <c r="T948" s="452">
        <f t="shared" si="290"/>
        <v>25</v>
      </c>
      <c r="U948" s="452">
        <f t="shared" si="247"/>
        <v>3316.5</v>
      </c>
      <c r="V948" s="453"/>
      <c r="W948" s="453"/>
      <c r="X948" s="42"/>
      <c r="Y948" s="336"/>
      <c r="Z948" s="39"/>
      <c r="AA948" s="39"/>
      <c r="AB948" s="39"/>
      <c r="AC948" s="39"/>
      <c r="AD948" s="39"/>
    </row>
    <row r="949" spans="1:32" s="38" customFormat="1" ht="30">
      <c r="A949" s="456" t="s">
        <v>4146</v>
      </c>
      <c r="B949" s="448" t="s">
        <v>4041</v>
      </c>
      <c r="C949" s="532" t="s">
        <v>4061</v>
      </c>
      <c r="D949" s="447" t="s">
        <v>1914</v>
      </c>
      <c r="E949" s="447" t="s">
        <v>3882</v>
      </c>
      <c r="F949" s="450"/>
      <c r="G949" s="450">
        <f>'PLANILHA ORÇA - CORREGEDORIA'!G1219</f>
        <v>66.008894633847461</v>
      </c>
      <c r="H949" s="450">
        <f>'PLANILHA ORÇA - CORREGEDORIA'!H1219</f>
        <v>83.71</v>
      </c>
      <c r="I949" s="451"/>
      <c r="J949" s="452"/>
      <c r="K949" s="452"/>
      <c r="L949" s="452"/>
      <c r="M949" s="452"/>
      <c r="N949" s="452"/>
      <c r="O949" s="452"/>
      <c r="P949" s="493">
        <v>2</v>
      </c>
      <c r="Q949" s="451">
        <f t="shared" si="292"/>
        <v>167.42</v>
      </c>
      <c r="R949" s="452"/>
      <c r="S949" s="452"/>
      <c r="T949" s="452">
        <f t="shared" si="290"/>
        <v>2</v>
      </c>
      <c r="U949" s="452">
        <f t="shared" si="247"/>
        <v>167.42</v>
      </c>
      <c r="V949" s="453"/>
      <c r="W949" s="453"/>
      <c r="X949" s="42"/>
      <c r="Y949" s="336"/>
      <c r="Z949" s="39"/>
      <c r="AA949" s="39"/>
      <c r="AB949" s="39"/>
      <c r="AC949" s="39"/>
      <c r="AD949" s="39"/>
    </row>
    <row r="950" spans="1:32" s="38" customFormat="1" ht="50.25" customHeight="1">
      <c r="A950" s="456" t="s">
        <v>4147</v>
      </c>
      <c r="B950" s="448" t="s">
        <v>4083</v>
      </c>
      <c r="C950" s="449" t="s">
        <v>4087</v>
      </c>
      <c r="D950" s="447" t="s">
        <v>1914</v>
      </c>
      <c r="E950" s="447" t="s">
        <v>3882</v>
      </c>
      <c r="F950" s="450"/>
      <c r="G950" s="450">
        <f>W950</f>
        <v>26100.239999999998</v>
      </c>
      <c r="H950" s="450">
        <f>ROUND(G950*(1+$X$13),2)</f>
        <v>33097.71</v>
      </c>
      <c r="I950" s="451"/>
      <c r="J950" s="452"/>
      <c r="K950" s="452"/>
      <c r="L950" s="452"/>
      <c r="M950" s="452"/>
      <c r="N950" s="452"/>
      <c r="O950" s="452"/>
      <c r="P950" s="493">
        <v>1</v>
      </c>
      <c r="Q950" s="451">
        <f>ROUND(P950*H950,2)</f>
        <v>33097.71</v>
      </c>
      <c r="R950" s="452"/>
      <c r="S950" s="452"/>
      <c r="T950" s="452">
        <f t="shared" si="290"/>
        <v>1</v>
      </c>
      <c r="U950" s="452">
        <f t="shared" si="247"/>
        <v>33097.71</v>
      </c>
      <c r="V950" s="453"/>
      <c r="W950" s="453">
        <f>COMP!G293</f>
        <v>26100.239999999998</v>
      </c>
      <c r="X950" s="42"/>
      <c r="Y950" s="336"/>
      <c r="Z950" s="39"/>
      <c r="AA950" s="39"/>
      <c r="AB950" s="39"/>
      <c r="AC950" s="39"/>
      <c r="AD950" s="39"/>
    </row>
    <row r="951" spans="1:32" s="38" customFormat="1" ht="37.5" customHeight="1">
      <c r="A951" s="456" t="s">
        <v>4148</v>
      </c>
      <c r="B951" s="448" t="s">
        <v>3958</v>
      </c>
      <c r="C951" s="449" t="s">
        <v>3909</v>
      </c>
      <c r="D951" s="447" t="s">
        <v>1914</v>
      </c>
      <c r="E951" s="447" t="s">
        <v>3882</v>
      </c>
      <c r="F951" s="450"/>
      <c r="G951" s="450">
        <f>W951</f>
        <v>3716.29</v>
      </c>
      <c r="H951" s="450">
        <f>ROUND(G951*(1+$X$13),2)</f>
        <v>4712.63</v>
      </c>
      <c r="I951" s="451"/>
      <c r="J951" s="452"/>
      <c r="K951" s="452"/>
      <c r="L951" s="452"/>
      <c r="M951" s="452"/>
      <c r="N951" s="452"/>
      <c r="O951" s="452"/>
      <c r="P951" s="493">
        <v>1</v>
      </c>
      <c r="Q951" s="451">
        <f>ROUND(P951*H951,2)</f>
        <v>4712.63</v>
      </c>
      <c r="R951" s="452"/>
      <c r="S951" s="452"/>
      <c r="T951" s="452">
        <f t="shared" si="290"/>
        <v>1</v>
      </c>
      <c r="U951" s="452">
        <f t="shared" si="247"/>
        <v>4712.63</v>
      </c>
      <c r="V951" s="453"/>
      <c r="W951" s="453">
        <f>COMP!G155</f>
        <v>3716.29</v>
      </c>
      <c r="X951" s="42"/>
      <c r="Y951" s="336"/>
      <c r="Z951" s="39"/>
      <c r="AA951" s="39"/>
      <c r="AB951" s="39"/>
      <c r="AC951" s="39"/>
      <c r="AD951" s="39"/>
    </row>
    <row r="952" spans="1:32" s="38" customFormat="1" ht="30">
      <c r="A952" s="456" t="s">
        <v>4149</v>
      </c>
      <c r="B952" s="448" t="s">
        <v>4081</v>
      </c>
      <c r="C952" s="449" t="s">
        <v>3957</v>
      </c>
      <c r="D952" s="447" t="s">
        <v>1914</v>
      </c>
      <c r="E952" s="447" t="s">
        <v>3882</v>
      </c>
      <c r="F952" s="450"/>
      <c r="G952" s="450">
        <f>'PLANILHA ORÇA - CORREGEDORIA'!G1221</f>
        <v>868.54107752044547</v>
      </c>
      <c r="H952" s="450">
        <f>ROUND(G952*(1+$X$13),2)</f>
        <v>1101.4000000000001</v>
      </c>
      <c r="I952" s="451"/>
      <c r="J952" s="452"/>
      <c r="K952" s="452"/>
      <c r="L952" s="452"/>
      <c r="M952" s="452"/>
      <c r="N952" s="452"/>
      <c r="O952" s="452"/>
      <c r="P952" s="493">
        <v>1</v>
      </c>
      <c r="Q952" s="451">
        <f>ROUND(P952*H952,2)</f>
        <v>1101.4000000000001</v>
      </c>
      <c r="R952" s="452"/>
      <c r="S952" s="452"/>
      <c r="T952" s="452">
        <f t="shared" si="290"/>
        <v>1</v>
      </c>
      <c r="U952" s="452">
        <f t="shared" si="247"/>
        <v>1101.4000000000001</v>
      </c>
      <c r="V952" s="453"/>
      <c r="W952" s="453">
        <f>COMP!G282</f>
        <v>569.85</v>
      </c>
      <c r="X952" s="42"/>
      <c r="Y952" s="336"/>
      <c r="Z952" s="39"/>
      <c r="AA952" s="39"/>
      <c r="AB952" s="39"/>
      <c r="AC952" s="39"/>
      <c r="AD952" s="39"/>
    </row>
    <row r="953" spans="1:32" s="38" customFormat="1" ht="36.75" customHeight="1">
      <c r="A953" s="456" t="s">
        <v>4150</v>
      </c>
      <c r="B953" s="448" t="s">
        <v>3932</v>
      </c>
      <c r="C953" s="449" t="s">
        <v>3933</v>
      </c>
      <c r="D953" s="447" t="s">
        <v>1914</v>
      </c>
      <c r="E953" s="447" t="s">
        <v>3882</v>
      </c>
      <c r="F953" s="450"/>
      <c r="G953" s="450">
        <f>'PLANILHA ORÇA - CORREGEDORIA'!G1222</f>
        <v>1570.6348232558139</v>
      </c>
      <c r="H953" s="450">
        <f>ROUND(G953*(1+$X$13),2)</f>
        <v>1991.72</v>
      </c>
      <c r="I953" s="451"/>
      <c r="J953" s="452"/>
      <c r="K953" s="452"/>
      <c r="L953" s="452"/>
      <c r="M953" s="452"/>
      <c r="N953" s="452"/>
      <c r="O953" s="452"/>
      <c r="P953" s="493">
        <v>1</v>
      </c>
      <c r="Q953" s="451">
        <f>ROUND(P953*H953,2)</f>
        <v>1991.72</v>
      </c>
      <c r="R953" s="452"/>
      <c r="S953" s="452"/>
      <c r="T953" s="452">
        <f t="shared" si="290"/>
        <v>1</v>
      </c>
      <c r="U953" s="452">
        <f t="shared" si="247"/>
        <v>1991.72</v>
      </c>
      <c r="V953" s="453"/>
      <c r="W953" s="453"/>
      <c r="X953" s="42"/>
      <c r="Y953" s="336"/>
      <c r="Z953" s="39"/>
      <c r="AA953" s="39"/>
      <c r="AB953" s="39"/>
      <c r="AC953" s="39"/>
      <c r="AD953" s="39"/>
    </row>
    <row r="954" spans="1:32" s="38" customFormat="1" ht="30">
      <c r="A954" s="456" t="s">
        <v>4151</v>
      </c>
      <c r="B954" s="448" t="s">
        <v>3935</v>
      </c>
      <c r="C954" s="449" t="s">
        <v>3934</v>
      </c>
      <c r="D954" s="447" t="s">
        <v>1914</v>
      </c>
      <c r="E954" s="447" t="s">
        <v>3882</v>
      </c>
      <c r="F954" s="450"/>
      <c r="G954" s="450">
        <f>'PLANILHA ORÇA - CORREGEDORIA'!G1223</f>
        <v>1668.9805956940781</v>
      </c>
      <c r="H954" s="450">
        <f>ROUND(G954*(1+$X$13),2)</f>
        <v>2116.4299999999998</v>
      </c>
      <c r="I954" s="451"/>
      <c r="J954" s="452"/>
      <c r="K954" s="452"/>
      <c r="L954" s="452"/>
      <c r="M954" s="452"/>
      <c r="N954" s="452"/>
      <c r="O954" s="452"/>
      <c r="P954" s="493">
        <v>1</v>
      </c>
      <c r="Q954" s="451">
        <f>ROUND(P954*H954,2)</f>
        <v>2116.4299999999998</v>
      </c>
      <c r="R954" s="452"/>
      <c r="S954" s="452"/>
      <c r="T954" s="452">
        <f t="shared" si="290"/>
        <v>1</v>
      </c>
      <c r="U954" s="452">
        <f t="shared" si="247"/>
        <v>2116.4299999999998</v>
      </c>
      <c r="V954" s="453"/>
      <c r="W954" s="453">
        <f>COMP!G142</f>
        <v>1762.56</v>
      </c>
      <c r="X954" s="42"/>
      <c r="Y954" s="336"/>
      <c r="Z954" s="39"/>
      <c r="AA954" s="39"/>
      <c r="AB954" s="39"/>
      <c r="AC954" s="39"/>
      <c r="AD954" s="39"/>
    </row>
    <row r="955" spans="1:32" s="55" customFormat="1">
      <c r="A955" s="69" t="s">
        <v>1465</v>
      </c>
      <c r="B955" s="129"/>
      <c r="C955" s="229" t="s">
        <v>2366</v>
      </c>
      <c r="D955" s="230"/>
      <c r="E955" s="230"/>
      <c r="F955" s="230"/>
      <c r="G955" s="22"/>
      <c r="H955" s="230"/>
      <c r="I955" s="445"/>
      <c r="J955" s="440"/>
      <c r="K955" s="440"/>
      <c r="L955" s="440"/>
      <c r="M955" s="440"/>
      <c r="N955" s="440"/>
      <c r="O955" s="440"/>
      <c r="P955" s="492"/>
      <c r="Q955" s="147"/>
      <c r="R955" s="440"/>
      <c r="S955" s="148"/>
      <c r="T955" s="148" t="str">
        <f t="shared" si="248"/>
        <v xml:space="preserve"> </v>
      </c>
      <c r="U955" s="148"/>
      <c r="V955" s="330"/>
      <c r="W955" s="330"/>
      <c r="X955" s="213"/>
      <c r="Y955" s="338"/>
      <c r="Z955" s="58">
        <f t="shared" si="257"/>
        <v>0</v>
      </c>
      <c r="AA955" s="58">
        <f t="shared" si="254"/>
        <v>0</v>
      </c>
      <c r="AB955" s="58"/>
      <c r="AC955" s="58">
        <f t="shared" si="255"/>
        <v>0</v>
      </c>
      <c r="AD955" s="58" t="str">
        <f>IF(B955&lt;&gt;0,VLOOKUP(B955,#REF!,2,FALSE),"")</f>
        <v/>
      </c>
      <c r="AE955" s="55">
        <v>1</v>
      </c>
      <c r="AF955" s="55">
        <f t="shared" si="268"/>
        <v>1</v>
      </c>
    </row>
    <row r="956" spans="1:32" s="55" customFormat="1" ht="75">
      <c r="A956" s="21" t="s">
        <v>1466</v>
      </c>
      <c r="B956" s="20">
        <v>9744</v>
      </c>
      <c r="C956" s="19" t="s">
        <v>3021</v>
      </c>
      <c r="D956" s="21" t="s">
        <v>44</v>
      </c>
      <c r="E956" s="21" t="s">
        <v>17</v>
      </c>
      <c r="F956" s="22">
        <v>1</v>
      </c>
      <c r="G956" s="22">
        <f t="shared" si="256"/>
        <v>80750</v>
      </c>
      <c r="H956" s="22">
        <f>ROUND(G956*(1+$X$13),2)</f>
        <v>102399.08</v>
      </c>
      <c r="I956" s="147">
        <f>ROUND(H956*F956,2)</f>
        <v>102399.08</v>
      </c>
      <c r="J956" s="148"/>
      <c r="K956" s="148"/>
      <c r="L956" s="148"/>
      <c r="M956" s="148">
        <v>182678.16</v>
      </c>
      <c r="N956" s="148">
        <v>231654.17</v>
      </c>
      <c r="O956" s="148">
        <v>231654.17</v>
      </c>
      <c r="P956" s="494"/>
      <c r="Q956" s="147">
        <f t="shared" si="261"/>
        <v>0</v>
      </c>
      <c r="R956" s="148"/>
      <c r="S956" s="148">
        <f t="shared" si="262"/>
        <v>0</v>
      </c>
      <c r="T956" s="148">
        <f t="shared" si="248"/>
        <v>1</v>
      </c>
      <c r="U956" s="148">
        <f t="shared" si="247"/>
        <v>231654.17</v>
      </c>
      <c r="V956" s="379"/>
      <c r="W956" s="379"/>
      <c r="X956" s="57">
        <f>'COMPOSIÇÃO DE CUSTOS'!G2155</f>
        <v>80750</v>
      </c>
      <c r="Y956" s="334">
        <v>95000</v>
      </c>
      <c r="Z956" s="58">
        <f t="shared" si="257"/>
        <v>-14250</v>
      </c>
      <c r="AA956" s="58">
        <f t="shared" si="254"/>
        <v>80750</v>
      </c>
      <c r="AB956" s="58"/>
      <c r="AC956" s="58">
        <f t="shared" si="255"/>
        <v>102399.08</v>
      </c>
      <c r="AD956" s="58" t="e">
        <f>IF(B956&lt;&gt;0,VLOOKUP(B956,#REF!,2,FALSE),"")</f>
        <v>#REF!</v>
      </c>
      <c r="AF956" s="55">
        <f t="shared" si="268"/>
        <v>-1</v>
      </c>
    </row>
    <row r="957" spans="1:32" s="55" customFormat="1">
      <c r="A957" s="21"/>
      <c r="B957" s="20"/>
      <c r="C957" s="19"/>
      <c r="D957" s="21"/>
      <c r="E957" s="21"/>
      <c r="F957" s="22"/>
      <c r="G957" s="22"/>
      <c r="H957" s="22"/>
      <c r="I957" s="147"/>
      <c r="J957" s="148"/>
      <c r="K957" s="148"/>
      <c r="L957" s="148"/>
      <c r="M957" s="148"/>
      <c r="N957" s="148"/>
      <c r="O957" s="148"/>
      <c r="P957" s="494"/>
      <c r="Q957" s="147"/>
      <c r="R957" s="148"/>
      <c r="S957" s="148"/>
      <c r="T957" s="148" t="str">
        <f t="shared" si="248"/>
        <v xml:space="preserve"> </v>
      </c>
      <c r="U957" s="148"/>
      <c r="V957" s="379"/>
      <c r="W957" s="379"/>
      <c r="X957" s="58" t="str">
        <f>IF(B957&lt;&gt;0,VLOOKUP(B957,#REF!,4,FALSE),"")</f>
        <v/>
      </c>
      <c r="Y957" s="334" t="s">
        <v>1891</v>
      </c>
      <c r="Z957" s="58"/>
      <c r="AA957" s="58">
        <f t="shared" si="254"/>
        <v>0</v>
      </c>
      <c r="AB957" s="58"/>
      <c r="AC957" s="58">
        <f t="shared" si="255"/>
        <v>0</v>
      </c>
      <c r="AD957" s="58" t="str">
        <f>IF(B957&lt;&gt;0,VLOOKUP(B957,#REF!,2,FALSE),"")</f>
        <v/>
      </c>
      <c r="AF957" s="55">
        <f t="shared" si="268"/>
        <v>0</v>
      </c>
    </row>
    <row r="958" spans="1:32" s="55" customFormat="1">
      <c r="A958" s="69" t="s">
        <v>1467</v>
      </c>
      <c r="B958" s="129"/>
      <c r="C958" s="229" t="s">
        <v>338</v>
      </c>
      <c r="D958" s="230"/>
      <c r="E958" s="230"/>
      <c r="F958" s="230"/>
      <c r="G958" s="22"/>
      <c r="H958" s="230"/>
      <c r="I958" s="445">
        <f>ROUND(SUM(I959:I968),2)</f>
        <v>88724.86</v>
      </c>
      <c r="J958" s="440"/>
      <c r="K958" s="440"/>
      <c r="L958" s="440"/>
      <c r="M958" s="440"/>
      <c r="N958" s="440"/>
      <c r="O958" s="440">
        <v>107015.59</v>
      </c>
      <c r="P958" s="492"/>
      <c r="Q958" s="445">
        <f>ROUND(SUM(Q959:Q970),2)</f>
        <v>3207.15</v>
      </c>
      <c r="R958" s="440"/>
      <c r="S958" s="440">
        <f>ROUND(SUM(S959:S968),2)</f>
        <v>0</v>
      </c>
      <c r="T958" s="148" t="str">
        <f t="shared" si="248"/>
        <v xml:space="preserve"> </v>
      </c>
      <c r="U958" s="440">
        <f t="shared" si="247"/>
        <v>110222.73999999999</v>
      </c>
      <c r="V958" s="330"/>
      <c r="W958" s="330"/>
      <c r="X958" s="58" t="str">
        <f>IF(B958&lt;&gt;0,VLOOKUP(B958,#REF!,4,FALSE),"")</f>
        <v/>
      </c>
      <c r="Y958" s="334" t="s">
        <v>1891</v>
      </c>
      <c r="Z958" s="58"/>
      <c r="AA958" s="58">
        <f t="shared" si="254"/>
        <v>0</v>
      </c>
      <c r="AB958" s="58"/>
      <c r="AC958" s="58">
        <f t="shared" si="255"/>
        <v>0</v>
      </c>
      <c r="AD958" s="58" t="str">
        <f>IF(B958&lt;&gt;0,VLOOKUP(B958,#REF!,2,FALSE),"")</f>
        <v/>
      </c>
      <c r="AE958" s="55">
        <v>1909.49</v>
      </c>
      <c r="AF958" s="55">
        <f t="shared" si="268"/>
        <v>1909.49</v>
      </c>
    </row>
    <row r="959" spans="1:32" s="38" customFormat="1" ht="30">
      <c r="A959" s="447" t="s">
        <v>1468</v>
      </c>
      <c r="B959" s="448">
        <v>88497</v>
      </c>
      <c r="C959" s="449" t="s">
        <v>1741</v>
      </c>
      <c r="D959" s="447" t="s">
        <v>12</v>
      </c>
      <c r="E959" s="447" t="s">
        <v>26</v>
      </c>
      <c r="F959" s="450">
        <v>1909.49</v>
      </c>
      <c r="G959" s="450">
        <f t="shared" si="256"/>
        <v>9.7070000000000007</v>
      </c>
      <c r="H959" s="450">
        <f t="shared" ref="H959:H970" si="293">ROUND(G959*(1+$X$13),2)</f>
        <v>12.31</v>
      </c>
      <c r="I959" s="451">
        <f t="shared" ref="I959:I968" si="294">ROUND(H959*F959,2)</f>
        <v>23505.82</v>
      </c>
      <c r="J959" s="452"/>
      <c r="K959" s="452"/>
      <c r="L959" s="452"/>
      <c r="M959" s="452">
        <v>10.210000000000001</v>
      </c>
      <c r="N959" s="452">
        <v>12.95</v>
      </c>
      <c r="O959" s="452">
        <v>24727.9</v>
      </c>
      <c r="P959" s="493">
        <v>27.45</v>
      </c>
      <c r="Q959" s="451">
        <f>ROUND(P959*N959,2)</f>
        <v>355.48</v>
      </c>
      <c r="R959" s="452"/>
      <c r="S959" s="452">
        <f>ROUND(R959*N959,2)</f>
        <v>0</v>
      </c>
      <c r="T959" s="452">
        <f t="shared" si="248"/>
        <v>1936.94</v>
      </c>
      <c r="U959" s="452">
        <f t="shared" ref="U959:U1008" si="295">L959+Q959-S959+O959</f>
        <v>25083.38</v>
      </c>
      <c r="V959" s="453"/>
      <c r="W959" s="453"/>
      <c r="X959" s="39" t="e">
        <f>IF(B959&lt;&gt;0,VLOOKUP(B959,#REF!,4,FALSE),"")</f>
        <v>#REF!</v>
      </c>
      <c r="Y959" s="336" t="s">
        <v>3130</v>
      </c>
      <c r="Z959" s="39">
        <f t="shared" si="257"/>
        <v>-1.7129999999999992</v>
      </c>
      <c r="AA959" s="39">
        <f t="shared" si="254"/>
        <v>18535.419430000002</v>
      </c>
      <c r="AB959" s="39"/>
      <c r="AC959" s="39">
        <f t="shared" si="255"/>
        <v>23505.821900000003</v>
      </c>
      <c r="AD959" s="39" t="e">
        <f>IF(B959&lt;&gt;0,VLOOKUP(B959,#REF!,2,FALSE),"")</f>
        <v>#REF!</v>
      </c>
      <c r="AE959" s="38">
        <v>1909.49</v>
      </c>
      <c r="AF959" s="38">
        <f t="shared" si="268"/>
        <v>0</v>
      </c>
    </row>
    <row r="960" spans="1:32" s="38" customFormat="1" ht="30">
      <c r="A960" s="447" t="s">
        <v>1469</v>
      </c>
      <c r="B960" s="448">
        <v>88485</v>
      </c>
      <c r="C960" s="449" t="s">
        <v>1742</v>
      </c>
      <c r="D960" s="447" t="s">
        <v>12</v>
      </c>
      <c r="E960" s="447" t="s">
        <v>26</v>
      </c>
      <c r="F960" s="450">
        <v>1909.49</v>
      </c>
      <c r="G960" s="450">
        <f t="shared" si="256"/>
        <v>1.5215000000000001</v>
      </c>
      <c r="H960" s="450">
        <f t="shared" si="293"/>
        <v>1.93</v>
      </c>
      <c r="I960" s="451">
        <f t="shared" si="294"/>
        <v>3685.32</v>
      </c>
      <c r="J960" s="452"/>
      <c r="K960" s="452"/>
      <c r="L960" s="452"/>
      <c r="M960" s="452">
        <v>1.69</v>
      </c>
      <c r="N960" s="452">
        <v>2.14</v>
      </c>
      <c r="O960" s="452">
        <v>4086.31</v>
      </c>
      <c r="P960" s="493">
        <v>27.45</v>
      </c>
      <c r="Q960" s="451">
        <f t="shared" ref="Q960:Q968" si="296">ROUND(P960*N960,2)</f>
        <v>58.74</v>
      </c>
      <c r="R960" s="452"/>
      <c r="S960" s="452">
        <f t="shared" ref="S960:S968" si="297">ROUND(R960*N960,2)</f>
        <v>0</v>
      </c>
      <c r="T960" s="452">
        <f t="shared" si="248"/>
        <v>1936.94</v>
      </c>
      <c r="U960" s="452">
        <f t="shared" si="295"/>
        <v>4145.05</v>
      </c>
      <c r="V960" s="453"/>
      <c r="W960" s="453"/>
      <c r="X960" s="39" t="e">
        <f>IF(B960&lt;&gt;0,VLOOKUP(B960,#REF!,4,FALSE),"")</f>
        <v>#REF!</v>
      </c>
      <c r="Y960" s="336" t="s">
        <v>1842</v>
      </c>
      <c r="Z960" s="39">
        <f t="shared" si="257"/>
        <v>-0.26849999999999996</v>
      </c>
      <c r="AA960" s="39">
        <f t="shared" si="254"/>
        <v>2905.2890350000002</v>
      </c>
      <c r="AB960" s="39"/>
      <c r="AC960" s="39">
        <f t="shared" si="255"/>
        <v>3685.3157000000001</v>
      </c>
      <c r="AD960" s="39" t="e">
        <f>IF(B960&lt;&gt;0,VLOOKUP(B960,#REF!,2,FALSE),"")</f>
        <v>#REF!</v>
      </c>
      <c r="AE960" s="38">
        <v>354.51</v>
      </c>
      <c r="AF960" s="38">
        <f t="shared" si="268"/>
        <v>-1554.98</v>
      </c>
    </row>
    <row r="961" spans="1:32" s="38" customFormat="1" ht="30">
      <c r="A961" s="447" t="s">
        <v>1470</v>
      </c>
      <c r="B961" s="448">
        <v>95305</v>
      </c>
      <c r="C961" s="449" t="s">
        <v>2964</v>
      </c>
      <c r="D961" s="447" t="s">
        <v>12</v>
      </c>
      <c r="E961" s="447" t="s">
        <v>26</v>
      </c>
      <c r="F961" s="450">
        <v>354.51</v>
      </c>
      <c r="G961" s="450">
        <f t="shared" si="256"/>
        <v>9.35</v>
      </c>
      <c r="H961" s="450">
        <f t="shared" si="293"/>
        <v>11.86</v>
      </c>
      <c r="I961" s="451">
        <f t="shared" si="294"/>
        <v>4204.49</v>
      </c>
      <c r="J961" s="452"/>
      <c r="K961" s="452"/>
      <c r="L961" s="452"/>
      <c r="M961" s="452">
        <v>10.42</v>
      </c>
      <c r="N961" s="452">
        <v>13.21</v>
      </c>
      <c r="O961" s="452">
        <v>4683.08</v>
      </c>
      <c r="P961" s="493">
        <f>(1+0.2)*2*3.44*2</f>
        <v>16.512</v>
      </c>
      <c r="Q961" s="451">
        <f t="shared" si="296"/>
        <v>218.12</v>
      </c>
      <c r="R961" s="452"/>
      <c r="S961" s="452">
        <f t="shared" si="297"/>
        <v>0</v>
      </c>
      <c r="T961" s="452">
        <f t="shared" ref="T961:T1011" si="298">IF(F961&gt;0,F961+P961-R961," ")</f>
        <v>371.02199999999999</v>
      </c>
      <c r="U961" s="452">
        <f t="shared" si="295"/>
        <v>4901.2</v>
      </c>
      <c r="V961" s="453"/>
      <c r="W961" s="453"/>
      <c r="X961" s="39" t="e">
        <f>IF(B961&lt;&gt;0,VLOOKUP(B961,#REF!,4,FALSE),"")</f>
        <v>#REF!</v>
      </c>
      <c r="Y961" s="336" t="s">
        <v>1845</v>
      </c>
      <c r="Z961" s="39">
        <f t="shared" si="257"/>
        <v>-1.6500000000000004</v>
      </c>
      <c r="AA961" s="39">
        <f t="shared" si="254"/>
        <v>3314.6684999999998</v>
      </c>
      <c r="AB961" s="39"/>
      <c r="AC961" s="39">
        <f t="shared" si="255"/>
        <v>4204.4885999999997</v>
      </c>
      <c r="AD961" s="39" t="e">
        <f>IF(B961&lt;&gt;0,VLOOKUP(B961,#REF!,2,FALSE),"")</f>
        <v>#REF!</v>
      </c>
      <c r="AE961" s="38">
        <v>452.04</v>
      </c>
      <c r="AF961" s="38">
        <f t="shared" si="268"/>
        <v>97.53000000000003</v>
      </c>
    </row>
    <row r="962" spans="1:32" s="38" customFormat="1" ht="30">
      <c r="A962" s="447" t="s">
        <v>1471</v>
      </c>
      <c r="B962" s="448">
        <v>88489</v>
      </c>
      <c r="C962" s="449" t="s">
        <v>339</v>
      </c>
      <c r="D962" s="447" t="s">
        <v>12</v>
      </c>
      <c r="E962" s="447" t="s">
        <v>26</v>
      </c>
      <c r="F962" s="450">
        <v>452.04</v>
      </c>
      <c r="G962" s="450">
        <f t="shared" si="256"/>
        <v>9.0015000000000001</v>
      </c>
      <c r="H962" s="450">
        <f t="shared" si="293"/>
        <v>11.41</v>
      </c>
      <c r="I962" s="451">
        <f t="shared" si="294"/>
        <v>5157.78</v>
      </c>
      <c r="J962" s="452"/>
      <c r="K962" s="452"/>
      <c r="L962" s="452"/>
      <c r="M962" s="452">
        <v>10.029999999999999</v>
      </c>
      <c r="N962" s="452">
        <v>12.72</v>
      </c>
      <c r="O962" s="452">
        <v>5749.95</v>
      </c>
      <c r="P962" s="493">
        <v>27.45</v>
      </c>
      <c r="Q962" s="451">
        <f t="shared" si="296"/>
        <v>349.16</v>
      </c>
      <c r="R962" s="452"/>
      <c r="S962" s="452">
        <f t="shared" si="297"/>
        <v>0</v>
      </c>
      <c r="T962" s="452">
        <f t="shared" si="298"/>
        <v>479.49</v>
      </c>
      <c r="U962" s="452">
        <f t="shared" si="295"/>
        <v>6099.11</v>
      </c>
      <c r="V962" s="453"/>
      <c r="W962" s="453"/>
      <c r="X962" s="39" t="e">
        <f>IF(B962&lt;&gt;0,VLOOKUP(B962,#REF!,4,FALSE),"")</f>
        <v>#REF!</v>
      </c>
      <c r="Y962" s="336" t="s">
        <v>1912</v>
      </c>
      <c r="Z962" s="39">
        <f t="shared" si="257"/>
        <v>-1.5884999999999998</v>
      </c>
      <c r="AA962" s="39">
        <f t="shared" si="254"/>
        <v>4069.0380600000003</v>
      </c>
      <c r="AB962" s="39"/>
      <c r="AC962" s="39">
        <f t="shared" si="255"/>
        <v>5157.7764000000006</v>
      </c>
      <c r="AD962" s="39" t="e">
        <f>IF(B962&lt;&gt;0,VLOOKUP(B962,#REF!,2,FALSE),"")</f>
        <v>#REF!</v>
      </c>
      <c r="AE962" s="38">
        <v>174.81</v>
      </c>
      <c r="AF962" s="38">
        <f t="shared" si="268"/>
        <v>-277.23</v>
      </c>
    </row>
    <row r="963" spans="1:32" s="55" customFormat="1" ht="30">
      <c r="A963" s="21" t="s">
        <v>1472</v>
      </c>
      <c r="B963" s="20">
        <v>88489</v>
      </c>
      <c r="C963" s="19" t="s">
        <v>2965</v>
      </c>
      <c r="D963" s="21" t="s">
        <v>12</v>
      </c>
      <c r="E963" s="21" t="s">
        <v>26</v>
      </c>
      <c r="F963" s="22">
        <v>174.81</v>
      </c>
      <c r="G963" s="22">
        <f t="shared" si="256"/>
        <v>9.0015000000000001</v>
      </c>
      <c r="H963" s="22">
        <f t="shared" si="293"/>
        <v>11.41</v>
      </c>
      <c r="I963" s="147">
        <f t="shared" si="294"/>
        <v>1994.58</v>
      </c>
      <c r="J963" s="148"/>
      <c r="K963" s="148"/>
      <c r="L963" s="148"/>
      <c r="M963" s="148">
        <v>10.029999999999999</v>
      </c>
      <c r="N963" s="148">
        <v>12.72</v>
      </c>
      <c r="O963" s="148">
        <v>2223.58</v>
      </c>
      <c r="P963" s="494"/>
      <c r="Q963" s="147">
        <f t="shared" si="296"/>
        <v>0</v>
      </c>
      <c r="R963" s="148"/>
      <c r="S963" s="148">
        <f t="shared" si="297"/>
        <v>0</v>
      </c>
      <c r="T963" s="148">
        <f t="shared" si="298"/>
        <v>174.81</v>
      </c>
      <c r="U963" s="148">
        <f t="shared" si="295"/>
        <v>2223.58</v>
      </c>
      <c r="V963" s="379"/>
      <c r="W963" s="379"/>
      <c r="X963" s="58" t="e">
        <f>IF(B963&lt;&gt;0,VLOOKUP(B963,#REF!,4,FALSE),"")</f>
        <v>#REF!</v>
      </c>
      <c r="Y963" s="334" t="s">
        <v>1912</v>
      </c>
      <c r="Z963" s="58">
        <f t="shared" si="257"/>
        <v>-1.5884999999999998</v>
      </c>
      <c r="AA963" s="58">
        <f t="shared" si="254"/>
        <v>1573.5522149999999</v>
      </c>
      <c r="AB963" s="58"/>
      <c r="AC963" s="58">
        <f t="shared" si="255"/>
        <v>1994.5821000000001</v>
      </c>
      <c r="AD963" s="58" t="e">
        <f>IF(B963&lt;&gt;0,VLOOKUP(B963,#REF!,2,FALSE),"")</f>
        <v>#REF!</v>
      </c>
      <c r="AE963" s="55">
        <v>661.26</v>
      </c>
      <c r="AF963" s="55">
        <f t="shared" si="268"/>
        <v>486.45</v>
      </c>
    </row>
    <row r="964" spans="1:32" s="55" customFormat="1" ht="30">
      <c r="A964" s="21" t="s">
        <v>3444</v>
      </c>
      <c r="B964" s="20">
        <v>88484</v>
      </c>
      <c r="C964" s="19" t="s">
        <v>3445</v>
      </c>
      <c r="D964" s="21" t="s">
        <v>12</v>
      </c>
      <c r="E964" s="21" t="s">
        <v>26</v>
      </c>
      <c r="F964" s="22">
        <v>1075.3900000000001</v>
      </c>
      <c r="G964" s="22">
        <f t="shared" si="256"/>
        <v>1.768</v>
      </c>
      <c r="H964" s="22">
        <f t="shared" si="293"/>
        <v>2.2400000000000002</v>
      </c>
      <c r="I964" s="147">
        <f>ROUND(H964*F964,2)</f>
        <v>2408.87</v>
      </c>
      <c r="J964" s="148"/>
      <c r="K964" s="148"/>
      <c r="L964" s="148"/>
      <c r="M964" s="148">
        <v>1.97</v>
      </c>
      <c r="N964" s="148">
        <v>2.5</v>
      </c>
      <c r="O964" s="148">
        <v>2688.48</v>
      </c>
      <c r="P964" s="494"/>
      <c r="Q964" s="147">
        <f t="shared" si="296"/>
        <v>0</v>
      </c>
      <c r="R964" s="148"/>
      <c r="S964" s="148">
        <f t="shared" si="297"/>
        <v>0</v>
      </c>
      <c r="T964" s="148">
        <f t="shared" si="298"/>
        <v>1075.3900000000001</v>
      </c>
      <c r="U964" s="148">
        <f t="shared" si="295"/>
        <v>2688.48</v>
      </c>
      <c r="V964" s="379"/>
      <c r="W964" s="379"/>
      <c r="X964" s="58" t="e">
        <f>IF(B964&lt;&gt;0,VLOOKUP(B964,#REF!,4,FALSE),"")</f>
        <v>#REF!</v>
      </c>
      <c r="Y964" s="334" t="s">
        <v>3128</v>
      </c>
      <c r="Z964" s="58">
        <f t="shared" si="257"/>
        <v>-0.31200000000000006</v>
      </c>
      <c r="AA964" s="58">
        <f t="shared" si="254"/>
        <v>1901.2895200000003</v>
      </c>
      <c r="AB964" s="58"/>
      <c r="AC964" s="58">
        <f t="shared" si="255"/>
        <v>2408.8736000000004</v>
      </c>
      <c r="AD964" s="58" t="e">
        <f>IF(B964&lt;&gt;0,VLOOKUP(B964,#REF!,2,FALSE),"")</f>
        <v>#REF!</v>
      </c>
    </row>
    <row r="965" spans="1:32" s="55" customFormat="1" ht="30">
      <c r="A965" s="21" t="s">
        <v>3439</v>
      </c>
      <c r="B965" s="20">
        <v>88496</v>
      </c>
      <c r="C965" s="19" t="s">
        <v>3438</v>
      </c>
      <c r="D965" s="21" t="s">
        <v>12</v>
      </c>
      <c r="E965" s="21" t="s">
        <v>26</v>
      </c>
      <c r="F965" s="22">
        <v>1075.3900000000001</v>
      </c>
      <c r="G965" s="22">
        <f t="shared" si="256"/>
        <v>17.025500000000001</v>
      </c>
      <c r="H965" s="22">
        <f t="shared" si="293"/>
        <v>21.59</v>
      </c>
      <c r="I965" s="147">
        <f>ROUND(H965*F965,2)</f>
        <v>23217.67</v>
      </c>
      <c r="J965" s="148"/>
      <c r="K965" s="148"/>
      <c r="L965" s="148"/>
      <c r="M965" s="148">
        <v>18.97</v>
      </c>
      <c r="N965" s="148">
        <v>24.06</v>
      </c>
      <c r="O965" s="148">
        <v>25873.88</v>
      </c>
      <c r="P965" s="494"/>
      <c r="Q965" s="147">
        <f t="shared" si="296"/>
        <v>0</v>
      </c>
      <c r="R965" s="148"/>
      <c r="S965" s="148">
        <f t="shared" si="297"/>
        <v>0</v>
      </c>
      <c r="T965" s="148">
        <f t="shared" si="298"/>
        <v>1075.3900000000001</v>
      </c>
      <c r="U965" s="148">
        <f t="shared" si="295"/>
        <v>25873.88</v>
      </c>
      <c r="V965" s="379"/>
      <c r="W965" s="379"/>
      <c r="X965" s="58" t="e">
        <f>IF(B965&lt;&gt;0,VLOOKUP(B965,#REF!,4,FALSE),"")</f>
        <v>#REF!</v>
      </c>
      <c r="Y965" s="334" t="s">
        <v>3308</v>
      </c>
      <c r="Z965" s="58">
        <f t="shared" si="257"/>
        <v>-3.0045000000000002</v>
      </c>
      <c r="AA965" s="58">
        <f t="shared" si="254"/>
        <v>18309.052445000001</v>
      </c>
      <c r="AB965" s="58"/>
      <c r="AC965" s="58">
        <f t="shared" si="255"/>
        <v>23217.670100000003</v>
      </c>
      <c r="AD965" s="58" t="e">
        <f>IF(B965&lt;&gt;0,VLOOKUP(B965,#REF!,2,FALSE),"")</f>
        <v>#REF!</v>
      </c>
    </row>
    <row r="966" spans="1:32" s="55" customFormat="1" ht="30">
      <c r="A966" s="21" t="s">
        <v>3440</v>
      </c>
      <c r="B966" s="20">
        <v>88488</v>
      </c>
      <c r="C966" s="19" t="s">
        <v>3446</v>
      </c>
      <c r="D966" s="21" t="s">
        <v>12</v>
      </c>
      <c r="E966" s="21" t="s">
        <v>26</v>
      </c>
      <c r="F966" s="22">
        <v>1075.3900000000001</v>
      </c>
      <c r="G966" s="22">
        <f t="shared" si="256"/>
        <v>10.148999999999999</v>
      </c>
      <c r="H966" s="22">
        <f t="shared" si="293"/>
        <v>12.87</v>
      </c>
      <c r="I966" s="147">
        <f>ROUND(H966*F966,2)</f>
        <v>13840.27</v>
      </c>
      <c r="J966" s="148"/>
      <c r="K966" s="148"/>
      <c r="L966" s="148"/>
      <c r="M966" s="148">
        <v>18.37</v>
      </c>
      <c r="N966" s="148">
        <v>23.29</v>
      </c>
      <c r="O966" s="148">
        <v>25045.83</v>
      </c>
      <c r="P966" s="494"/>
      <c r="Q966" s="147">
        <f t="shared" si="296"/>
        <v>0</v>
      </c>
      <c r="R966" s="148"/>
      <c r="S966" s="148">
        <f t="shared" si="297"/>
        <v>0</v>
      </c>
      <c r="T966" s="148">
        <f t="shared" si="298"/>
        <v>1075.3900000000001</v>
      </c>
      <c r="U966" s="148">
        <f t="shared" si="295"/>
        <v>25045.83</v>
      </c>
      <c r="V966" s="379"/>
      <c r="W966" s="379"/>
      <c r="X966" s="58" t="e">
        <f>IF(B966&lt;&gt;0,VLOOKUP(B966,#REF!,4,FALSE),"")</f>
        <v>#REF!</v>
      </c>
      <c r="Y966" s="334" t="s">
        <v>1886</v>
      </c>
      <c r="Z966" s="58">
        <f t="shared" si="257"/>
        <v>-1.7910000000000004</v>
      </c>
      <c r="AA966" s="58">
        <f t="shared" si="254"/>
        <v>10914.133110000001</v>
      </c>
      <c r="AB966" s="58"/>
      <c r="AC966" s="58">
        <f t="shared" si="255"/>
        <v>13840.2693</v>
      </c>
      <c r="AD966" s="58" t="e">
        <f>IF(B966&lt;&gt;0,VLOOKUP(B966,#REF!,2,FALSE),"")</f>
        <v>#REF!</v>
      </c>
    </row>
    <row r="967" spans="1:32" s="55" customFormat="1" ht="32.25" customHeight="1">
      <c r="A967" s="21" t="s">
        <v>3441</v>
      </c>
      <c r="B967" s="20">
        <v>88489</v>
      </c>
      <c r="C967" s="19" t="s">
        <v>2966</v>
      </c>
      <c r="D967" s="21" t="s">
        <v>12</v>
      </c>
      <c r="E967" s="21" t="s">
        <v>26</v>
      </c>
      <c r="F967" s="22">
        <v>661.26</v>
      </c>
      <c r="G967" s="22">
        <f t="shared" si="256"/>
        <v>9.0015000000000001</v>
      </c>
      <c r="H967" s="22">
        <f t="shared" si="293"/>
        <v>11.41</v>
      </c>
      <c r="I967" s="147">
        <f t="shared" si="294"/>
        <v>7544.98</v>
      </c>
      <c r="J967" s="148"/>
      <c r="K967" s="148"/>
      <c r="L967" s="148"/>
      <c r="M967" s="148">
        <v>10.029999999999999</v>
      </c>
      <c r="N967" s="148">
        <v>12.72</v>
      </c>
      <c r="O967" s="148">
        <v>8411.23</v>
      </c>
      <c r="P967" s="494"/>
      <c r="Q967" s="147">
        <f t="shared" si="296"/>
        <v>0</v>
      </c>
      <c r="R967" s="148"/>
      <c r="S967" s="148">
        <f t="shared" si="297"/>
        <v>0</v>
      </c>
      <c r="T967" s="148">
        <f t="shared" si="298"/>
        <v>661.26</v>
      </c>
      <c r="U967" s="148">
        <f t="shared" si="295"/>
        <v>8411.23</v>
      </c>
      <c r="V967" s="379"/>
      <c r="W967" s="379"/>
      <c r="X967" s="58" t="e">
        <f>IF(B967&lt;&gt;0,VLOOKUP(B967,#REF!,4,FALSE),"")</f>
        <v>#REF!</v>
      </c>
      <c r="Y967" s="334" t="s">
        <v>1912</v>
      </c>
      <c r="Z967" s="58">
        <f t="shared" si="257"/>
        <v>-1.5884999999999998</v>
      </c>
      <c r="AA967" s="58">
        <f t="shared" si="254"/>
        <v>5952.3318900000004</v>
      </c>
      <c r="AB967" s="58"/>
      <c r="AC967" s="58">
        <f t="shared" si="255"/>
        <v>7544.9766</v>
      </c>
      <c r="AD967" s="58" t="e">
        <f>IF(B967&lt;&gt;0,VLOOKUP(B967,#REF!,2,FALSE),"")</f>
        <v>#REF!</v>
      </c>
      <c r="AE967" s="55">
        <v>266.87</v>
      </c>
      <c r="AF967" s="55">
        <f t="shared" ref="AF967:AF1007" si="299">AE967-F967</f>
        <v>-394.39</v>
      </c>
    </row>
    <row r="968" spans="1:32" s="55" customFormat="1" ht="30">
      <c r="A968" s="21" t="s">
        <v>3442</v>
      </c>
      <c r="B968" s="20">
        <v>95305</v>
      </c>
      <c r="C968" s="19" t="s">
        <v>2967</v>
      </c>
      <c r="D968" s="21" t="s">
        <v>12</v>
      </c>
      <c r="E968" s="21" t="s">
        <v>26</v>
      </c>
      <c r="F968" s="22">
        <v>266.87</v>
      </c>
      <c r="G968" s="22">
        <f t="shared" si="256"/>
        <v>9.35</v>
      </c>
      <c r="H968" s="22">
        <f t="shared" si="293"/>
        <v>11.86</v>
      </c>
      <c r="I968" s="147">
        <f t="shared" si="294"/>
        <v>3165.08</v>
      </c>
      <c r="J968" s="148"/>
      <c r="K968" s="148"/>
      <c r="L968" s="148"/>
      <c r="M968" s="148">
        <v>10.42</v>
      </c>
      <c r="N968" s="148">
        <v>13.21</v>
      </c>
      <c r="O968" s="148">
        <v>3525.35</v>
      </c>
      <c r="P968" s="494"/>
      <c r="Q968" s="147">
        <f t="shared" si="296"/>
        <v>0</v>
      </c>
      <c r="R968" s="148"/>
      <c r="S968" s="148">
        <f t="shared" si="297"/>
        <v>0</v>
      </c>
      <c r="T968" s="148">
        <f t="shared" si="298"/>
        <v>266.87</v>
      </c>
      <c r="U968" s="148">
        <f t="shared" si="295"/>
        <v>3525.35</v>
      </c>
      <c r="V968" s="379"/>
      <c r="W968" s="379"/>
      <c r="X968" s="58" t="e">
        <f>IF(B968&lt;&gt;0,VLOOKUP(B968,#REF!,4,FALSE),"")</f>
        <v>#REF!</v>
      </c>
      <c r="Y968" s="334" t="s">
        <v>1845</v>
      </c>
      <c r="Z968" s="58">
        <f t="shared" si="257"/>
        <v>-1.6500000000000004</v>
      </c>
      <c r="AA968" s="58">
        <f t="shared" si="254"/>
        <v>2495.2345</v>
      </c>
      <c r="AB968" s="58"/>
      <c r="AC968" s="58">
        <f t="shared" si="255"/>
        <v>3165.0781999999999</v>
      </c>
      <c r="AD968" s="58" t="e">
        <f>IF(B968&lt;&gt;0,VLOOKUP(B968,#REF!,2,FALSE),"")</f>
        <v>#REF!</v>
      </c>
      <c r="AF968" s="55">
        <f t="shared" si="299"/>
        <v>-266.87</v>
      </c>
    </row>
    <row r="969" spans="1:32" s="38" customFormat="1" ht="30">
      <c r="A969" s="447" t="s">
        <v>3443</v>
      </c>
      <c r="B969" s="448">
        <v>100751</v>
      </c>
      <c r="C969" s="449" t="s">
        <v>3795</v>
      </c>
      <c r="D969" s="447" t="s">
        <v>12</v>
      </c>
      <c r="E969" s="447" t="s">
        <v>26</v>
      </c>
      <c r="F969" s="450"/>
      <c r="G969" s="450">
        <f>(W969-(W969*$Z$14))*'PLANILHA ORÇA - CORREGEDORIA'!$S$16</f>
        <v>27.20464126854738</v>
      </c>
      <c r="H969" s="450">
        <f>ROUND(G969*(1+$X$13),2)</f>
        <v>34.5</v>
      </c>
      <c r="I969" s="451"/>
      <c r="J969" s="452"/>
      <c r="K969" s="452"/>
      <c r="L969" s="452"/>
      <c r="M969" s="452"/>
      <c r="N969" s="452"/>
      <c r="O969" s="452"/>
      <c r="P969" s="510">
        <v>42.78</v>
      </c>
      <c r="Q969" s="451">
        <f>ROUND(P969*H969,2)</f>
        <v>1475.91</v>
      </c>
      <c r="R969" s="452"/>
      <c r="S969" s="452"/>
      <c r="T969" s="452">
        <f>P969</f>
        <v>42.78</v>
      </c>
      <c r="U969" s="452">
        <f t="shared" si="295"/>
        <v>1475.91</v>
      </c>
      <c r="V969" s="453"/>
      <c r="W969" s="453">
        <v>28.73</v>
      </c>
      <c r="X969" s="39"/>
      <c r="Y969" s="336"/>
      <c r="Z969" s="39"/>
      <c r="AA969" s="39"/>
      <c r="AB969" s="39"/>
      <c r="AC969" s="39"/>
      <c r="AD969" s="39"/>
    </row>
    <row r="970" spans="1:32" s="38" customFormat="1">
      <c r="A970" s="447" t="s">
        <v>3794</v>
      </c>
      <c r="B970" s="448">
        <v>102491</v>
      </c>
      <c r="C970" s="449" t="s">
        <v>3788</v>
      </c>
      <c r="D970" s="447" t="s">
        <v>12</v>
      </c>
      <c r="E970" s="447" t="s">
        <v>26</v>
      </c>
      <c r="F970" s="450"/>
      <c r="G970" s="450">
        <f>(W970-(W970*$Z$14))*'PLANILHA ORÇA - CORREGEDORIA'!$S$16</f>
        <v>12.300323358107569</v>
      </c>
      <c r="H970" s="450">
        <f t="shared" si="293"/>
        <v>15.6</v>
      </c>
      <c r="I970" s="451"/>
      <c r="J970" s="452"/>
      <c r="K970" s="452"/>
      <c r="L970" s="452"/>
      <c r="M970" s="452"/>
      <c r="N970" s="452"/>
      <c r="O970" s="452"/>
      <c r="P970" s="493">
        <v>48.06</v>
      </c>
      <c r="Q970" s="451">
        <f>ROUND(P970*H970,2)</f>
        <v>749.74</v>
      </c>
      <c r="R970" s="452"/>
      <c r="S970" s="452"/>
      <c r="T970" s="452">
        <f>P970</f>
        <v>48.06</v>
      </c>
      <c r="U970" s="452">
        <f t="shared" si="295"/>
        <v>749.74</v>
      </c>
      <c r="V970" s="453"/>
      <c r="W970" s="453">
        <v>12.99</v>
      </c>
      <c r="X970" s="39"/>
      <c r="Y970" s="336"/>
      <c r="Z970" s="39"/>
      <c r="AA970" s="39"/>
      <c r="AB970" s="39"/>
      <c r="AC970" s="39"/>
      <c r="AD970" s="39"/>
    </row>
    <row r="971" spans="1:32" s="55" customFormat="1" ht="15" customHeight="1">
      <c r="A971" s="21"/>
      <c r="B971" s="20"/>
      <c r="C971" s="19"/>
      <c r="D971" s="21"/>
      <c r="E971" s="21"/>
      <c r="F971" s="22"/>
      <c r="G971" s="22"/>
      <c r="H971" s="22"/>
      <c r="I971" s="147"/>
      <c r="J971" s="148"/>
      <c r="K971" s="148"/>
      <c r="L971" s="148"/>
      <c r="M971" s="148"/>
      <c r="N971" s="148"/>
      <c r="O971" s="148"/>
      <c r="P971" s="494"/>
      <c r="Q971" s="147"/>
      <c r="R971" s="148"/>
      <c r="S971" s="148"/>
      <c r="T971" s="148" t="str">
        <f t="shared" si="298"/>
        <v xml:space="preserve"> </v>
      </c>
      <c r="U971" s="148"/>
      <c r="V971" s="379"/>
      <c r="W971" s="379"/>
      <c r="X971" s="58" t="str">
        <f>IF(B971&lt;&gt;0,VLOOKUP(B971,#REF!,4,FALSE),"")</f>
        <v/>
      </c>
      <c r="Y971" s="334" t="s">
        <v>1891</v>
      </c>
      <c r="Z971" s="58"/>
      <c r="AA971" s="58">
        <f t="shared" si="254"/>
        <v>0</v>
      </c>
      <c r="AB971" s="58"/>
      <c r="AC971" s="58">
        <f t="shared" si="255"/>
        <v>0</v>
      </c>
      <c r="AD971" s="58" t="str">
        <f>IF(B971&lt;&gt;0,VLOOKUP(B971,#REF!,2,FALSE),"")</f>
        <v/>
      </c>
      <c r="AF971" s="55">
        <f t="shared" si="299"/>
        <v>0</v>
      </c>
    </row>
    <row r="972" spans="1:32" s="55" customFormat="1">
      <c r="A972" s="69" t="s">
        <v>1474</v>
      </c>
      <c r="B972" s="129"/>
      <c r="C972" s="229" t="s">
        <v>344</v>
      </c>
      <c r="D972" s="230"/>
      <c r="E972" s="230"/>
      <c r="F972" s="230"/>
      <c r="G972" s="22"/>
      <c r="H972" s="230"/>
      <c r="I972" s="445">
        <f>ROUND(SUM(I973:I975),2)</f>
        <v>40150.32</v>
      </c>
      <c r="J972" s="440"/>
      <c r="K972" s="440"/>
      <c r="L972" s="440">
        <v>19668.009999999998</v>
      </c>
      <c r="M972" s="440"/>
      <c r="N972" s="440"/>
      <c r="O972" s="440">
        <v>30350.21</v>
      </c>
      <c r="P972" s="492"/>
      <c r="Q972" s="445">
        <f>ROUND(SUM(Q973:Q975),2)</f>
        <v>0</v>
      </c>
      <c r="R972" s="440"/>
      <c r="S972" s="440">
        <f>ROUND(SUM(S973:S975),2)</f>
        <v>0</v>
      </c>
      <c r="T972" s="148" t="str">
        <f t="shared" si="298"/>
        <v xml:space="preserve"> </v>
      </c>
      <c r="U972" s="440">
        <f t="shared" si="295"/>
        <v>50018.22</v>
      </c>
      <c r="V972" s="330"/>
      <c r="W972" s="330"/>
      <c r="X972" s="58" t="str">
        <f>IF(B972&lt;&gt;0,VLOOKUP(B972,#REF!,4,FALSE),"")</f>
        <v/>
      </c>
      <c r="Y972" s="334" t="s">
        <v>1891</v>
      </c>
      <c r="Z972" s="58"/>
      <c r="AA972" s="58">
        <f t="shared" ref="AA972:AA1008" si="300">F972*G972</f>
        <v>0</v>
      </c>
      <c r="AB972" s="58"/>
      <c r="AC972" s="58">
        <f t="shared" ref="AC972:AC1008" si="301">F972*H972</f>
        <v>0</v>
      </c>
      <c r="AD972" s="58" t="str">
        <f>IF(B972&lt;&gt;0,VLOOKUP(B972,#REF!,2,FALSE),"")</f>
        <v/>
      </c>
      <c r="AE972" s="55">
        <v>449.98099999999999</v>
      </c>
      <c r="AF972" s="55">
        <f t="shared" si="299"/>
        <v>449.98099999999999</v>
      </c>
    </row>
    <row r="973" spans="1:32" s="267" customFormat="1" ht="45">
      <c r="A973" s="21" t="s">
        <v>1475</v>
      </c>
      <c r="B973" s="20" t="s">
        <v>2074</v>
      </c>
      <c r="C973" s="19" t="s">
        <v>345</v>
      </c>
      <c r="D973" s="21" t="s">
        <v>1914</v>
      </c>
      <c r="E973" s="21" t="s">
        <v>26</v>
      </c>
      <c r="F973" s="22">
        <v>257.95</v>
      </c>
      <c r="G973" s="22">
        <f t="shared" ref="G973:G1008" si="302">Y973-(Y973*$Z$14)</f>
        <v>8.4489999999999998</v>
      </c>
      <c r="H973" s="22">
        <f>ROUND(G973*(1+$X$13),2)</f>
        <v>10.71</v>
      </c>
      <c r="I973" s="147">
        <f>ROUND(H973*F973,2)</f>
        <v>2762.64</v>
      </c>
      <c r="J973" s="148">
        <v>8.4489999999999998</v>
      </c>
      <c r="K973" s="148">
        <v>10.71</v>
      </c>
      <c r="L973" s="148">
        <v>2762.64</v>
      </c>
      <c r="M973" s="148"/>
      <c r="N973" s="148"/>
      <c r="O973" s="148"/>
      <c r="P973" s="494"/>
      <c r="Q973" s="147">
        <f>ROUND(P973*H973,2)</f>
        <v>0</v>
      </c>
      <c r="R973" s="148"/>
      <c r="S973" s="148">
        <f>ROUND(R973*P973,2)</f>
        <v>0</v>
      </c>
      <c r="T973" s="148">
        <f t="shared" si="298"/>
        <v>257.95</v>
      </c>
      <c r="U973" s="148">
        <f t="shared" si="295"/>
        <v>2762.64</v>
      </c>
      <c r="V973" s="379"/>
      <c r="W973" s="379"/>
      <c r="X973" s="268">
        <f>'COMPOSIÇÃO DE CUSTOS'!G1710</f>
        <v>8.4499999999999993</v>
      </c>
      <c r="Y973" s="335">
        <v>9.94</v>
      </c>
      <c r="Z973" s="58">
        <f t="shared" ref="Z973:Z1011" si="303">G973-Y973</f>
        <v>-1.4909999999999997</v>
      </c>
      <c r="AA973" s="58">
        <f t="shared" si="300"/>
        <v>2179.4195500000001</v>
      </c>
      <c r="AB973" s="58"/>
      <c r="AC973" s="58">
        <f t="shared" si="301"/>
        <v>2762.6444999999999</v>
      </c>
      <c r="AD973" s="269" t="e">
        <f>IF(B973&lt;&gt;0,VLOOKUP(B973,#REF!,2,FALSE),"")</f>
        <v>#REF!</v>
      </c>
      <c r="AE973" s="267">
        <v>419.8005</v>
      </c>
      <c r="AF973" s="267">
        <f t="shared" si="299"/>
        <v>161.85050000000001</v>
      </c>
    </row>
    <row r="974" spans="1:32" s="55" customFormat="1" ht="60">
      <c r="A974" s="21" t="s">
        <v>1476</v>
      </c>
      <c r="B974" s="20">
        <v>5968</v>
      </c>
      <c r="C974" s="19" t="s">
        <v>346</v>
      </c>
      <c r="D974" s="21" t="s">
        <v>1914</v>
      </c>
      <c r="E974" s="21" t="s">
        <v>26</v>
      </c>
      <c r="F974" s="22">
        <v>419.8005</v>
      </c>
      <c r="G974" s="22">
        <f t="shared" si="302"/>
        <v>31.756</v>
      </c>
      <c r="H974" s="22">
        <f>ROUND(G974*(1+$X$13),2)</f>
        <v>40.270000000000003</v>
      </c>
      <c r="I974" s="147">
        <f>ROUND(H974*F974,2)</f>
        <v>16905.37</v>
      </c>
      <c r="J974" s="148">
        <v>31.756</v>
      </c>
      <c r="K974" s="148">
        <v>40.270000000000003</v>
      </c>
      <c r="L974" s="148">
        <v>16905.37</v>
      </c>
      <c r="M974" s="148">
        <v>35.380000000000003</v>
      </c>
      <c r="N974" s="148">
        <v>44.87</v>
      </c>
      <c r="O974" s="148">
        <v>7534.58</v>
      </c>
      <c r="P974" s="494"/>
      <c r="Q974" s="147">
        <f>ROUND(P974*N974,2)</f>
        <v>0</v>
      </c>
      <c r="R974" s="148"/>
      <c r="S974" s="148">
        <f>ROUND(R974*N974,2)</f>
        <v>0</v>
      </c>
      <c r="T974" s="148">
        <f t="shared" si="298"/>
        <v>419.8005</v>
      </c>
      <c r="U974" s="148">
        <f t="shared" si="295"/>
        <v>24439.949999999997</v>
      </c>
      <c r="V974" s="379"/>
      <c r="W974" s="379"/>
      <c r="X974" s="57">
        <f>'COMPOSIÇÃO DE CUSTOS'!G1718</f>
        <v>31.76</v>
      </c>
      <c r="Y974" s="334">
        <v>37.36</v>
      </c>
      <c r="Z974" s="58">
        <f t="shared" si="303"/>
        <v>-5.6039999999999992</v>
      </c>
      <c r="AA974" s="58">
        <f t="shared" si="300"/>
        <v>13331.184678</v>
      </c>
      <c r="AB974" s="58"/>
      <c r="AC974" s="58">
        <f t="shared" si="301"/>
        <v>16905.366135</v>
      </c>
      <c r="AD974" s="58" t="e">
        <f>IF(B974&lt;&gt;0,VLOOKUP(B974,#REF!,2,FALSE),"")</f>
        <v>#REF!</v>
      </c>
      <c r="AE974" s="55">
        <v>212.12</v>
      </c>
      <c r="AF974" s="55">
        <f t="shared" si="299"/>
        <v>-207.68049999999999</v>
      </c>
    </row>
    <row r="975" spans="1:32" s="55" customFormat="1" ht="75">
      <c r="A975" s="21" t="s">
        <v>1477</v>
      </c>
      <c r="B975" s="20" t="s">
        <v>2075</v>
      </c>
      <c r="C975" s="19" t="s">
        <v>347</v>
      </c>
      <c r="D975" s="21" t="s">
        <v>1914</v>
      </c>
      <c r="E975" s="21" t="s">
        <v>26</v>
      </c>
      <c r="F975" s="22">
        <v>212.12</v>
      </c>
      <c r="G975" s="22">
        <f t="shared" si="302"/>
        <v>76.143000000000001</v>
      </c>
      <c r="H975" s="22">
        <f>ROUND(G975*(1+$X$13),2)</f>
        <v>96.56</v>
      </c>
      <c r="I975" s="147">
        <f>ROUND(H975*F975,2)</f>
        <v>20482.310000000001</v>
      </c>
      <c r="J975" s="148"/>
      <c r="K975" s="148"/>
      <c r="L975" s="148"/>
      <c r="M975" s="148">
        <v>84.82</v>
      </c>
      <c r="N975" s="148">
        <v>107.56</v>
      </c>
      <c r="O975" s="148">
        <v>22815.63</v>
      </c>
      <c r="P975" s="494"/>
      <c r="Q975" s="147">
        <f>ROUND(P975*N975,2)</f>
        <v>0</v>
      </c>
      <c r="R975" s="148"/>
      <c r="S975" s="148">
        <f>ROUND(R975*N975,2)</f>
        <v>0</v>
      </c>
      <c r="T975" s="148">
        <f t="shared" si="298"/>
        <v>212.12</v>
      </c>
      <c r="U975" s="148">
        <f t="shared" si="295"/>
        <v>22815.63</v>
      </c>
      <c r="V975" s="379"/>
      <c r="W975" s="379"/>
      <c r="X975" s="57">
        <f>'COMPOSIÇÃO DE CUSTOS'!G1726</f>
        <v>76.14</v>
      </c>
      <c r="Y975" s="334">
        <v>89.58</v>
      </c>
      <c r="Z975" s="58">
        <f t="shared" si="303"/>
        <v>-13.436999999999998</v>
      </c>
      <c r="AA975" s="58">
        <f t="shared" si="300"/>
        <v>16151.453160000001</v>
      </c>
      <c r="AB975" s="58"/>
      <c r="AC975" s="58">
        <f t="shared" si="301"/>
        <v>20482.307199999999</v>
      </c>
      <c r="AD975" s="58" t="e">
        <f>IF(B975&lt;&gt;0,VLOOKUP(B975,#REF!,2,FALSE),"")</f>
        <v>#REF!</v>
      </c>
      <c r="AF975" s="55">
        <f t="shared" si="299"/>
        <v>-212.12</v>
      </c>
    </row>
    <row r="976" spans="1:32" s="55" customFormat="1">
      <c r="A976" s="21"/>
      <c r="B976" s="20"/>
      <c r="C976" s="19"/>
      <c r="D976" s="21"/>
      <c r="E976" s="21"/>
      <c r="F976" s="22"/>
      <c r="G976" s="22"/>
      <c r="H976" s="22"/>
      <c r="I976" s="147"/>
      <c r="J976" s="148"/>
      <c r="K976" s="148"/>
      <c r="L976" s="148"/>
      <c r="M976" s="148"/>
      <c r="N976" s="148"/>
      <c r="O976" s="148"/>
      <c r="P976" s="494"/>
      <c r="Q976" s="147"/>
      <c r="R976" s="148"/>
      <c r="S976" s="148"/>
      <c r="T976" s="148" t="str">
        <f t="shared" si="298"/>
        <v xml:space="preserve"> </v>
      </c>
      <c r="U976" s="148"/>
      <c r="V976" s="379"/>
      <c r="W976" s="379"/>
      <c r="X976" s="58" t="str">
        <f>IF(B976&lt;&gt;0,VLOOKUP(B976,#REF!,4,FALSE),"")</f>
        <v/>
      </c>
      <c r="Y976" s="334" t="s">
        <v>1891</v>
      </c>
      <c r="Z976" s="58"/>
      <c r="AA976" s="58">
        <f t="shared" si="300"/>
        <v>0</v>
      </c>
      <c r="AB976" s="58"/>
      <c r="AC976" s="58">
        <f t="shared" si="301"/>
        <v>0</v>
      </c>
      <c r="AD976" s="58" t="str">
        <f>IF(B976&lt;&gt;0,VLOOKUP(B976,#REF!,2,FALSE),"")</f>
        <v/>
      </c>
      <c r="AF976" s="55">
        <f t="shared" si="299"/>
        <v>0</v>
      </c>
    </row>
    <row r="977" spans="1:33" s="55" customFormat="1">
      <c r="A977" s="69" t="s">
        <v>1478</v>
      </c>
      <c r="B977" s="129"/>
      <c r="C977" s="229" t="s">
        <v>348</v>
      </c>
      <c r="D977" s="230"/>
      <c r="E977" s="230"/>
      <c r="F977" s="230"/>
      <c r="G977" s="22"/>
      <c r="H977" s="230"/>
      <c r="I977" s="445">
        <f>ROUND(SUM(I978:I979),2)</f>
        <v>45669.48</v>
      </c>
      <c r="J977" s="440"/>
      <c r="K977" s="440"/>
      <c r="L977" s="440"/>
      <c r="M977" s="440"/>
      <c r="N977" s="440"/>
      <c r="O977" s="440">
        <v>53333.23</v>
      </c>
      <c r="P977" s="492"/>
      <c r="Q977" s="445">
        <f>ROUND(SUM(Q978:Q980),2)</f>
        <v>33678.14</v>
      </c>
      <c r="R977" s="440"/>
      <c r="S977" s="440">
        <f>ROUND(SUM(S978:S979),2)</f>
        <v>41161.24</v>
      </c>
      <c r="T977" s="148" t="str">
        <f t="shared" si="298"/>
        <v xml:space="preserve"> </v>
      </c>
      <c r="U977" s="440">
        <f t="shared" si="295"/>
        <v>45850.130000000005</v>
      </c>
      <c r="V977" s="330"/>
      <c r="W977" s="330"/>
      <c r="X977" s="58" t="str">
        <f>IF(B977&lt;&gt;0,VLOOKUP(B977,#REF!,4,FALSE),"")</f>
        <v/>
      </c>
      <c r="Y977" s="334" t="s">
        <v>1891</v>
      </c>
      <c r="Z977" s="58"/>
      <c r="AA977" s="58">
        <f t="shared" si="300"/>
        <v>0</v>
      </c>
      <c r="AB977" s="58"/>
      <c r="AC977" s="58">
        <f t="shared" si="301"/>
        <v>0</v>
      </c>
      <c r="AD977" s="58" t="str">
        <f>IF(B977&lt;&gt;0,VLOOKUP(B977,#REF!,2,FALSE),"")</f>
        <v/>
      </c>
      <c r="AE977" s="55">
        <v>47.610499999999995</v>
      </c>
      <c r="AF977" s="55">
        <f t="shared" si="299"/>
        <v>47.610499999999995</v>
      </c>
    </row>
    <row r="978" spans="1:33" s="38" customFormat="1" ht="45" customHeight="1">
      <c r="A978" s="447" t="s">
        <v>1479</v>
      </c>
      <c r="B978" s="448">
        <v>4264</v>
      </c>
      <c r="C978" s="449" t="s">
        <v>349</v>
      </c>
      <c r="D978" s="447" t="s">
        <v>44</v>
      </c>
      <c r="E978" s="447" t="s">
        <v>52</v>
      </c>
      <c r="F978" s="450">
        <v>47.610500000000002</v>
      </c>
      <c r="G978" s="450">
        <f t="shared" si="302"/>
        <v>75.335499999999996</v>
      </c>
      <c r="H978" s="450">
        <f>ROUND(G978*(1+$X$13),2)</f>
        <v>95.53</v>
      </c>
      <c r="I978" s="451">
        <f>ROUND(H978*F978,2)</f>
        <v>4548.2299999999996</v>
      </c>
      <c r="J978" s="452"/>
      <c r="K978" s="452"/>
      <c r="L978" s="452"/>
      <c r="M978" s="452">
        <v>83.92</v>
      </c>
      <c r="N978" s="452">
        <v>106.42</v>
      </c>
      <c r="O978" s="452">
        <v>5066.71</v>
      </c>
      <c r="P978" s="493"/>
      <c r="Q978" s="451">
        <f>ROUND(P978*H978,2)</f>
        <v>0</v>
      </c>
      <c r="R978" s="452">
        <f>F978-30</f>
        <v>17.610500000000002</v>
      </c>
      <c r="S978" s="452">
        <f>ROUND(N978*R978,2)</f>
        <v>1874.11</v>
      </c>
      <c r="T978" s="452">
        <f t="shared" si="298"/>
        <v>30</v>
      </c>
      <c r="U978" s="452">
        <f t="shared" si="295"/>
        <v>3192.6000000000004</v>
      </c>
      <c r="V978" s="453"/>
      <c r="W978" s="453"/>
      <c r="X978" s="42">
        <f>'COMPOSIÇÃO DE CUSTOS'!G2113</f>
        <v>75.33</v>
      </c>
      <c r="Y978" s="336">
        <v>88.63</v>
      </c>
      <c r="Z978" s="39">
        <f t="shared" si="303"/>
        <v>-13.294499999999999</v>
      </c>
      <c r="AA978" s="39">
        <f t="shared" si="300"/>
        <v>3586.76082275</v>
      </c>
      <c r="AB978" s="39"/>
      <c r="AC978" s="39">
        <f t="shared" si="301"/>
        <v>4548.2310649999999</v>
      </c>
      <c r="AD978" s="39" t="e">
        <f>IF(B978&lt;&gt;0,VLOOKUP(B978,#REF!,2,FALSE),"")</f>
        <v>#REF!</v>
      </c>
      <c r="AE978" s="38">
        <v>52.14</v>
      </c>
      <c r="AF978" s="38">
        <f t="shared" si="299"/>
        <v>4.5294999999999987</v>
      </c>
    </row>
    <row r="979" spans="1:33" s="38" customFormat="1" ht="60">
      <c r="A979" s="447" t="s">
        <v>1480</v>
      </c>
      <c r="B979" s="448">
        <v>7967</v>
      </c>
      <c r="C979" s="449" t="s">
        <v>350</v>
      </c>
      <c r="D979" s="447" t="s">
        <v>44</v>
      </c>
      <c r="E979" s="447" t="s">
        <v>52</v>
      </c>
      <c r="F979" s="450">
        <v>52.14</v>
      </c>
      <c r="G979" s="450">
        <f t="shared" si="302"/>
        <v>621.928</v>
      </c>
      <c r="H979" s="450">
        <f>ROUND(G979*(1+$X$13),2)</f>
        <v>788.67</v>
      </c>
      <c r="I979" s="451">
        <f>ROUND(H979*F979,2)</f>
        <v>41121.25</v>
      </c>
      <c r="J979" s="452"/>
      <c r="K979" s="452"/>
      <c r="L979" s="452"/>
      <c r="M979" s="452">
        <v>730</v>
      </c>
      <c r="N979" s="452">
        <v>925.71</v>
      </c>
      <c r="O979" s="452">
        <v>48266.52</v>
      </c>
      <c r="P979" s="493"/>
      <c r="Q979" s="451">
        <f>ROUND(P979*H979,2)</f>
        <v>0</v>
      </c>
      <c r="R979" s="452">
        <f>F979-W979</f>
        <v>42.44</v>
      </c>
      <c r="S979" s="452">
        <f>ROUND(N979*R979,2)</f>
        <v>39287.129999999997</v>
      </c>
      <c r="T979" s="452">
        <f t="shared" si="298"/>
        <v>9.7000000000000028</v>
      </c>
      <c r="U979" s="452">
        <f t="shared" si="295"/>
        <v>8979.39</v>
      </c>
      <c r="V979" s="453"/>
      <c r="W979" s="453">
        <f>2+3.5+2.1+2.1</f>
        <v>9.6999999999999993</v>
      </c>
      <c r="X979" s="42">
        <f>'COMPOSIÇÃO DE CUSTOS'!G2105</f>
        <v>621.92999999999995</v>
      </c>
      <c r="Y979" s="336">
        <v>731.68</v>
      </c>
      <c r="Z979" s="39">
        <f t="shared" si="303"/>
        <v>-109.75199999999995</v>
      </c>
      <c r="AA979" s="39">
        <f t="shared" si="300"/>
        <v>32427.325919999999</v>
      </c>
      <c r="AB979" s="39"/>
      <c r="AC979" s="39">
        <f t="shared" si="301"/>
        <v>41121.253799999999</v>
      </c>
      <c r="AD979" s="39" t="e">
        <f>IF(B979&lt;&gt;0,VLOOKUP(B979,#REF!,2,FALSE),"")</f>
        <v>#REF!</v>
      </c>
      <c r="AF979" s="38">
        <f t="shared" si="299"/>
        <v>-52.14</v>
      </c>
    </row>
    <row r="980" spans="1:33" s="38" customFormat="1" ht="78.75" customHeight="1">
      <c r="A980" s="558" t="s">
        <v>3814</v>
      </c>
      <c r="B980" s="557">
        <v>12385</v>
      </c>
      <c r="C980" s="556" t="s">
        <v>3821</v>
      </c>
      <c r="D980" s="558" t="s">
        <v>44</v>
      </c>
      <c r="E980" s="558" t="s">
        <v>52</v>
      </c>
      <c r="F980" s="559"/>
      <c r="G980" s="559">
        <f>(W980-(W980*$Z$14))*'PLANILHA ORÇA - CORREGEDORIA'!$S$16</f>
        <v>1079.587734183649</v>
      </c>
      <c r="H980" s="559">
        <f>ROUND(G980*(1+$X$13),2)</f>
        <v>1369.03</v>
      </c>
      <c r="I980" s="560"/>
      <c r="J980" s="561"/>
      <c r="K980" s="561"/>
      <c r="L980" s="561"/>
      <c r="M980" s="561"/>
      <c r="N980" s="561"/>
      <c r="O980" s="561"/>
      <c r="P980" s="562">
        <f>4.1*6</f>
        <v>24.599999999999998</v>
      </c>
      <c r="Q980" s="560">
        <f>ROUND(P980*H980,2)</f>
        <v>33678.14</v>
      </c>
      <c r="R980" s="561"/>
      <c r="S980" s="561"/>
      <c r="T980" s="561">
        <f t="shared" ref="T980" si="304">F980+P980-R980</f>
        <v>24.599999999999998</v>
      </c>
      <c r="U980" s="561">
        <f t="shared" si="295"/>
        <v>33678.14</v>
      </c>
      <c r="V980" s="453"/>
      <c r="W980" s="453">
        <f>COMP!G17</f>
        <v>1140.1199999999999</v>
      </c>
      <c r="X980" s="42"/>
      <c r="Y980" s="336"/>
      <c r="Z980" s="39"/>
      <c r="AA980" s="39"/>
      <c r="AB980" s="39"/>
      <c r="AC980" s="39"/>
      <c r="AD980" s="39"/>
      <c r="AG980" s="449" t="s">
        <v>3815</v>
      </c>
    </row>
    <row r="981" spans="1:33" s="55" customFormat="1">
      <c r="A981" s="21"/>
      <c r="B981" s="20"/>
      <c r="C981" s="19"/>
      <c r="D981" s="21"/>
      <c r="E981" s="21"/>
      <c r="F981" s="22"/>
      <c r="G981" s="22"/>
      <c r="H981" s="22"/>
      <c r="I981" s="147"/>
      <c r="J981" s="148"/>
      <c r="K981" s="148"/>
      <c r="L981" s="148"/>
      <c r="M981" s="148"/>
      <c r="N981" s="148"/>
      <c r="O981" s="148"/>
      <c r="P981" s="494"/>
      <c r="Q981" s="147"/>
      <c r="R981" s="148"/>
      <c r="S981" s="148"/>
      <c r="T981" s="148" t="str">
        <f t="shared" si="298"/>
        <v xml:space="preserve"> </v>
      </c>
      <c r="U981" s="148"/>
      <c r="V981" s="379"/>
      <c r="W981" s="379"/>
      <c r="X981" s="58" t="str">
        <f>IF(B981&lt;&gt;0,VLOOKUP(B981,#REF!,4,FALSE),"")</f>
        <v/>
      </c>
      <c r="Y981" s="334" t="s">
        <v>1891</v>
      </c>
      <c r="Z981" s="58"/>
      <c r="AA981" s="58">
        <f t="shared" si="300"/>
        <v>0</v>
      </c>
      <c r="AB981" s="58"/>
      <c r="AC981" s="58">
        <f t="shared" si="301"/>
        <v>0</v>
      </c>
      <c r="AD981" s="58" t="str">
        <f>IF(B981&lt;&gt;0,VLOOKUP(B981,#REF!,2,FALSE),"")</f>
        <v/>
      </c>
      <c r="AF981" s="55">
        <f t="shared" si="299"/>
        <v>0</v>
      </c>
    </row>
    <row r="982" spans="1:33" s="55" customFormat="1" ht="24" customHeight="1">
      <c r="A982" s="69" t="s">
        <v>1481</v>
      </c>
      <c r="B982" s="129"/>
      <c r="C982" s="229" t="s">
        <v>351</v>
      </c>
      <c r="D982" s="230"/>
      <c r="E982" s="230"/>
      <c r="F982" s="230"/>
      <c r="G982" s="22"/>
      <c r="H982" s="230"/>
      <c r="I982" s="445">
        <f>ROUND(SUM(I984:I999),2)</f>
        <v>31431.52</v>
      </c>
      <c r="J982" s="440"/>
      <c r="K982" s="440"/>
      <c r="L982" s="440"/>
      <c r="M982" s="440"/>
      <c r="N982" s="440"/>
      <c r="O982" s="440">
        <v>35015.230000000003</v>
      </c>
      <c r="P982" s="492"/>
      <c r="Q982" s="445">
        <f>ROUND(SUM(Q984:Q1004),2)</f>
        <v>32100.42</v>
      </c>
      <c r="R982" s="440"/>
      <c r="S982" s="440">
        <f>ROUND(SUM(S984:S999),2)</f>
        <v>0</v>
      </c>
      <c r="T982" s="148" t="str">
        <f t="shared" si="298"/>
        <v xml:space="preserve"> </v>
      </c>
      <c r="U982" s="440">
        <f t="shared" si="295"/>
        <v>67115.649999999994</v>
      </c>
      <c r="V982" s="330"/>
      <c r="W982" s="330"/>
      <c r="X982" s="57" t="str">
        <f>IF(B982&lt;&gt;0,VLOOKUP(B982,#REF!,4,FALSE),"")</f>
        <v/>
      </c>
      <c r="Y982" s="334" t="s">
        <v>1891</v>
      </c>
      <c r="Z982" s="58"/>
      <c r="AA982" s="58">
        <f t="shared" si="300"/>
        <v>0</v>
      </c>
      <c r="AB982" s="58"/>
      <c r="AC982" s="58">
        <f t="shared" si="301"/>
        <v>0</v>
      </c>
      <c r="AD982" s="58" t="str">
        <f>IF(B982&lt;&gt;0,VLOOKUP(B982,#REF!,2,FALSE),"")</f>
        <v/>
      </c>
      <c r="AF982" s="55">
        <f t="shared" si="299"/>
        <v>0</v>
      </c>
    </row>
    <row r="983" spans="1:33" s="55" customFormat="1">
      <c r="A983" s="69" t="s">
        <v>1482</v>
      </c>
      <c r="B983" s="129"/>
      <c r="C983" s="229" t="s">
        <v>352</v>
      </c>
      <c r="D983" s="230"/>
      <c r="E983" s="230"/>
      <c r="F983" s="230"/>
      <c r="G983" s="22"/>
      <c r="H983" s="230"/>
      <c r="I983" s="445"/>
      <c r="J983" s="440"/>
      <c r="K983" s="440"/>
      <c r="L983" s="440"/>
      <c r="M983" s="440"/>
      <c r="N983" s="440"/>
      <c r="O983" s="440"/>
      <c r="P983" s="492"/>
      <c r="Q983" s="445"/>
      <c r="R983" s="440"/>
      <c r="S983" s="440"/>
      <c r="T983" s="148" t="str">
        <f t="shared" si="298"/>
        <v xml:space="preserve"> </v>
      </c>
      <c r="U983" s="148"/>
      <c r="V983" s="330"/>
      <c r="W983" s="330"/>
      <c r="X983" s="57" t="str">
        <f>IF(B983&lt;&gt;0,VLOOKUP(B983,#REF!,4,FALSE),"")</f>
        <v/>
      </c>
      <c r="Y983" s="334" t="s">
        <v>1891</v>
      </c>
      <c r="Z983" s="58"/>
      <c r="AA983" s="58">
        <f t="shared" si="300"/>
        <v>0</v>
      </c>
      <c r="AB983" s="58"/>
      <c r="AC983" s="58">
        <f t="shared" si="301"/>
        <v>0</v>
      </c>
      <c r="AD983" s="58" t="str">
        <f>IF(B983&lt;&gt;0,VLOOKUP(B983,#REF!,2,FALSE),"")</f>
        <v/>
      </c>
      <c r="AE983" s="55">
        <v>112.34</v>
      </c>
      <c r="AF983" s="55">
        <f t="shared" si="299"/>
        <v>112.34</v>
      </c>
    </row>
    <row r="984" spans="1:33" s="55" customFormat="1" ht="20.25" customHeight="1">
      <c r="A984" s="21" t="s">
        <v>1483</v>
      </c>
      <c r="B984" s="20">
        <v>98504</v>
      </c>
      <c r="C984" s="19" t="s">
        <v>2661</v>
      </c>
      <c r="D984" s="21" t="s">
        <v>12</v>
      </c>
      <c r="E984" s="21" t="s">
        <v>26</v>
      </c>
      <c r="F984" s="22">
        <v>112.34</v>
      </c>
      <c r="G984" s="22">
        <f t="shared" si="302"/>
        <v>10.302</v>
      </c>
      <c r="H984" s="22">
        <f>ROUND(G984*(1+$X$13),2)</f>
        <v>13.06</v>
      </c>
      <c r="I984" s="147">
        <f>ROUND(H984*F984,2)</f>
        <v>1467.16</v>
      </c>
      <c r="J984" s="148"/>
      <c r="K984" s="148"/>
      <c r="L984" s="148"/>
      <c r="M984" s="148">
        <v>11.48</v>
      </c>
      <c r="N984" s="148">
        <v>14.56</v>
      </c>
      <c r="O984" s="148">
        <v>1635.67</v>
      </c>
      <c r="P984" s="494"/>
      <c r="Q984" s="147">
        <f t="shared" ref="Q984:Q999" si="305">ROUND(P984*N984,2)</f>
        <v>0</v>
      </c>
      <c r="R984" s="148"/>
      <c r="S984" s="148">
        <f t="shared" ref="S984:S999" si="306">ROUND(R984*N984,2)</f>
        <v>0</v>
      </c>
      <c r="T984" s="148">
        <f t="shared" si="298"/>
        <v>112.34</v>
      </c>
      <c r="U984" s="148">
        <f t="shared" si="295"/>
        <v>1635.67</v>
      </c>
      <c r="V984" s="379"/>
      <c r="W984" s="379"/>
      <c r="X984" s="58" t="e">
        <f>IF(B984&lt;&gt;0,VLOOKUP(B984,#REF!,4,FALSE),"")</f>
        <v>#REF!</v>
      </c>
      <c r="Y984" s="334" t="s">
        <v>1869</v>
      </c>
      <c r="Z984" s="58">
        <f t="shared" si="303"/>
        <v>-1.8179999999999996</v>
      </c>
      <c r="AA984" s="58">
        <f t="shared" si="300"/>
        <v>1157.3266799999999</v>
      </c>
      <c r="AB984" s="58"/>
      <c r="AC984" s="58">
        <f t="shared" si="301"/>
        <v>1467.1604000000002</v>
      </c>
      <c r="AD984" s="58" t="e">
        <f>IF(B984&lt;&gt;0,VLOOKUP(B984,#REF!,2,FALSE),"")</f>
        <v>#REF!</v>
      </c>
      <c r="AF984" s="55">
        <f t="shared" si="299"/>
        <v>-112.34</v>
      </c>
    </row>
    <row r="985" spans="1:33" s="55" customFormat="1" ht="19.5" customHeight="1">
      <c r="A985" s="69" t="s">
        <v>1484</v>
      </c>
      <c r="B985" s="129"/>
      <c r="C985" s="229" t="s">
        <v>178</v>
      </c>
      <c r="D985" s="230"/>
      <c r="E985" s="230"/>
      <c r="F985" s="230"/>
      <c r="G985" s="22"/>
      <c r="H985" s="230"/>
      <c r="I985" s="445"/>
      <c r="J985" s="440"/>
      <c r="K985" s="440"/>
      <c r="L985" s="440"/>
      <c r="M985" s="440"/>
      <c r="N985" s="440"/>
      <c r="O985" s="440"/>
      <c r="P985" s="492"/>
      <c r="Q985" s="147">
        <f t="shared" si="305"/>
        <v>0</v>
      </c>
      <c r="R985" s="148"/>
      <c r="S985" s="148">
        <f t="shared" si="306"/>
        <v>0</v>
      </c>
      <c r="T985" s="148" t="str">
        <f t="shared" si="298"/>
        <v xml:space="preserve"> </v>
      </c>
      <c r="U985" s="148">
        <f t="shared" si="295"/>
        <v>0</v>
      </c>
      <c r="V985" s="330"/>
      <c r="W985" s="330"/>
      <c r="X985" s="58" t="str">
        <f>IF(B985&lt;&gt;0,VLOOKUP(B985,#REF!,4,FALSE),"")</f>
        <v/>
      </c>
      <c r="Y985" s="334" t="s">
        <v>1891</v>
      </c>
      <c r="Z985" s="58"/>
      <c r="AA985" s="58">
        <f t="shared" si="300"/>
        <v>0</v>
      </c>
      <c r="AB985" s="58"/>
      <c r="AC985" s="58">
        <f t="shared" si="301"/>
        <v>0</v>
      </c>
      <c r="AD985" s="58" t="str">
        <f>IF(B985&lt;&gt;0,VLOOKUP(B985,#REF!,2,FALSE),"")</f>
        <v/>
      </c>
      <c r="AE985" s="55">
        <v>2.0894999999999997</v>
      </c>
      <c r="AF985" s="55">
        <f t="shared" si="299"/>
        <v>2.0894999999999997</v>
      </c>
    </row>
    <row r="986" spans="1:33" s="55" customFormat="1" ht="30">
      <c r="A986" s="21" t="s">
        <v>1485</v>
      </c>
      <c r="B986" s="20" t="s">
        <v>2010</v>
      </c>
      <c r="C986" s="19" t="s">
        <v>353</v>
      </c>
      <c r="D986" s="21" t="s">
        <v>1914</v>
      </c>
      <c r="E986" s="21" t="s">
        <v>52</v>
      </c>
      <c r="F986" s="22">
        <v>2.0894999999999997</v>
      </c>
      <c r="G986" s="22">
        <f t="shared" si="302"/>
        <v>306.05950000000001</v>
      </c>
      <c r="H986" s="22">
        <f>ROUND(G986*(1+$X$13),2)</f>
        <v>388.11</v>
      </c>
      <c r="I986" s="147">
        <f>ROUND(H986*F986,2)</f>
        <v>810.96</v>
      </c>
      <c r="J986" s="148"/>
      <c r="K986" s="148"/>
      <c r="L986" s="148"/>
      <c r="M986" s="148">
        <v>340.95</v>
      </c>
      <c r="N986" s="148">
        <v>432.36</v>
      </c>
      <c r="O986" s="148">
        <v>903.42</v>
      </c>
      <c r="P986" s="494"/>
      <c r="Q986" s="147">
        <f t="shared" si="305"/>
        <v>0</v>
      </c>
      <c r="R986" s="148"/>
      <c r="S986" s="148">
        <f t="shared" si="306"/>
        <v>0</v>
      </c>
      <c r="T986" s="148">
        <f t="shared" si="298"/>
        <v>2.0894999999999997</v>
      </c>
      <c r="U986" s="148">
        <f t="shared" si="295"/>
        <v>903.42</v>
      </c>
      <c r="V986" s="379"/>
      <c r="W986" s="379"/>
      <c r="X986" s="57">
        <f>'COMPOSIÇÃO DE CUSTOS'!G2136</f>
        <v>306.06</v>
      </c>
      <c r="Y986" s="334">
        <v>360.07</v>
      </c>
      <c r="Z986" s="58">
        <f t="shared" si="303"/>
        <v>-54.010499999999979</v>
      </c>
      <c r="AA986" s="58">
        <f t="shared" si="300"/>
        <v>639.51132524999991</v>
      </c>
      <c r="AB986" s="58"/>
      <c r="AC986" s="58">
        <f t="shared" si="301"/>
        <v>810.95584499999995</v>
      </c>
      <c r="AD986" s="58" t="e">
        <f>IF(B986&lt;&gt;0,VLOOKUP(B986,#REF!,2,FALSE),"")</f>
        <v>#REF!</v>
      </c>
      <c r="AE986" s="55">
        <v>3.1289999999999996</v>
      </c>
      <c r="AF986" s="55">
        <f t="shared" si="299"/>
        <v>1.0394999999999999</v>
      </c>
    </row>
    <row r="987" spans="1:33" ht="26.25" customHeight="1">
      <c r="A987" s="21" t="s">
        <v>1486</v>
      </c>
      <c r="B987" s="20">
        <v>9599</v>
      </c>
      <c r="C987" s="19" t="s">
        <v>354</v>
      </c>
      <c r="D987" s="21" t="s">
        <v>1914</v>
      </c>
      <c r="E987" s="21" t="s">
        <v>52</v>
      </c>
      <c r="F987" s="22">
        <v>3.1289999999999996</v>
      </c>
      <c r="G987" s="22">
        <f t="shared" si="302"/>
        <v>595.42499999999995</v>
      </c>
      <c r="H987" s="22">
        <f>ROUND(G987*(1+$X$13),2)</f>
        <v>755.06</v>
      </c>
      <c r="I987" s="147">
        <f>ROUND(H987*F987,2)</f>
        <v>2362.58</v>
      </c>
      <c r="J987" s="148"/>
      <c r="K987" s="148"/>
      <c r="L987" s="148"/>
      <c r="M987" s="148">
        <v>663.31</v>
      </c>
      <c r="N987" s="148">
        <v>841.14</v>
      </c>
      <c r="O987" s="148">
        <v>2631.93</v>
      </c>
      <c r="P987" s="494"/>
      <c r="Q987" s="147">
        <f t="shared" si="305"/>
        <v>0</v>
      </c>
      <c r="R987" s="148"/>
      <c r="S987" s="148">
        <f t="shared" si="306"/>
        <v>0</v>
      </c>
      <c r="T987" s="148">
        <f t="shared" si="298"/>
        <v>3.1289999999999996</v>
      </c>
      <c r="U987" s="148">
        <f t="shared" si="295"/>
        <v>2631.93</v>
      </c>
      <c r="V987" s="379"/>
      <c r="W987" s="379"/>
      <c r="X987" s="57">
        <f>'COMPOSIÇÃO DE CUSTOS'!G1735</f>
        <v>595.42999999999995</v>
      </c>
      <c r="Y987" s="334">
        <v>700.5</v>
      </c>
      <c r="Z987" s="58">
        <f t="shared" si="303"/>
        <v>-105.07500000000005</v>
      </c>
      <c r="AA987" s="58">
        <f t="shared" si="300"/>
        <v>1863.0848249999997</v>
      </c>
      <c r="AB987" s="58"/>
      <c r="AC987" s="58">
        <f t="shared" si="301"/>
        <v>2362.5827399999994</v>
      </c>
      <c r="AD987" s="58" t="e">
        <f>IF(B987&lt;&gt;0,VLOOKUP(B987,#REF!,2,FALSE),"")</f>
        <v>#REF!</v>
      </c>
      <c r="AE987" s="2">
        <v>3.2025000000000001</v>
      </c>
      <c r="AF987" s="55">
        <f t="shared" si="299"/>
        <v>7.3500000000000565E-2</v>
      </c>
    </row>
    <row r="988" spans="1:33" s="38" customFormat="1" ht="33" customHeight="1">
      <c r="A988" s="21" t="s">
        <v>1487</v>
      </c>
      <c r="B988" s="20">
        <v>111609</v>
      </c>
      <c r="C988" s="19" t="s">
        <v>355</v>
      </c>
      <c r="D988" s="21" t="s">
        <v>1914</v>
      </c>
      <c r="E988" s="21" t="s">
        <v>52</v>
      </c>
      <c r="F988" s="22">
        <v>3.2025000000000001</v>
      </c>
      <c r="G988" s="22">
        <f t="shared" si="302"/>
        <v>1292.7820000000002</v>
      </c>
      <c r="H988" s="22">
        <f>ROUND(G988*(1+$X$13),2)</f>
        <v>1639.38</v>
      </c>
      <c r="I988" s="147">
        <f>ROUND(H988*F988,2)</f>
        <v>5250.11</v>
      </c>
      <c r="J988" s="148"/>
      <c r="K988" s="148"/>
      <c r="L988" s="148"/>
      <c r="M988" s="148">
        <v>1440.17</v>
      </c>
      <c r="N988" s="148">
        <v>1826.28</v>
      </c>
      <c r="O988" s="148">
        <v>5848.66</v>
      </c>
      <c r="P988" s="494"/>
      <c r="Q988" s="147">
        <f t="shared" si="305"/>
        <v>0</v>
      </c>
      <c r="R988" s="148"/>
      <c r="S988" s="148">
        <f t="shared" si="306"/>
        <v>0</v>
      </c>
      <c r="T988" s="148">
        <f t="shared" si="298"/>
        <v>3.2025000000000001</v>
      </c>
      <c r="U988" s="148">
        <f t="shared" si="295"/>
        <v>5848.66</v>
      </c>
      <c r="V988" s="379"/>
      <c r="W988" s="379"/>
      <c r="X988" s="57">
        <f>'COMPOSIÇÃO DE CUSTOS'!G1744</f>
        <v>1292.78</v>
      </c>
      <c r="Y988" s="334">
        <v>1520.92</v>
      </c>
      <c r="Z988" s="58">
        <f t="shared" si="303"/>
        <v>-228.13799999999992</v>
      </c>
      <c r="AA988" s="58">
        <f t="shared" si="300"/>
        <v>4140.1343550000011</v>
      </c>
      <c r="AB988" s="58"/>
      <c r="AC988" s="58">
        <f t="shared" si="301"/>
        <v>5250.1144500000009</v>
      </c>
      <c r="AD988" s="58" t="e">
        <f>IF(B988&lt;&gt;0,VLOOKUP(B988,#REF!,2,FALSE),"")</f>
        <v>#REF!</v>
      </c>
      <c r="AF988" s="55">
        <f t="shared" si="299"/>
        <v>-3.2025000000000001</v>
      </c>
    </row>
    <row r="989" spans="1:33" s="55" customFormat="1" ht="15" customHeight="1">
      <c r="A989" s="69" t="s">
        <v>1488</v>
      </c>
      <c r="B989" s="129"/>
      <c r="C989" s="229" t="s">
        <v>356</v>
      </c>
      <c r="D989" s="230"/>
      <c r="E989" s="230"/>
      <c r="F989" s="230"/>
      <c r="G989" s="22"/>
      <c r="H989" s="230"/>
      <c r="I989" s="445"/>
      <c r="J989" s="440"/>
      <c r="K989" s="440"/>
      <c r="L989" s="440"/>
      <c r="M989" s="440"/>
      <c r="N989" s="440"/>
      <c r="O989" s="440"/>
      <c r="P989" s="492"/>
      <c r="Q989" s="147">
        <f t="shared" si="305"/>
        <v>0</v>
      </c>
      <c r="R989" s="148"/>
      <c r="S989" s="148">
        <f t="shared" si="306"/>
        <v>0</v>
      </c>
      <c r="T989" s="148" t="str">
        <f t="shared" si="298"/>
        <v xml:space="preserve"> </v>
      </c>
      <c r="U989" s="148"/>
      <c r="V989" s="330"/>
      <c r="W989" s="330"/>
      <c r="X989" s="58" t="str">
        <f>IF(B989&lt;&gt;0,VLOOKUP(B989,#REF!,4,FALSE),"")</f>
        <v/>
      </c>
      <c r="Y989" s="334" t="s">
        <v>1891</v>
      </c>
      <c r="Z989" s="58"/>
      <c r="AA989" s="58">
        <f t="shared" si="300"/>
        <v>0</v>
      </c>
      <c r="AB989" s="58"/>
      <c r="AC989" s="58">
        <f t="shared" si="301"/>
        <v>0</v>
      </c>
      <c r="AD989" s="58" t="str">
        <f>IF(B989&lt;&gt;0,VLOOKUP(B989,#REF!,2,FALSE),"")</f>
        <v/>
      </c>
      <c r="AE989" s="55">
        <v>0.35699999999999998</v>
      </c>
      <c r="AF989" s="55">
        <f t="shared" si="299"/>
        <v>0.35699999999999998</v>
      </c>
    </row>
    <row r="990" spans="1:33" s="55" customFormat="1" ht="60">
      <c r="A990" s="21" t="s">
        <v>1489</v>
      </c>
      <c r="B990" s="20">
        <v>102509</v>
      </c>
      <c r="C990" s="19" t="s">
        <v>357</v>
      </c>
      <c r="D990" s="21" t="s">
        <v>12</v>
      </c>
      <c r="E990" s="21" t="s">
        <v>26</v>
      </c>
      <c r="F990" s="22">
        <v>0.35699999999999998</v>
      </c>
      <c r="G990" s="22">
        <f t="shared" si="302"/>
        <v>15.639999999999999</v>
      </c>
      <c r="H990" s="22">
        <f t="shared" ref="H990:H999" si="307">ROUND(G990*(1+$X$13),2)</f>
        <v>19.829999999999998</v>
      </c>
      <c r="I990" s="147">
        <f t="shared" ref="I990:I999" si="308">ROUND(H990*F990,2)</f>
        <v>7.08</v>
      </c>
      <c r="J990" s="148"/>
      <c r="K990" s="148"/>
      <c r="L990" s="148"/>
      <c r="M990" s="148">
        <v>17.420000000000002</v>
      </c>
      <c r="N990" s="148">
        <v>22.09</v>
      </c>
      <c r="O990" s="148">
        <v>7.89</v>
      </c>
      <c r="P990" s="494"/>
      <c r="Q990" s="147">
        <f t="shared" si="305"/>
        <v>0</v>
      </c>
      <c r="R990" s="148"/>
      <c r="S990" s="148">
        <f t="shared" si="306"/>
        <v>0</v>
      </c>
      <c r="T990" s="148">
        <f t="shared" si="298"/>
        <v>0.35699999999999998</v>
      </c>
      <c r="U990" s="148">
        <f t="shared" si="295"/>
        <v>7.89</v>
      </c>
      <c r="V990" s="379"/>
      <c r="W990" s="379"/>
      <c r="X990" s="58" t="e">
        <f>IF(B990&lt;&gt;0,VLOOKUP(B990,#REF!,4,FALSE),"")</f>
        <v>#REF!</v>
      </c>
      <c r="Y990" s="334" t="s">
        <v>3309</v>
      </c>
      <c r="Z990" s="58">
        <f t="shared" si="303"/>
        <v>-2.76</v>
      </c>
      <c r="AA990" s="58">
        <f t="shared" si="300"/>
        <v>5.5834799999999989</v>
      </c>
      <c r="AB990" s="58"/>
      <c r="AC990" s="58">
        <f t="shared" si="301"/>
        <v>7.0793099999999987</v>
      </c>
      <c r="AD990" s="58" t="e">
        <f>IF(B990&lt;&gt;0,VLOOKUP(B990,#REF!,2,FALSE),"")</f>
        <v>#REF!</v>
      </c>
      <c r="AE990" s="55">
        <v>4.3539999999999992</v>
      </c>
      <c r="AF990" s="55">
        <f t="shared" si="299"/>
        <v>3.996999999999999</v>
      </c>
    </row>
    <row r="991" spans="1:33" s="55" customFormat="1" ht="60">
      <c r="A991" s="21" t="s">
        <v>1490</v>
      </c>
      <c r="B991" s="20">
        <v>102509</v>
      </c>
      <c r="C991" s="19" t="s">
        <v>358</v>
      </c>
      <c r="D991" s="21" t="s">
        <v>12</v>
      </c>
      <c r="E991" s="21" t="s">
        <v>26</v>
      </c>
      <c r="F991" s="22">
        <v>4.3539999999999992</v>
      </c>
      <c r="G991" s="22">
        <f t="shared" si="302"/>
        <v>15.639999999999999</v>
      </c>
      <c r="H991" s="22">
        <f t="shared" si="307"/>
        <v>19.829999999999998</v>
      </c>
      <c r="I991" s="147">
        <f t="shared" si="308"/>
        <v>86.34</v>
      </c>
      <c r="J991" s="148"/>
      <c r="K991" s="148"/>
      <c r="L991" s="148"/>
      <c r="M991" s="148">
        <v>17.420000000000002</v>
      </c>
      <c r="N991" s="148">
        <v>22.09</v>
      </c>
      <c r="O991" s="148">
        <v>96.18</v>
      </c>
      <c r="P991" s="494"/>
      <c r="Q991" s="147">
        <f t="shared" si="305"/>
        <v>0</v>
      </c>
      <c r="R991" s="148"/>
      <c r="S991" s="148">
        <f t="shared" si="306"/>
        <v>0</v>
      </c>
      <c r="T991" s="148">
        <f t="shared" si="298"/>
        <v>4.3539999999999992</v>
      </c>
      <c r="U991" s="148">
        <f t="shared" si="295"/>
        <v>96.18</v>
      </c>
      <c r="V991" s="379"/>
      <c r="W991" s="379"/>
      <c r="X991" s="58" t="e">
        <f>IF(B991&lt;&gt;0,VLOOKUP(B991,#REF!,4,FALSE),"")</f>
        <v>#REF!</v>
      </c>
      <c r="Y991" s="334" t="s">
        <v>3309</v>
      </c>
      <c r="Z991" s="58">
        <f t="shared" si="303"/>
        <v>-2.76</v>
      </c>
      <c r="AA991" s="58">
        <f t="shared" si="300"/>
        <v>68.096559999999982</v>
      </c>
      <c r="AB991" s="58"/>
      <c r="AC991" s="58">
        <f t="shared" si="301"/>
        <v>86.339819999999975</v>
      </c>
      <c r="AD991" s="58" t="e">
        <f>IF(B991&lt;&gt;0,VLOOKUP(B991,#REF!,2,FALSE),"")</f>
        <v>#REF!</v>
      </c>
      <c r="AE991" s="55">
        <v>13.349</v>
      </c>
      <c r="AF991" s="55">
        <f t="shared" si="299"/>
        <v>8.995000000000001</v>
      </c>
    </row>
    <row r="992" spans="1:33" s="55" customFormat="1" ht="60">
      <c r="A992" s="21" t="s">
        <v>1491</v>
      </c>
      <c r="B992" s="20">
        <v>102509</v>
      </c>
      <c r="C992" s="19" t="s">
        <v>359</v>
      </c>
      <c r="D992" s="21" t="s">
        <v>12</v>
      </c>
      <c r="E992" s="21" t="s">
        <v>26</v>
      </c>
      <c r="F992" s="22">
        <v>13.349</v>
      </c>
      <c r="G992" s="22">
        <f t="shared" si="302"/>
        <v>15.639999999999999</v>
      </c>
      <c r="H992" s="22">
        <f t="shared" si="307"/>
        <v>19.829999999999998</v>
      </c>
      <c r="I992" s="147">
        <f t="shared" si="308"/>
        <v>264.70999999999998</v>
      </c>
      <c r="J992" s="148"/>
      <c r="K992" s="148"/>
      <c r="L992" s="148"/>
      <c r="M992" s="148">
        <v>17.420000000000002</v>
      </c>
      <c r="N992" s="148">
        <v>22.09</v>
      </c>
      <c r="O992" s="148">
        <v>294.88</v>
      </c>
      <c r="P992" s="494"/>
      <c r="Q992" s="147">
        <f t="shared" si="305"/>
        <v>0</v>
      </c>
      <c r="R992" s="148"/>
      <c r="S992" s="148">
        <f t="shared" si="306"/>
        <v>0</v>
      </c>
      <c r="T992" s="148">
        <f t="shared" si="298"/>
        <v>13.349</v>
      </c>
      <c r="U992" s="148">
        <f t="shared" si="295"/>
        <v>294.88</v>
      </c>
      <c r="V992" s="379"/>
      <c r="W992" s="379"/>
      <c r="X992" s="58" t="e">
        <f>IF(B992&lt;&gt;0,VLOOKUP(B992,#REF!,4,FALSE),"")</f>
        <v>#REF!</v>
      </c>
      <c r="Y992" s="334" t="s">
        <v>3309</v>
      </c>
      <c r="Z992" s="58">
        <f t="shared" si="303"/>
        <v>-2.76</v>
      </c>
      <c r="AA992" s="58">
        <f t="shared" si="300"/>
        <v>208.77835999999999</v>
      </c>
      <c r="AB992" s="58"/>
      <c r="AC992" s="58">
        <f t="shared" si="301"/>
        <v>264.71066999999999</v>
      </c>
      <c r="AD992" s="58" t="e">
        <f>IF(B992&lt;&gt;0,VLOOKUP(B992,#REF!,2,FALSE),"")</f>
        <v>#REF!</v>
      </c>
      <c r="AE992" s="55">
        <v>1</v>
      </c>
      <c r="AF992" s="55">
        <f t="shared" si="299"/>
        <v>-12.349</v>
      </c>
    </row>
    <row r="993" spans="1:32" s="55" customFormat="1" ht="30">
      <c r="A993" s="21" t="s">
        <v>2655</v>
      </c>
      <c r="B993" s="130">
        <v>3167</v>
      </c>
      <c r="C993" s="19" t="str">
        <f>[12]AUX!A2296</f>
        <v>PLACA DE INAUGURAÇÃO DE OBRA EM ALUMÍNIO 0,60 X 0,80 M</v>
      </c>
      <c r="D993" s="21" t="s">
        <v>44</v>
      </c>
      <c r="E993" s="21" t="s">
        <v>17</v>
      </c>
      <c r="F993" s="22">
        <v>1</v>
      </c>
      <c r="G993" s="22">
        <f t="shared" si="302"/>
        <v>1361.3344999999999</v>
      </c>
      <c r="H993" s="22">
        <f t="shared" si="307"/>
        <v>1726.31</v>
      </c>
      <c r="I993" s="147">
        <f t="shared" si="308"/>
        <v>1726.31</v>
      </c>
      <c r="J993" s="148"/>
      <c r="K993" s="148"/>
      <c r="L993" s="148"/>
      <c r="M993" s="148">
        <v>1516.54</v>
      </c>
      <c r="N993" s="148">
        <v>1923.12</v>
      </c>
      <c r="O993" s="148">
        <v>1923.12</v>
      </c>
      <c r="P993" s="494"/>
      <c r="Q993" s="147">
        <f t="shared" si="305"/>
        <v>0</v>
      </c>
      <c r="R993" s="148"/>
      <c r="S993" s="148">
        <f t="shared" si="306"/>
        <v>0</v>
      </c>
      <c r="T993" s="148">
        <f t="shared" si="298"/>
        <v>1</v>
      </c>
      <c r="U993" s="148">
        <f t="shared" si="295"/>
        <v>1923.12</v>
      </c>
      <c r="V993" s="379"/>
      <c r="W993" s="379"/>
      <c r="X993" s="57">
        <f>'COMPOSIÇÃO DE CUSTOS'!G2323</f>
        <v>1361.33</v>
      </c>
      <c r="Y993" s="334">
        <v>1601.57</v>
      </c>
      <c r="Z993" s="58">
        <f t="shared" si="303"/>
        <v>-240.2355</v>
      </c>
      <c r="AA993" s="58">
        <f t="shared" si="300"/>
        <v>1361.3344999999999</v>
      </c>
      <c r="AB993" s="58"/>
      <c r="AC993" s="58">
        <f t="shared" si="301"/>
        <v>1726.31</v>
      </c>
      <c r="AD993" s="58" t="e">
        <f>IF(B993&lt;&gt;0,VLOOKUP(B993,#REF!,2,FALSE),"")</f>
        <v>#REF!</v>
      </c>
      <c r="AE993" s="55">
        <v>33</v>
      </c>
      <c r="AF993" s="55">
        <f t="shared" si="299"/>
        <v>32</v>
      </c>
    </row>
    <row r="994" spans="1:32" s="55" customFormat="1" ht="60">
      <c r="A994" s="21" t="s">
        <v>2656</v>
      </c>
      <c r="B994" s="20">
        <v>13294</v>
      </c>
      <c r="C994" s="19" t="s">
        <v>2679</v>
      </c>
      <c r="D994" s="21" t="s">
        <v>44</v>
      </c>
      <c r="E994" s="21" t="s">
        <v>17</v>
      </c>
      <c r="F994" s="22">
        <v>33</v>
      </c>
      <c r="G994" s="22">
        <f t="shared" si="302"/>
        <v>71.697499999999991</v>
      </c>
      <c r="H994" s="22">
        <f t="shared" si="307"/>
        <v>90.92</v>
      </c>
      <c r="I994" s="147">
        <f t="shared" si="308"/>
        <v>3000.36</v>
      </c>
      <c r="J994" s="148"/>
      <c r="K994" s="148"/>
      <c r="L994" s="148"/>
      <c r="M994" s="148">
        <v>79.87</v>
      </c>
      <c r="N994" s="148">
        <v>101.28</v>
      </c>
      <c r="O994" s="148">
        <v>3342.24</v>
      </c>
      <c r="P994" s="494"/>
      <c r="Q994" s="147">
        <f t="shared" si="305"/>
        <v>0</v>
      </c>
      <c r="R994" s="148"/>
      <c r="S994" s="148">
        <f t="shared" si="306"/>
        <v>0</v>
      </c>
      <c r="T994" s="148">
        <f t="shared" si="298"/>
        <v>33</v>
      </c>
      <c r="U994" s="148">
        <f t="shared" si="295"/>
        <v>3342.24</v>
      </c>
      <c r="V994" s="379"/>
      <c r="W994" s="379"/>
      <c r="X994" s="57">
        <f>'COMPOSIÇÃO DE CUSTOS'!G2338</f>
        <v>71.7</v>
      </c>
      <c r="Y994" s="334">
        <v>84.35</v>
      </c>
      <c r="Z994" s="58">
        <f t="shared" si="303"/>
        <v>-12.652500000000003</v>
      </c>
      <c r="AA994" s="58">
        <f t="shared" si="300"/>
        <v>2366.0174999999999</v>
      </c>
      <c r="AB994" s="58"/>
      <c r="AC994" s="58">
        <f t="shared" si="301"/>
        <v>3000.36</v>
      </c>
      <c r="AD994" s="58" t="e">
        <f>IF(B994&lt;&gt;0,VLOOKUP(B994,#REF!,2,FALSE),"")</f>
        <v>#REF!</v>
      </c>
      <c r="AE994" s="55">
        <v>16</v>
      </c>
      <c r="AF994" s="55">
        <f t="shared" si="299"/>
        <v>-17</v>
      </c>
    </row>
    <row r="995" spans="1:32" s="55" customFormat="1" ht="30">
      <c r="A995" s="21" t="s">
        <v>2657</v>
      </c>
      <c r="B995" s="20">
        <v>12041</v>
      </c>
      <c r="C995" s="19" t="s">
        <v>2542</v>
      </c>
      <c r="D995" s="21" t="s">
        <v>44</v>
      </c>
      <c r="E995" s="21" t="s">
        <v>17</v>
      </c>
      <c r="F995" s="22">
        <v>16</v>
      </c>
      <c r="G995" s="22">
        <f t="shared" si="302"/>
        <v>46.3675</v>
      </c>
      <c r="H995" s="22">
        <f t="shared" si="307"/>
        <v>58.8</v>
      </c>
      <c r="I995" s="147">
        <f t="shared" si="308"/>
        <v>940.8</v>
      </c>
      <c r="J995" s="148"/>
      <c r="K995" s="148"/>
      <c r="L995" s="148"/>
      <c r="M995" s="148">
        <v>51.65</v>
      </c>
      <c r="N995" s="148">
        <v>65.5</v>
      </c>
      <c r="O995" s="148">
        <v>1048</v>
      </c>
      <c r="P995" s="494"/>
      <c r="Q995" s="147">
        <f t="shared" si="305"/>
        <v>0</v>
      </c>
      <c r="R995" s="148"/>
      <c r="S995" s="148">
        <f t="shared" si="306"/>
        <v>0</v>
      </c>
      <c r="T995" s="148">
        <f t="shared" si="298"/>
        <v>16</v>
      </c>
      <c r="U995" s="148">
        <f t="shared" si="295"/>
        <v>1048</v>
      </c>
      <c r="V995" s="379"/>
      <c r="W995" s="379"/>
      <c r="X995" s="57">
        <f>'COMPOSIÇÃO DE CUSTOS'!G1751</f>
        <v>46.37</v>
      </c>
      <c r="Y995" s="334">
        <v>54.55</v>
      </c>
      <c r="Z995" s="58">
        <f t="shared" si="303"/>
        <v>-8.1824999999999974</v>
      </c>
      <c r="AA995" s="58">
        <f t="shared" si="300"/>
        <v>741.88</v>
      </c>
      <c r="AB995" s="58"/>
      <c r="AC995" s="58">
        <f t="shared" si="301"/>
        <v>940.8</v>
      </c>
      <c r="AD995" s="58" t="e">
        <f>IF(B995&lt;&gt;0,VLOOKUP(B995,#REF!,2,FALSE),"")</f>
        <v>#REF!</v>
      </c>
      <c r="AE995" s="55">
        <v>112</v>
      </c>
      <c r="AF995" s="55">
        <f t="shared" si="299"/>
        <v>96</v>
      </c>
    </row>
    <row r="996" spans="1:32" s="55" customFormat="1" ht="30">
      <c r="A996" s="21" t="s">
        <v>2658</v>
      </c>
      <c r="B996" s="20">
        <v>12042</v>
      </c>
      <c r="C996" s="19" t="s">
        <v>2023</v>
      </c>
      <c r="D996" s="21" t="s">
        <v>44</v>
      </c>
      <c r="E996" s="21" t="s">
        <v>17</v>
      </c>
      <c r="F996" s="22">
        <v>112</v>
      </c>
      <c r="G996" s="22">
        <f t="shared" si="302"/>
        <v>67.677000000000007</v>
      </c>
      <c r="H996" s="22">
        <f t="shared" si="307"/>
        <v>85.82</v>
      </c>
      <c r="I996" s="147">
        <f t="shared" si="308"/>
        <v>9611.84</v>
      </c>
      <c r="J996" s="148"/>
      <c r="K996" s="148"/>
      <c r="L996" s="148"/>
      <c r="M996" s="148">
        <v>75.39</v>
      </c>
      <c r="N996" s="148">
        <v>95.6</v>
      </c>
      <c r="O996" s="148">
        <v>10707.2</v>
      </c>
      <c r="P996" s="494"/>
      <c r="Q996" s="147">
        <f t="shared" si="305"/>
        <v>0</v>
      </c>
      <c r="R996" s="148"/>
      <c r="S996" s="148">
        <f t="shared" si="306"/>
        <v>0</v>
      </c>
      <c r="T996" s="148">
        <f t="shared" si="298"/>
        <v>112</v>
      </c>
      <c r="U996" s="148">
        <f t="shared" si="295"/>
        <v>10707.2</v>
      </c>
      <c r="V996" s="379"/>
      <c r="W996" s="379"/>
      <c r="X996" s="57">
        <f>'COMPOSIÇÃO DE CUSTOS'!G2213</f>
        <v>67.67</v>
      </c>
      <c r="Y996" s="334">
        <v>79.62</v>
      </c>
      <c r="Z996" s="58">
        <f t="shared" si="303"/>
        <v>-11.942999999999998</v>
      </c>
      <c r="AA996" s="58">
        <f t="shared" si="300"/>
        <v>7579.8240000000005</v>
      </c>
      <c r="AB996" s="58"/>
      <c r="AC996" s="58">
        <f t="shared" si="301"/>
        <v>9611.84</v>
      </c>
      <c r="AD996" s="58" t="e">
        <f>IF(B996&lt;&gt;0,VLOOKUP(B996,#REF!,2,FALSE),"")</f>
        <v>#REF!</v>
      </c>
      <c r="AE996" s="55">
        <v>22</v>
      </c>
      <c r="AF996" s="55">
        <f t="shared" si="299"/>
        <v>-90</v>
      </c>
    </row>
    <row r="997" spans="1:32" s="55" customFormat="1" ht="30">
      <c r="A997" s="21" t="s">
        <v>2659</v>
      </c>
      <c r="B997" s="20">
        <v>12043</v>
      </c>
      <c r="C997" s="19" t="s">
        <v>2025</v>
      </c>
      <c r="D997" s="21" t="s">
        <v>44</v>
      </c>
      <c r="E997" s="21" t="s">
        <v>17</v>
      </c>
      <c r="F997" s="22">
        <v>22</v>
      </c>
      <c r="G997" s="22">
        <f t="shared" si="302"/>
        <v>58.063500000000005</v>
      </c>
      <c r="H997" s="22">
        <f t="shared" si="307"/>
        <v>73.63</v>
      </c>
      <c r="I997" s="147">
        <f t="shared" si="308"/>
        <v>1619.86</v>
      </c>
      <c r="J997" s="148"/>
      <c r="K997" s="148"/>
      <c r="L997" s="148"/>
      <c r="M997" s="148">
        <v>64.680000000000007</v>
      </c>
      <c r="N997" s="148">
        <v>82.02</v>
      </c>
      <c r="O997" s="148">
        <v>1804.44</v>
      </c>
      <c r="P997" s="494"/>
      <c r="Q997" s="147">
        <f t="shared" si="305"/>
        <v>0</v>
      </c>
      <c r="R997" s="148"/>
      <c r="S997" s="148">
        <f t="shared" si="306"/>
        <v>0</v>
      </c>
      <c r="T997" s="148">
        <f t="shared" si="298"/>
        <v>22</v>
      </c>
      <c r="U997" s="148">
        <f t="shared" si="295"/>
        <v>1804.44</v>
      </c>
      <c r="V997" s="379"/>
      <c r="W997" s="379"/>
      <c r="X997" s="57">
        <f>'COMPOSIÇÃO DE CUSTOS'!G2219</f>
        <v>58.06</v>
      </c>
      <c r="Y997" s="334">
        <v>68.31</v>
      </c>
      <c r="Z997" s="58">
        <f t="shared" si="303"/>
        <v>-10.246499999999997</v>
      </c>
      <c r="AA997" s="58">
        <f t="shared" si="300"/>
        <v>1277.3970000000002</v>
      </c>
      <c r="AB997" s="58"/>
      <c r="AC997" s="58">
        <f t="shared" si="301"/>
        <v>1619.86</v>
      </c>
      <c r="AD997" s="58" t="e">
        <f>IF(B997&lt;&gt;0,VLOOKUP(B997,#REF!,2,FALSE),"")</f>
        <v>#REF!</v>
      </c>
      <c r="AE997" s="55">
        <v>13</v>
      </c>
      <c r="AF997" s="55">
        <f t="shared" si="299"/>
        <v>-9</v>
      </c>
    </row>
    <row r="998" spans="1:32" s="55" customFormat="1" ht="30">
      <c r="A998" s="21" t="s">
        <v>2660</v>
      </c>
      <c r="B998" s="20" t="s">
        <v>2418</v>
      </c>
      <c r="C998" s="19" t="s">
        <v>2543</v>
      </c>
      <c r="D998" s="21" t="s">
        <v>1914</v>
      </c>
      <c r="E998" s="21" t="s">
        <v>17</v>
      </c>
      <c r="F998" s="22">
        <v>13</v>
      </c>
      <c r="G998" s="22">
        <f t="shared" si="302"/>
        <v>86.716999999999999</v>
      </c>
      <c r="H998" s="22">
        <f t="shared" si="307"/>
        <v>109.97</v>
      </c>
      <c r="I998" s="147">
        <f t="shared" si="308"/>
        <v>1429.61</v>
      </c>
      <c r="J998" s="148"/>
      <c r="K998" s="148"/>
      <c r="L998" s="148"/>
      <c r="M998" s="148">
        <v>96.6</v>
      </c>
      <c r="N998" s="148">
        <v>122.5</v>
      </c>
      <c r="O998" s="148">
        <v>1592.5</v>
      </c>
      <c r="P998" s="494"/>
      <c r="Q998" s="147">
        <f t="shared" si="305"/>
        <v>0</v>
      </c>
      <c r="R998" s="148"/>
      <c r="S998" s="148">
        <f t="shared" si="306"/>
        <v>0</v>
      </c>
      <c r="T998" s="148">
        <f t="shared" si="298"/>
        <v>13</v>
      </c>
      <c r="U998" s="148">
        <f t="shared" si="295"/>
        <v>1592.5</v>
      </c>
      <c r="V998" s="379"/>
      <c r="W998" s="379"/>
      <c r="X998" s="57">
        <f>'COMPOSIÇÃO DE CUSTOS'!G1757</f>
        <v>86.71</v>
      </c>
      <c r="Y998" s="334">
        <v>102.02</v>
      </c>
      <c r="Z998" s="58">
        <f t="shared" si="303"/>
        <v>-15.302999999999997</v>
      </c>
      <c r="AA998" s="58">
        <f t="shared" si="300"/>
        <v>1127.3209999999999</v>
      </c>
      <c r="AB998" s="58"/>
      <c r="AC998" s="58">
        <f t="shared" si="301"/>
        <v>1429.61</v>
      </c>
      <c r="AD998" s="58" t="e">
        <f>IF(B998&lt;&gt;0,VLOOKUP(B998,#REF!,2,FALSE),"")</f>
        <v>#REF!</v>
      </c>
      <c r="AE998" s="55">
        <v>10</v>
      </c>
      <c r="AF998" s="55">
        <f t="shared" si="299"/>
        <v>-3</v>
      </c>
    </row>
    <row r="999" spans="1:32" s="55" customFormat="1" ht="30">
      <c r="A999" s="21" t="s">
        <v>2678</v>
      </c>
      <c r="B999" s="20">
        <v>12047</v>
      </c>
      <c r="C999" s="19" t="s">
        <v>2544</v>
      </c>
      <c r="D999" s="21" t="s">
        <v>44</v>
      </c>
      <c r="E999" s="21" t="s">
        <v>17</v>
      </c>
      <c r="F999" s="22">
        <v>10</v>
      </c>
      <c r="G999" s="22">
        <f t="shared" si="302"/>
        <v>225.04599999999999</v>
      </c>
      <c r="H999" s="22">
        <f t="shared" si="307"/>
        <v>285.38</v>
      </c>
      <c r="I999" s="147">
        <f t="shared" si="308"/>
        <v>2853.8</v>
      </c>
      <c r="J999" s="148"/>
      <c r="K999" s="148"/>
      <c r="L999" s="148"/>
      <c r="M999" s="148">
        <v>250.7</v>
      </c>
      <c r="N999" s="148">
        <v>317.91000000000003</v>
      </c>
      <c r="O999" s="148">
        <v>3179.1</v>
      </c>
      <c r="P999" s="494"/>
      <c r="Q999" s="147">
        <f t="shared" si="305"/>
        <v>0</v>
      </c>
      <c r="R999" s="148"/>
      <c r="S999" s="148">
        <f t="shared" si="306"/>
        <v>0</v>
      </c>
      <c r="T999" s="148">
        <f t="shared" si="298"/>
        <v>10</v>
      </c>
      <c r="U999" s="148">
        <f t="shared" si="295"/>
        <v>3179.1</v>
      </c>
      <c r="V999" s="379"/>
      <c r="W999" s="379"/>
      <c r="X999" s="57">
        <f>'COMPOSIÇÃO DE CUSTOS'!G1763</f>
        <v>225.05</v>
      </c>
      <c r="Y999" s="334">
        <v>264.76</v>
      </c>
      <c r="Z999" s="58">
        <f t="shared" si="303"/>
        <v>-39.713999999999999</v>
      </c>
      <c r="AA999" s="58">
        <f t="shared" si="300"/>
        <v>2250.46</v>
      </c>
      <c r="AB999" s="58"/>
      <c r="AC999" s="58">
        <f t="shared" si="301"/>
        <v>2853.8</v>
      </c>
      <c r="AD999" s="58" t="e">
        <f>IF(B999&lt;&gt;0,VLOOKUP(B999,#REF!,2,FALSE),"")</f>
        <v>#REF!</v>
      </c>
      <c r="AF999" s="55">
        <f t="shared" si="299"/>
        <v>-10</v>
      </c>
    </row>
    <row r="1000" spans="1:32" s="55" customFormat="1">
      <c r="A1000" s="21"/>
      <c r="B1000" s="20"/>
      <c r="C1000" s="19"/>
      <c r="D1000" s="21"/>
      <c r="E1000" s="21"/>
      <c r="F1000" s="22"/>
      <c r="G1000" s="22"/>
      <c r="H1000" s="22"/>
      <c r="I1000" s="147"/>
      <c r="J1000" s="148"/>
      <c r="K1000" s="148"/>
      <c r="L1000" s="148"/>
      <c r="M1000" s="148"/>
      <c r="N1000" s="148"/>
      <c r="O1000" s="148"/>
      <c r="P1000" s="494"/>
      <c r="Q1000" s="147"/>
      <c r="R1000" s="148"/>
      <c r="S1000" s="148"/>
      <c r="T1000" s="148" t="str">
        <f t="shared" si="298"/>
        <v xml:space="preserve"> </v>
      </c>
      <c r="U1000" s="148"/>
      <c r="V1000" s="379"/>
      <c r="W1000" s="379"/>
      <c r="X1000" s="57"/>
      <c r="Y1000" s="334"/>
      <c r="Z1000" s="58"/>
      <c r="AA1000" s="58"/>
      <c r="AB1000" s="58"/>
      <c r="AC1000" s="58"/>
      <c r="AD1000" s="58"/>
    </row>
    <row r="1001" spans="1:32" s="55" customFormat="1">
      <c r="A1001" s="455" t="s">
        <v>3781</v>
      </c>
      <c r="B1001" s="129"/>
      <c r="C1001" s="229" t="s">
        <v>155</v>
      </c>
      <c r="D1001" s="21"/>
      <c r="E1001" s="21"/>
      <c r="F1001" s="22"/>
      <c r="G1001" s="22"/>
      <c r="H1001" s="22"/>
      <c r="I1001" s="147"/>
      <c r="J1001" s="148"/>
      <c r="K1001" s="148"/>
      <c r="L1001" s="148"/>
      <c r="M1001" s="148"/>
      <c r="N1001" s="148"/>
      <c r="O1001" s="148"/>
      <c r="P1001" s="494"/>
      <c r="Q1001" s="147"/>
      <c r="R1001" s="148"/>
      <c r="S1001" s="148"/>
      <c r="T1001" s="148" t="str">
        <f t="shared" si="298"/>
        <v xml:space="preserve"> </v>
      </c>
      <c r="U1001" s="148"/>
      <c r="V1001" s="379"/>
      <c r="W1001" s="379"/>
      <c r="X1001" s="57"/>
      <c r="Y1001" s="334"/>
      <c r="Z1001" s="58"/>
      <c r="AA1001" s="58"/>
      <c r="AB1001" s="58"/>
      <c r="AC1001" s="58"/>
      <c r="AD1001" s="58"/>
    </row>
    <row r="1002" spans="1:32" s="23" customFormat="1" ht="30">
      <c r="A1002" s="454" t="s">
        <v>3782</v>
      </c>
      <c r="B1002" s="530" t="s">
        <v>3549</v>
      </c>
      <c r="C1002" s="456" t="s">
        <v>3783</v>
      </c>
      <c r="D1002" s="447" t="s">
        <v>12</v>
      </c>
      <c r="E1002" s="531" t="s">
        <v>26</v>
      </c>
      <c r="F1002" s="450"/>
      <c r="G1002" s="450">
        <v>72.658000000000001</v>
      </c>
      <c r="H1002" s="450">
        <v>92.14</v>
      </c>
      <c r="I1002" s="451"/>
      <c r="J1002" s="452"/>
      <c r="K1002" s="452"/>
      <c r="L1002" s="452"/>
      <c r="M1002" s="452"/>
      <c r="N1002" s="452"/>
      <c r="O1002" s="452"/>
      <c r="P1002" s="493">
        <f>(0.3+0.3)*4.3*3+(0.3+0.3+0.3)*4.3</f>
        <v>11.609999999999998</v>
      </c>
      <c r="Q1002" s="451">
        <f>ROUND(P1002*H1002,2)</f>
        <v>1069.75</v>
      </c>
      <c r="R1002" s="452"/>
      <c r="S1002" s="452"/>
      <c r="T1002" s="452">
        <f>P1002</f>
        <v>11.609999999999998</v>
      </c>
      <c r="U1002" s="452">
        <f t="shared" si="295"/>
        <v>1069.75</v>
      </c>
      <c r="V1002" s="529"/>
      <c r="W1002" s="529"/>
      <c r="X1002" s="31"/>
      <c r="Y1002" s="346"/>
      <c r="Z1002" s="32"/>
      <c r="AA1002" s="32"/>
      <c r="AB1002" s="32"/>
      <c r="AC1002" s="32"/>
      <c r="AD1002" s="32"/>
    </row>
    <row r="1003" spans="1:32" s="23" customFormat="1" ht="30">
      <c r="A1003" s="454" t="s">
        <v>3785</v>
      </c>
      <c r="B1003" s="530">
        <v>102253</v>
      </c>
      <c r="C1003" s="456" t="s">
        <v>3784</v>
      </c>
      <c r="D1003" s="447" t="s">
        <v>12</v>
      </c>
      <c r="E1003" s="531" t="s">
        <v>26</v>
      </c>
      <c r="F1003" s="450"/>
      <c r="G1003" s="450">
        <f>(W1003-(W1003*$Z$14))*'PLANILHA ORÇA - CORREGEDORIA'!$S$16</f>
        <v>553.99747374090941</v>
      </c>
      <c r="H1003" s="450">
        <f>ROUND(G1003*(1+$X$13),2)</f>
        <v>702.52</v>
      </c>
      <c r="I1003" s="451"/>
      <c r="J1003" s="452"/>
      <c r="K1003" s="452"/>
      <c r="L1003" s="452"/>
      <c r="M1003" s="452"/>
      <c r="N1003" s="452"/>
      <c r="O1003" s="452"/>
      <c r="P1003" s="493">
        <f>14.4+4.8+9.6+3.84</f>
        <v>32.64</v>
      </c>
      <c r="Q1003" s="451">
        <f>ROUND(P1003*H1003,2)</f>
        <v>22930.25</v>
      </c>
      <c r="R1003" s="452"/>
      <c r="S1003" s="452"/>
      <c r="T1003" s="452">
        <f>P1003</f>
        <v>32.64</v>
      </c>
      <c r="U1003" s="452">
        <f t="shared" si="295"/>
        <v>22930.25</v>
      </c>
      <c r="V1003" s="529"/>
      <c r="W1003" s="529">
        <v>585.05999999999995</v>
      </c>
      <c r="X1003" s="31"/>
      <c r="Y1003" s="346"/>
      <c r="Z1003" s="32"/>
      <c r="AA1003" s="32"/>
      <c r="AB1003" s="32"/>
      <c r="AC1003" s="32"/>
      <c r="AD1003" s="32"/>
    </row>
    <row r="1004" spans="1:32" s="23" customFormat="1" ht="30">
      <c r="A1004" s="566" t="s">
        <v>3786</v>
      </c>
      <c r="B1004" s="567">
        <v>101965</v>
      </c>
      <c r="C1004" s="568" t="s">
        <v>4018</v>
      </c>
      <c r="D1004" s="558" t="s">
        <v>12</v>
      </c>
      <c r="E1004" s="558" t="s">
        <v>52</v>
      </c>
      <c r="F1004" s="559"/>
      <c r="G1004" s="559">
        <f>(W1004-(W1004*$Z$14))*'PLANILHA ORÇA - CORREGEDORIA'!$S$16</f>
        <v>104.86996242574391</v>
      </c>
      <c r="H1004" s="559">
        <f>ROUND(G1004*(1+$X$13),2)</f>
        <v>132.99</v>
      </c>
      <c r="I1004" s="560"/>
      <c r="J1004" s="561"/>
      <c r="K1004" s="561"/>
      <c r="L1004" s="561"/>
      <c r="M1004" s="561"/>
      <c r="N1004" s="561"/>
      <c r="O1004" s="561"/>
      <c r="P1004" s="562">
        <f>60.91</f>
        <v>60.91</v>
      </c>
      <c r="Q1004" s="560">
        <f>ROUND(P1004*H1004,2)</f>
        <v>8100.42</v>
      </c>
      <c r="R1004" s="561"/>
      <c r="S1004" s="561"/>
      <c r="T1004" s="561">
        <f>P1004</f>
        <v>60.91</v>
      </c>
      <c r="U1004" s="561">
        <f t="shared" si="295"/>
        <v>8100.42</v>
      </c>
      <c r="V1004" s="529"/>
      <c r="W1004" s="529">
        <v>110.75</v>
      </c>
      <c r="X1004" s="31"/>
      <c r="Y1004" s="346"/>
      <c r="Z1004" s="32"/>
      <c r="AA1004" s="32"/>
      <c r="AB1004" s="32"/>
      <c r="AC1004" s="32"/>
      <c r="AD1004" s="32"/>
    </row>
    <row r="1005" spans="1:32" s="55" customFormat="1">
      <c r="A1005" s="152"/>
      <c r="B1005" s="150"/>
      <c r="C1005" s="151"/>
      <c r="D1005" s="152"/>
      <c r="E1005" s="152"/>
      <c r="F1005" s="145"/>
      <c r="G1005" s="145"/>
      <c r="H1005" s="145"/>
      <c r="I1005" s="446"/>
      <c r="J1005" s="148"/>
      <c r="K1005" s="148"/>
      <c r="L1005" s="148"/>
      <c r="M1005" s="148"/>
      <c r="N1005" s="148"/>
      <c r="O1005" s="148"/>
      <c r="P1005" s="496"/>
      <c r="Q1005" s="446"/>
      <c r="R1005" s="462"/>
      <c r="S1005" s="148"/>
      <c r="T1005" s="148" t="str">
        <f t="shared" si="298"/>
        <v xml:space="preserve"> </v>
      </c>
      <c r="U1005" s="148"/>
      <c r="V1005" s="379"/>
      <c r="W1005" s="379"/>
      <c r="X1005" s="58" t="str">
        <f>IF(B1005&lt;&gt;0,VLOOKUP(B1005,#REF!,4,FALSE),"")</f>
        <v/>
      </c>
      <c r="Y1005" s="334" t="s">
        <v>1891</v>
      </c>
      <c r="Z1005" s="58"/>
      <c r="AA1005" s="58">
        <f t="shared" si="300"/>
        <v>0</v>
      </c>
      <c r="AB1005" s="58"/>
      <c r="AC1005" s="58">
        <f t="shared" si="301"/>
        <v>0</v>
      </c>
      <c r="AD1005" s="58" t="str">
        <f>IF(B1005&lt;&gt;0,VLOOKUP(B1005,#REF!,2,FALSE),"")</f>
        <v/>
      </c>
      <c r="AF1005" s="55">
        <f t="shared" si="299"/>
        <v>0</v>
      </c>
    </row>
    <row r="1006" spans="1:32" s="55" customFormat="1" ht="15" customHeight="1">
      <c r="A1006" s="322" t="s">
        <v>1492</v>
      </c>
      <c r="B1006" s="463"/>
      <c r="C1006" s="140" t="s">
        <v>360</v>
      </c>
      <c r="D1006" s="464"/>
      <c r="E1006" s="464"/>
      <c r="F1006" s="464"/>
      <c r="G1006" s="148"/>
      <c r="H1006" s="464"/>
      <c r="I1006" s="472">
        <f>ROUND(SUM(I1007:I1008),2)</f>
        <v>5335</v>
      </c>
      <c r="J1006" s="440"/>
      <c r="K1006" s="440"/>
      <c r="L1006" s="440"/>
      <c r="M1006" s="440"/>
      <c r="N1006" s="440"/>
      <c r="O1006" s="440">
        <v>5937.15</v>
      </c>
      <c r="P1006" s="492"/>
      <c r="Q1006" s="440">
        <f>ROUND(SUM(Q1007:Q1008),2)</f>
        <v>0</v>
      </c>
      <c r="R1006" s="440"/>
      <c r="S1006" s="440">
        <f>ROUND(SUM(S1007:S1008),2)</f>
        <v>0</v>
      </c>
      <c r="T1006" s="148" t="str">
        <f t="shared" si="298"/>
        <v xml:space="preserve"> </v>
      </c>
      <c r="U1006" s="440">
        <f t="shared" si="295"/>
        <v>5937.15</v>
      </c>
      <c r="V1006" s="330"/>
      <c r="W1006" s="330"/>
      <c r="X1006" s="58" t="str">
        <f>IF(B1006&lt;&gt;0,VLOOKUP(B1006,#REF!,4,FALSE),"")</f>
        <v/>
      </c>
      <c r="Y1006" s="334" t="s">
        <v>1891</v>
      </c>
      <c r="Z1006" s="58"/>
      <c r="AA1006" s="58">
        <f t="shared" si="300"/>
        <v>0</v>
      </c>
      <c r="AB1006" s="58"/>
      <c r="AC1006" s="58">
        <f t="shared" si="301"/>
        <v>0</v>
      </c>
      <c r="AD1006" s="58" t="str">
        <f>IF(B1006&lt;&gt;0,VLOOKUP(B1006,#REF!,2,FALSE),"")</f>
        <v/>
      </c>
      <c r="AE1006" s="55">
        <v>1204.29</v>
      </c>
      <c r="AF1006" s="55">
        <f t="shared" si="299"/>
        <v>1204.29</v>
      </c>
    </row>
    <row r="1007" spans="1:32" s="55" customFormat="1" ht="30">
      <c r="A1007" s="131" t="s">
        <v>1493</v>
      </c>
      <c r="B1007" s="138">
        <v>10832</v>
      </c>
      <c r="C1007" s="139" t="s">
        <v>3090</v>
      </c>
      <c r="D1007" s="131"/>
      <c r="E1007" s="131" t="s">
        <v>26</v>
      </c>
      <c r="F1007" s="148">
        <v>1204.29</v>
      </c>
      <c r="G1007" s="148">
        <f t="shared" si="302"/>
        <v>1.5555000000000001</v>
      </c>
      <c r="H1007" s="148">
        <f>ROUND(G1007*(1+$X$13),2)</f>
        <v>1.97</v>
      </c>
      <c r="I1007" s="473">
        <f>ROUND(H1007*F1007,2)</f>
        <v>2372.4499999999998</v>
      </c>
      <c r="J1007" s="148"/>
      <c r="K1007" s="148"/>
      <c r="L1007" s="148"/>
      <c r="M1007" s="148">
        <v>1.73</v>
      </c>
      <c r="N1007" s="148">
        <v>2.19</v>
      </c>
      <c r="O1007" s="148">
        <v>2637.4</v>
      </c>
      <c r="P1007" s="494"/>
      <c r="Q1007" s="147">
        <f>ROUND(P1007*N1007,2)</f>
        <v>0</v>
      </c>
      <c r="R1007" s="148"/>
      <c r="S1007" s="148">
        <f>ROUND(R1007*N1007,2)</f>
        <v>0</v>
      </c>
      <c r="T1007" s="148">
        <f t="shared" si="298"/>
        <v>1204.29</v>
      </c>
      <c r="U1007" s="148">
        <f t="shared" si="295"/>
        <v>2637.4</v>
      </c>
      <c r="V1007" s="379"/>
      <c r="W1007" s="379"/>
      <c r="X1007" s="57">
        <f>'COMPOSIÇÃO DE CUSTOS'!G1768</f>
        <v>1.56</v>
      </c>
      <c r="Y1007" s="334">
        <v>1.83</v>
      </c>
      <c r="Z1007" s="58">
        <f t="shared" si="303"/>
        <v>-0.27449999999999997</v>
      </c>
      <c r="AA1007" s="58">
        <f t="shared" si="300"/>
        <v>1873.273095</v>
      </c>
      <c r="AB1007" s="58"/>
      <c r="AC1007" s="58">
        <f t="shared" si="301"/>
        <v>2372.4512999999997</v>
      </c>
      <c r="AD1007" s="58" t="e">
        <f>IF(B1007&lt;&gt;0,VLOOKUP(B1007,#REF!,2,FALSE),"")</f>
        <v>#REF!</v>
      </c>
      <c r="AE1007" s="55">
        <v>1204.29</v>
      </c>
      <c r="AF1007" s="55">
        <f t="shared" si="299"/>
        <v>0</v>
      </c>
    </row>
    <row r="1008" spans="1:32" s="55" customFormat="1" ht="21" customHeight="1">
      <c r="A1008" s="131" t="s">
        <v>1494</v>
      </c>
      <c r="B1008" s="138">
        <v>9537</v>
      </c>
      <c r="C1008" s="139" t="s">
        <v>362</v>
      </c>
      <c r="D1008" s="131" t="s">
        <v>1914</v>
      </c>
      <c r="E1008" s="131" t="s">
        <v>26</v>
      </c>
      <c r="F1008" s="148">
        <v>1204.29</v>
      </c>
      <c r="G1008" s="148">
        <f t="shared" si="302"/>
        <v>1.9379999999999997</v>
      </c>
      <c r="H1008" s="148">
        <f>ROUND(G1008*(1+$X$13),2)</f>
        <v>2.46</v>
      </c>
      <c r="I1008" s="473">
        <f>ROUND(H1008*F1008,2)</f>
        <v>2962.55</v>
      </c>
      <c r="J1008" s="148"/>
      <c r="K1008" s="148"/>
      <c r="L1008" s="148"/>
      <c r="M1008" s="148">
        <v>2.16</v>
      </c>
      <c r="N1008" s="148">
        <v>2.74</v>
      </c>
      <c r="O1008" s="148">
        <v>3299.75</v>
      </c>
      <c r="P1008" s="494"/>
      <c r="Q1008" s="147">
        <f>ROUND(P1008*N1008,2)</f>
        <v>0</v>
      </c>
      <c r="R1008" s="148"/>
      <c r="S1008" s="148">
        <f>ROUND(R1008*N1008,2)</f>
        <v>0</v>
      </c>
      <c r="T1008" s="148">
        <f t="shared" si="298"/>
        <v>1204.29</v>
      </c>
      <c r="U1008" s="148">
        <f t="shared" si="295"/>
        <v>3299.75</v>
      </c>
      <c r="V1008" s="379"/>
      <c r="W1008" s="379"/>
      <c r="X1008" s="57">
        <f>'COMPOSIÇÃO DE CUSTOS'!G1774</f>
        <v>1.94</v>
      </c>
      <c r="Y1008" s="334">
        <v>2.2799999999999998</v>
      </c>
      <c r="Z1008" s="58">
        <f t="shared" si="303"/>
        <v>-0.34200000000000008</v>
      </c>
      <c r="AA1008" s="58">
        <f t="shared" si="300"/>
        <v>2333.9140199999997</v>
      </c>
      <c r="AB1008" s="58"/>
      <c r="AC1008" s="58">
        <f t="shared" si="301"/>
        <v>2962.5533999999998</v>
      </c>
      <c r="AD1008" s="58" t="e">
        <f>IF(B1008&lt;&gt;0,VLOOKUP(B1008,#REF!,2,FALSE),"")</f>
        <v>#REF!</v>
      </c>
      <c r="AF1008" s="55">
        <f>SUM(AF15:AF1007)</f>
        <v>17980.855500000005</v>
      </c>
    </row>
    <row r="1009" spans="1:30" s="55" customFormat="1" ht="15.75" hidden="1" customHeight="1">
      <c r="A1009" s="373"/>
      <c r="B1009" s="373"/>
      <c r="C1009" s="381" t="s">
        <v>3462</v>
      </c>
      <c r="D1009" s="381"/>
      <c r="E1009" s="381"/>
      <c r="F1009" s="381"/>
      <c r="G1009" s="381"/>
      <c r="H1009" s="387" t="s">
        <v>3453</v>
      </c>
      <c r="I1009" s="66">
        <f>AA1009</f>
        <v>4083086.8148820009</v>
      </c>
      <c r="J1009" s="459"/>
      <c r="K1009" s="459"/>
      <c r="L1009" s="459"/>
      <c r="M1009" s="459"/>
      <c r="N1009" s="459"/>
      <c r="O1009" s="459"/>
      <c r="P1009" s="459"/>
      <c r="Q1009" s="460"/>
      <c r="R1009" s="460"/>
      <c r="S1009" s="466"/>
      <c r="T1009" s="379" t="str">
        <f t="shared" si="298"/>
        <v xml:space="preserve"> </v>
      </c>
      <c r="U1009" s="218"/>
      <c r="V1009" s="66"/>
      <c r="W1009" s="66"/>
      <c r="X1009" s="66">
        <v>4803631.5999999996</v>
      </c>
      <c r="Y1009" s="339">
        <v>4803631.5999999996</v>
      </c>
      <c r="Z1009" s="58">
        <f t="shared" si="303"/>
        <v>-4803631.5999999996</v>
      </c>
      <c r="AA1009" s="369">
        <f>SUM(AA23:AA1008)</f>
        <v>4083086.8148820009</v>
      </c>
      <c r="AB1009" s="360">
        <f>AB908+AB459</f>
        <v>516051.05650000012</v>
      </c>
      <c r="AC1009" s="368">
        <f>SUM(AC23:AC1008)</f>
        <v>5106232.0426749978</v>
      </c>
      <c r="AD1009" s="18">
        <f>X1009+'PLANILHA ORÇA - CORREGEDORIA'!I1277</f>
        <v>13465637.707930084</v>
      </c>
    </row>
    <row r="1010" spans="1:30" s="55" customFormat="1" ht="15" hidden="1" customHeight="1">
      <c r="A1010" s="373"/>
      <c r="B1010" s="373"/>
      <c r="C1010" s="381" t="s">
        <v>3451</v>
      </c>
      <c r="D1010" s="381"/>
      <c r="E1010" s="381"/>
      <c r="F1010" s="381"/>
      <c r="G1010" s="381"/>
      <c r="H1010" s="387" t="s">
        <v>3453</v>
      </c>
      <c r="I1010" s="66">
        <f>AC1009-AA1009+0.02</f>
        <v>1023145.2477929969</v>
      </c>
      <c r="J1010" s="458"/>
      <c r="K1010" s="458"/>
      <c r="L1010" s="458"/>
      <c r="M1010" s="458"/>
      <c r="N1010" s="458"/>
      <c r="O1010" s="458"/>
      <c r="P1010" s="458"/>
      <c r="Q1010" s="383"/>
      <c r="R1010" s="383"/>
      <c r="S1010" s="383"/>
      <c r="T1010" s="379" t="str">
        <f t="shared" si="298"/>
        <v xml:space="preserve"> </v>
      </c>
      <c r="U1010" s="457"/>
      <c r="V1010" s="66"/>
      <c r="W1010" s="66"/>
      <c r="X1010" s="66">
        <f>X1011-X1009</f>
        <v>302600.45999999996</v>
      </c>
      <c r="Y1010" s="339">
        <v>1203702.2000000002</v>
      </c>
      <c r="Z1010" s="58">
        <f t="shared" si="303"/>
        <v>-1203702.2000000002</v>
      </c>
      <c r="AA1010" s="361">
        <f>AA1009-AB1009</f>
        <v>3567035.758382001</v>
      </c>
      <c r="AB1010" s="370">
        <f>AB1009*X14</f>
        <v>96398.337354200019</v>
      </c>
      <c r="AC1010" s="60">
        <f>AC1009-AA1009+0.02</f>
        <v>1023145.2477929969</v>
      </c>
      <c r="AD1010" s="18">
        <f>X1010+'PLANILHA ORÇA - CORREGEDORIA'!I1278</f>
        <v>2565431.6820699149</v>
      </c>
    </row>
    <row r="1011" spans="1:30" s="55" customFormat="1" ht="15" hidden="1" customHeight="1">
      <c r="A1011" s="373"/>
      <c r="B1011" s="373"/>
      <c r="C1011" s="381" t="s">
        <v>3463</v>
      </c>
      <c r="D1011" s="381"/>
      <c r="E1011" s="381"/>
      <c r="F1011" s="381"/>
      <c r="G1011" s="381"/>
      <c r="H1011" s="387" t="s">
        <v>3453</v>
      </c>
      <c r="I1011" s="66">
        <f>ROUND(I1006+I982+I977+I972+I958+I205+I198+I188+I176+I172+I164+I161+I158+I146+I141+I82+I66+I34+I21+I17+I15,2)</f>
        <v>5106232.0599999996</v>
      </c>
      <c r="J1011" s="458"/>
      <c r="K1011" s="458"/>
      <c r="L1011" s="458"/>
      <c r="M1011" s="458"/>
      <c r="N1011" s="458"/>
      <c r="O1011" s="458"/>
      <c r="P1011" s="458"/>
      <c r="R1011" s="383"/>
      <c r="T1011" s="379" t="str">
        <f t="shared" si="298"/>
        <v xml:space="preserve"> </v>
      </c>
      <c r="U1011" s="457"/>
      <c r="V1011" s="66"/>
      <c r="W1011" s="66"/>
      <c r="X1011" s="66">
        <f>ROUND(I1006+I982+I977+I972+I958+I205+I198+I188+I176+I172+I164+I161+I158+I146+I141+I82+I66+I34+I21+I17+I15,2)</f>
        <v>5106232.0599999996</v>
      </c>
      <c r="Y1011" s="339">
        <v>6007333.7999999998</v>
      </c>
      <c r="Z1011" s="58">
        <f t="shared" si="303"/>
        <v>-6007333.7999999998</v>
      </c>
      <c r="AA1011" s="363">
        <f>AA1010*X13</f>
        <v>956322.28682221449</v>
      </c>
      <c r="AB1011" s="362"/>
      <c r="AC1011" s="60"/>
      <c r="AD1011" s="18"/>
    </row>
    <row r="1012" spans="1:30" s="55" customFormat="1" ht="15" customHeight="1">
      <c r="A1012" s="386"/>
      <c r="B1012" s="386"/>
      <c r="C1012" s="382"/>
      <c r="D1012" s="382"/>
      <c r="E1012" s="382"/>
      <c r="F1012" s="382"/>
      <c r="G1012" s="382"/>
      <c r="H1012" s="388"/>
      <c r="I1012" s="383"/>
      <c r="J1012" s="383"/>
      <c r="K1012" s="383"/>
      <c r="L1012" s="383"/>
      <c r="M1012" s="383"/>
      <c r="N1012" s="383"/>
      <c r="O1012" s="383"/>
      <c r="P1012" s="383"/>
      <c r="Q1012" s="383"/>
      <c r="R1012" s="383"/>
      <c r="S1012" s="383"/>
      <c r="T1012" s="383"/>
      <c r="U1012" s="383"/>
      <c r="V1012" s="383"/>
      <c r="W1012" s="383"/>
      <c r="X1012" s="383"/>
      <c r="Y1012" s="339"/>
      <c r="Z1012" s="58"/>
      <c r="AA1012" s="363"/>
      <c r="AB1012" s="362"/>
      <c r="AC1012" s="60"/>
      <c r="AD1012" s="18"/>
    </row>
    <row r="1013" spans="1:30" s="55" customFormat="1" ht="15" customHeight="1">
      <c r="A1013" s="373"/>
      <c r="B1013" s="373"/>
      <c r="C1013" s="381" t="s">
        <v>3459</v>
      </c>
      <c r="D1013" s="381"/>
      <c r="E1013" s="381"/>
      <c r="F1013" s="381"/>
      <c r="G1013" s="381"/>
      <c r="H1013" s="387" t="s">
        <v>3453</v>
      </c>
      <c r="I1013" s="66">
        <f>'PLANILHA ORÇA - CORREGEDORIA'!I1279</f>
        <v>10924837.33</v>
      </c>
      <c r="J1013" s="383"/>
      <c r="K1013" s="383"/>
      <c r="L1013" s="383"/>
      <c r="M1013" s="383"/>
      <c r="N1013" s="383"/>
      <c r="O1013" s="383"/>
      <c r="P1013" s="383"/>
      <c r="Q1013" s="465" t="s">
        <v>3799</v>
      </c>
      <c r="R1013" s="383"/>
      <c r="S1013" s="465" t="s">
        <v>3799</v>
      </c>
      <c r="T1013" s="383"/>
      <c r="U1013" s="465" t="s">
        <v>3799</v>
      </c>
      <c r="V1013" s="383"/>
      <c r="W1013" s="383"/>
      <c r="X1013" s="383"/>
      <c r="Y1013" s="339"/>
      <c r="Z1013" s="58"/>
      <c r="AA1013" s="363"/>
      <c r="AB1013" s="362"/>
      <c r="AC1013" s="60"/>
      <c r="AD1013" s="18"/>
    </row>
    <row r="1014" spans="1:30" s="55" customFormat="1" ht="15" customHeight="1">
      <c r="A1014" s="373"/>
      <c r="B1014" s="373"/>
      <c r="C1014" s="381" t="s">
        <v>3460</v>
      </c>
      <c r="D1014" s="381"/>
      <c r="E1014" s="381"/>
      <c r="F1014" s="381"/>
      <c r="G1014" s="381"/>
      <c r="H1014" s="387" t="s">
        <v>3453</v>
      </c>
      <c r="I1014" s="66">
        <f>I1011</f>
        <v>5106232.0599999996</v>
      </c>
      <c r="J1014" s="383"/>
      <c r="K1014" s="383"/>
      <c r="L1014" s="383"/>
      <c r="M1014" s="383"/>
      <c r="N1014" s="383"/>
      <c r="O1014" s="383"/>
      <c r="P1014" s="383"/>
      <c r="Q1014" s="512" t="s">
        <v>3775</v>
      </c>
      <c r="R1014" s="461"/>
      <c r="S1014" s="512" t="s">
        <v>3777</v>
      </c>
      <c r="T1014" s="461"/>
      <c r="U1014" s="465" t="s">
        <v>3793</v>
      </c>
      <c r="V1014" s="383"/>
      <c r="W1014" s="383"/>
      <c r="X1014" s="383"/>
      <c r="Y1014" s="339"/>
      <c r="Z1014" s="58"/>
      <c r="AA1014" s="363"/>
      <c r="AB1014" s="362"/>
      <c r="AC1014" s="60"/>
      <c r="AD1014" s="18"/>
    </row>
    <row r="1015" spans="1:30" s="55" customFormat="1" ht="15" customHeight="1">
      <c r="A1015" s="373"/>
      <c r="B1015" s="373"/>
      <c r="C1015" s="381" t="s">
        <v>3461</v>
      </c>
      <c r="D1015" s="381"/>
      <c r="E1015" s="381"/>
      <c r="F1015" s="381"/>
      <c r="G1015" s="381"/>
      <c r="H1015" s="387" t="s">
        <v>3453</v>
      </c>
      <c r="I1015" s="66">
        <f>I1013+I1014</f>
        <v>16031069.390000001</v>
      </c>
      <c r="J1015" s="383"/>
      <c r="K1015" s="383"/>
      <c r="L1015" s="582" t="s">
        <v>3863</v>
      </c>
      <c r="M1015" s="582"/>
      <c r="N1015" s="582"/>
      <c r="O1015" s="513">
        <f>O1036+L1036</f>
        <v>6173519.21</v>
      </c>
      <c r="P1015" s="383"/>
      <c r="Q1015" s="465">
        <f>ROUND(Q1006+Q982+Q977+Q972+Q958+Q205+Q198+Q188+Q176+Q172+Q164+Q161+Q158+Q146+Q141+Q82+Q66+Q34+Q21+Q17+Q15,2)</f>
        <v>1154686.8700000001</v>
      </c>
      <c r="R1015" s="461"/>
      <c r="S1015" s="465">
        <f>ROUND(S1006+S982+S977+S972+S958+S205+S198+S188+S176+S172+S164+S161+S158+S146+S141+S82+S66+S34+S21+S17+S15,2)</f>
        <v>810343.73</v>
      </c>
      <c r="T1015" s="461"/>
      <c r="U1015" s="465">
        <f>Q1015-S1015</f>
        <v>344343.14000000013</v>
      </c>
      <c r="V1015" s="383"/>
      <c r="W1015" s="383"/>
      <c r="X1015" s="383"/>
      <c r="Y1015" s="339"/>
      <c r="Z1015" s="58"/>
      <c r="AA1015" s="363"/>
      <c r="AB1015" s="362"/>
      <c r="AC1015" s="60"/>
      <c r="AD1015" s="18"/>
    </row>
    <row r="1016" spans="1:30" s="55" customFormat="1" ht="15" customHeight="1">
      <c r="A1016" s="386"/>
      <c r="B1016" s="386"/>
      <c r="C1016" s="389"/>
      <c r="D1016" s="382"/>
      <c r="E1016" s="382"/>
      <c r="F1016" s="382"/>
      <c r="G1016" s="382"/>
      <c r="H1016" s="388"/>
      <c r="I1016" s="383"/>
      <c r="J1016" s="383"/>
      <c r="K1016" s="383"/>
      <c r="L1016" s="383"/>
      <c r="M1016" s="383"/>
      <c r="N1016" s="383"/>
      <c r="O1016" s="383"/>
      <c r="P1016" s="383"/>
      <c r="Q1016" s="383"/>
      <c r="R1016" s="383"/>
      <c r="S1016" s="383"/>
      <c r="T1016" s="383"/>
      <c r="U1016" s="383"/>
      <c r="V1016" s="383"/>
      <c r="W1016" s="383"/>
      <c r="X1016" s="383"/>
      <c r="Y1016" s="339"/>
      <c r="Z1016" s="58"/>
      <c r="AA1016" s="363"/>
      <c r="AB1016" s="362"/>
      <c r="AC1016" s="60"/>
      <c r="AD1016" s="18"/>
    </row>
    <row r="1017" spans="1:30" s="55" customFormat="1" ht="15" customHeight="1">
      <c r="A1017" s="386"/>
      <c r="B1017" s="386"/>
      <c r="C1017" s="391"/>
      <c r="D1017" s="382"/>
      <c r="E1017" s="382"/>
      <c r="F1017" s="382"/>
      <c r="G1017" s="382"/>
      <c r="H1017" s="388"/>
      <c r="I1017" s="383"/>
      <c r="J1017" s="383"/>
      <c r="K1017" s="383"/>
      <c r="L1017" s="383"/>
      <c r="M1017" s="383"/>
      <c r="N1017" s="383"/>
      <c r="O1017" s="383"/>
      <c r="P1017" s="383"/>
      <c r="Q1017" s="383"/>
      <c r="R1017" s="383"/>
      <c r="S1017" s="383"/>
      <c r="T1017" s="383"/>
      <c r="U1017" s="383"/>
      <c r="V1017" s="383"/>
      <c r="W1017" s="383"/>
      <c r="X1017" s="383"/>
      <c r="Y1017" s="339"/>
      <c r="Z1017" s="58"/>
      <c r="AA1017" s="363"/>
      <c r="AB1017" s="362"/>
      <c r="AC1017" s="60"/>
      <c r="AD1017" s="18"/>
    </row>
    <row r="1018" spans="1:30" s="55" customFormat="1" ht="15" customHeight="1">
      <c r="A1018" s="386"/>
      <c r="B1018" s="386"/>
      <c r="C1018" s="2"/>
      <c r="D1018" s="382"/>
      <c r="E1018" s="382"/>
      <c r="F1018" s="382"/>
      <c r="G1018" s="382"/>
      <c r="H1018" s="388"/>
      <c r="I1018" s="383"/>
      <c r="J1018" s="383"/>
      <c r="K1018" s="383"/>
      <c r="L1018" s="383"/>
      <c r="M1018" s="383"/>
      <c r="N1018" s="383"/>
      <c r="O1018" s="383"/>
      <c r="P1018" s="383"/>
      <c r="Q1018" s="465" t="s">
        <v>3864</v>
      </c>
      <c r="R1018" s="383"/>
      <c r="S1018" s="465" t="s">
        <v>3864</v>
      </c>
      <c r="T1018" s="383"/>
      <c r="U1018" s="465" t="s">
        <v>3864</v>
      </c>
      <c r="V1018" s="383"/>
      <c r="W1018" s="383"/>
      <c r="X1018" s="383"/>
      <c r="Y1018" s="339"/>
      <c r="Z1018" s="58"/>
      <c r="AA1018" s="363"/>
      <c r="AB1018" s="362"/>
      <c r="AC1018" s="60"/>
      <c r="AD1018" s="18"/>
    </row>
    <row r="1019" spans="1:30" s="55" customFormat="1" ht="15" customHeight="1">
      <c r="A1019" s="386"/>
      <c r="B1019" s="386"/>
      <c r="C1019" s="2"/>
      <c r="D1019" s="382"/>
      <c r="E1019" s="382"/>
      <c r="F1019" s="382"/>
      <c r="G1019" s="382"/>
      <c r="H1019" s="388"/>
      <c r="I1019" s="383"/>
      <c r="J1019" s="383"/>
      <c r="K1019" s="383"/>
      <c r="L1019" s="383"/>
      <c r="M1019" s="383"/>
      <c r="N1019" s="383"/>
      <c r="O1019" s="383"/>
      <c r="P1019" s="383"/>
      <c r="Q1019" s="512" t="s">
        <v>3775</v>
      </c>
      <c r="R1019" s="461"/>
      <c r="S1019" s="512" t="s">
        <v>3777</v>
      </c>
      <c r="T1019" s="383"/>
      <c r="U1019" s="465" t="s">
        <v>3793</v>
      </c>
      <c r="V1019" s="383"/>
      <c r="W1019" s="383"/>
      <c r="X1019" s="383"/>
      <c r="Y1019" s="339"/>
      <c r="Z1019" s="58"/>
      <c r="AA1019" s="363"/>
      <c r="AB1019" s="362"/>
      <c r="AC1019" s="60"/>
      <c r="AD1019" s="18"/>
    </row>
    <row r="1020" spans="1:30" s="55" customFormat="1" ht="15" customHeight="1">
      <c r="A1020" s="386"/>
      <c r="B1020" s="386"/>
      <c r="C1020" s="2"/>
      <c r="D1020" s="2"/>
      <c r="E1020" s="2"/>
      <c r="F1020" s="2"/>
      <c r="G1020" s="2"/>
      <c r="H1020" s="2"/>
      <c r="I1020" s="383"/>
      <c r="J1020" s="383"/>
      <c r="K1020" s="383"/>
      <c r="L1020" s="610" t="s">
        <v>3860</v>
      </c>
      <c r="M1020" s="611"/>
      <c r="N1020" s="611"/>
      <c r="O1020" s="514">
        <f>'PLANILHA ORÇA - CORREGEDORIA'!O1279</f>
        <v>14640716.559999999</v>
      </c>
      <c r="P1020" s="383"/>
      <c r="Q1020" s="465">
        <f>'PLANILHA ORÇA - CORREGEDORIA'!Q1279</f>
        <v>2695656.91</v>
      </c>
      <c r="R1020" s="383"/>
      <c r="S1020" s="465">
        <f>'PLANILHA ORÇA - CORREGEDORIA'!S1279</f>
        <v>804301.42</v>
      </c>
      <c r="T1020" s="383"/>
      <c r="U1020" s="465">
        <f>Q1020-S1020</f>
        <v>1891355.4900000002</v>
      </c>
      <c r="V1020" s="383"/>
      <c r="W1020" s="383"/>
      <c r="X1020" s="383"/>
      <c r="Y1020" s="339"/>
      <c r="Z1020" s="58"/>
      <c r="AA1020" s="363"/>
      <c r="AB1020" s="362"/>
      <c r="AC1020" s="60"/>
      <c r="AD1020" s="18"/>
    </row>
    <row r="1021" spans="1:30" s="55" customFormat="1" ht="15" customHeight="1">
      <c r="A1021" s="386"/>
      <c r="B1021" s="386"/>
      <c r="C1021" s="2"/>
      <c r="D1021" s="2"/>
      <c r="E1021" s="2"/>
      <c r="F1021" s="2"/>
      <c r="G1021" s="2"/>
      <c r="H1021" s="2"/>
      <c r="I1021" s="383"/>
      <c r="J1021" s="383"/>
      <c r="K1021" s="383"/>
      <c r="L1021" s="383"/>
      <c r="M1021" s="383"/>
      <c r="N1021" s="383"/>
      <c r="O1021" s="383"/>
      <c r="P1021" s="383"/>
      <c r="Q1021" s="461"/>
      <c r="R1021" s="383"/>
      <c r="S1021" s="461"/>
      <c r="T1021" s="383"/>
      <c r="U1021" s="461"/>
      <c r="V1021" s="383"/>
      <c r="W1021" s="383"/>
      <c r="X1021" s="383"/>
      <c r="Y1021" s="339"/>
      <c r="Z1021" s="58"/>
      <c r="AA1021" s="363"/>
      <c r="AB1021" s="362"/>
      <c r="AC1021" s="60"/>
      <c r="AD1021" s="18"/>
    </row>
    <row r="1022" spans="1:30" ht="15" customHeight="1">
      <c r="A1022" s="386"/>
      <c r="B1022" s="386"/>
      <c r="C1022" s="386"/>
      <c r="I1022" s="383"/>
      <c r="J1022" s="383"/>
      <c r="K1022" s="383"/>
      <c r="L1022" s="383"/>
      <c r="M1022" s="383"/>
      <c r="N1022" s="383"/>
      <c r="O1022" s="383"/>
      <c r="P1022" s="383"/>
      <c r="R1022" s="383"/>
      <c r="T1022" s="383"/>
      <c r="V1022" s="383"/>
      <c r="W1022" s="383"/>
      <c r="X1022" s="383"/>
      <c r="Y1022" s="339"/>
      <c r="Z1022" s="30"/>
      <c r="AA1022" s="476"/>
      <c r="AB1022" s="477"/>
      <c r="AC1022" s="43"/>
      <c r="AD1022" s="18"/>
    </row>
    <row r="1023" spans="1:30" ht="15" customHeight="1">
      <c r="A1023" s="386"/>
      <c r="B1023" s="386"/>
      <c r="C1023" s="386"/>
      <c r="I1023" s="383"/>
      <c r="J1023" s="383"/>
      <c r="K1023" s="383"/>
      <c r="L1023" s="383"/>
      <c r="M1023" s="383"/>
      <c r="N1023" s="383"/>
      <c r="O1023" s="383"/>
      <c r="P1023" s="383"/>
      <c r="Q1023" s="465" t="s">
        <v>368</v>
      </c>
      <c r="R1023" s="383"/>
      <c r="S1023" s="465" t="s">
        <v>368</v>
      </c>
      <c r="T1023" s="383"/>
      <c r="U1023" s="465" t="s">
        <v>368</v>
      </c>
      <c r="V1023" s="383"/>
      <c r="W1023" s="383"/>
      <c r="X1023" s="383"/>
      <c r="Y1023" s="339"/>
      <c r="Z1023" s="30"/>
      <c r="AA1023" s="476"/>
      <c r="AB1023" s="477"/>
      <c r="AC1023" s="43"/>
      <c r="AD1023" s="18"/>
    </row>
    <row r="1024" spans="1:30" ht="15" customHeight="1">
      <c r="A1024" s="386"/>
      <c r="B1024" s="386"/>
      <c r="C1024" s="386"/>
      <c r="I1024" s="383"/>
      <c r="J1024" s="383"/>
      <c r="K1024" s="383"/>
      <c r="L1024" s="383"/>
      <c r="M1024" s="383"/>
      <c r="N1024" s="383"/>
      <c r="O1024" s="383"/>
      <c r="P1024" s="383"/>
      <c r="Q1024" s="512" t="s">
        <v>3775</v>
      </c>
      <c r="R1024" s="461"/>
      <c r="S1024" s="512" t="s">
        <v>3777</v>
      </c>
      <c r="T1024" s="383"/>
      <c r="U1024" s="465" t="s">
        <v>3793</v>
      </c>
      <c r="V1024" s="383"/>
      <c r="W1024" s="383"/>
      <c r="X1024" s="383"/>
      <c r="Y1024" s="339"/>
      <c r="Z1024" s="30"/>
      <c r="AA1024" s="476"/>
      <c r="AB1024" s="477"/>
      <c r="AC1024" s="43"/>
      <c r="AD1024" s="18"/>
    </row>
    <row r="1025" spans="1:30" s="55" customFormat="1" ht="15" customHeight="1">
      <c r="A1025" s="386"/>
      <c r="B1025" s="386"/>
      <c r="C1025" s="390"/>
      <c r="D1025" s="2"/>
      <c r="E1025" s="2"/>
      <c r="F1025" s="2"/>
      <c r="G1025" s="2"/>
      <c r="H1025" s="2"/>
      <c r="I1025" s="383"/>
      <c r="J1025" s="383"/>
      <c r="K1025" s="383"/>
      <c r="L1025" s="383"/>
      <c r="M1025" s="383"/>
      <c r="N1025" s="383"/>
      <c r="O1025" s="383"/>
      <c r="P1025" s="383"/>
      <c r="Q1025" s="515">
        <f>Q1015+Q1020</f>
        <v>3850343.7800000003</v>
      </c>
      <c r="R1025" s="383"/>
      <c r="S1025" s="516">
        <f>S1015+S1020</f>
        <v>1614645.15</v>
      </c>
      <c r="T1025" s="383"/>
      <c r="U1025" s="465">
        <f>Q1025-S1025</f>
        <v>2235698.6300000004</v>
      </c>
      <c r="V1025" s="383"/>
      <c r="W1025" s="383"/>
      <c r="X1025" s="383"/>
      <c r="Y1025" s="339"/>
      <c r="Z1025" s="58"/>
      <c r="AA1025" s="363"/>
      <c r="AB1025" s="362"/>
      <c r="AC1025" s="60"/>
      <c r="AD1025" s="18"/>
    </row>
    <row r="1026" spans="1:30" s="55" customFormat="1" ht="15" customHeight="1">
      <c r="A1026" s="386"/>
      <c r="B1026" s="386"/>
      <c r="C1026" s="386"/>
      <c r="D1026" s="386"/>
      <c r="E1026" s="386"/>
      <c r="F1026" s="386"/>
      <c r="G1026" s="386"/>
      <c r="H1026" s="386"/>
      <c r="I1026" s="383"/>
      <c r="J1026" s="383"/>
      <c r="K1026" s="383"/>
      <c r="L1026" s="610" t="s">
        <v>3865</v>
      </c>
      <c r="M1026" s="611"/>
      <c r="N1026" s="611"/>
      <c r="O1026" s="514">
        <f>O1020+O1015</f>
        <v>20814235.77</v>
      </c>
      <c r="P1026" s="383"/>
      <c r="Q1026" s="484">
        <f>Q1025/O1026</f>
        <v>0.18498607503762318</v>
      </c>
      <c r="R1026" s="383"/>
      <c r="S1026" s="485">
        <f>S1025/O1026</f>
        <v>7.7574078041684452E-2</v>
      </c>
      <c r="T1026" s="383"/>
      <c r="U1026" s="383"/>
      <c r="V1026" s="383"/>
      <c r="W1026" s="383"/>
      <c r="X1026" s="383"/>
      <c r="Y1026" s="339"/>
      <c r="Z1026" s="58"/>
      <c r="AA1026" s="363"/>
      <c r="AB1026" s="362"/>
      <c r="AC1026" s="60"/>
      <c r="AD1026" s="18"/>
    </row>
    <row r="1027" spans="1:30" s="55" customFormat="1" ht="15" hidden="1" customHeight="1">
      <c r="A1027" s="386"/>
      <c r="B1027" s="386"/>
      <c r="D1027" s="386"/>
      <c r="E1027" s="386"/>
      <c r="F1027" s="386"/>
      <c r="G1027" s="386"/>
      <c r="H1027" s="386"/>
      <c r="I1027" s="383"/>
      <c r="J1027" s="383"/>
      <c r="K1027" s="383"/>
      <c r="L1027" s="383"/>
      <c r="M1027" s="383"/>
      <c r="N1027" s="383"/>
      <c r="O1027" s="383"/>
      <c r="P1027" s="383"/>
      <c r="Q1027" s="383"/>
      <c r="R1027" s="383"/>
      <c r="S1027" s="383"/>
      <c r="T1027" s="383"/>
      <c r="U1027" s="383"/>
      <c r="V1027" s="383"/>
      <c r="W1027" s="383"/>
      <c r="X1027" s="383"/>
      <c r="Y1027" s="339"/>
      <c r="Z1027" s="58"/>
      <c r="AA1027" s="363"/>
      <c r="AB1027" s="362"/>
      <c r="AC1027" s="60"/>
      <c r="AD1027" s="18"/>
    </row>
    <row r="1028" spans="1:30" s="55" customFormat="1" ht="15" hidden="1" customHeight="1">
      <c r="A1028" s="386"/>
      <c r="B1028" s="386"/>
      <c r="C1028" s="386"/>
      <c r="D1028" s="386"/>
      <c r="E1028" s="386"/>
      <c r="F1028" s="386"/>
      <c r="G1028" s="386"/>
      <c r="H1028" s="386"/>
      <c r="I1028" s="383"/>
      <c r="J1028" s="383"/>
      <c r="K1028" s="383"/>
      <c r="L1028" s="383"/>
      <c r="M1028" s="383"/>
      <c r="N1028" s="383"/>
      <c r="O1028" s="383"/>
      <c r="P1028" s="383"/>
      <c r="Q1028" s="383"/>
      <c r="R1028" s="383"/>
      <c r="S1028" s="383"/>
      <c r="T1028" s="383"/>
      <c r="U1028" s="383"/>
      <c r="V1028" s="383"/>
      <c r="W1028" s="383"/>
      <c r="X1028" s="383"/>
      <c r="Y1028" s="339"/>
      <c r="Z1028" s="58"/>
      <c r="AA1028" s="363"/>
      <c r="AB1028" s="362"/>
      <c r="AC1028" s="60"/>
      <c r="AD1028" s="18"/>
    </row>
    <row r="1029" spans="1:30" hidden="1">
      <c r="I1029" s="214"/>
      <c r="J1029" s="214"/>
      <c r="K1029" s="214"/>
      <c r="L1029" s="214"/>
      <c r="M1029" s="214"/>
      <c r="N1029" s="214"/>
      <c r="O1029" s="214"/>
      <c r="P1029" s="214"/>
      <c r="Q1029" s="214"/>
      <c r="R1029" s="214"/>
      <c r="S1029" s="214"/>
      <c r="T1029" s="214"/>
      <c r="U1029" s="214"/>
      <c r="V1029" s="214"/>
      <c r="W1029" s="214"/>
      <c r="Z1029" s="58"/>
      <c r="AA1029" s="361"/>
      <c r="AB1029" s="362"/>
      <c r="AC1029" s="60"/>
    </row>
    <row r="1030" spans="1:30" hidden="1">
      <c r="I1030" s="232"/>
      <c r="J1030" s="232"/>
      <c r="K1030" s="232"/>
      <c r="L1030" s="232"/>
      <c r="M1030" s="232"/>
      <c r="N1030" s="232"/>
      <c r="O1030" s="232"/>
      <c r="P1030" s="232"/>
      <c r="Q1030" s="232"/>
      <c r="R1030" s="232"/>
      <c r="S1030" s="232"/>
      <c r="T1030" s="232"/>
      <c r="U1030" s="232"/>
      <c r="V1030" s="232"/>
      <c r="W1030" s="232"/>
      <c r="X1030" s="359"/>
      <c r="AA1030" s="364"/>
      <c r="AB1030" s="365"/>
      <c r="AC1030" s="18"/>
    </row>
    <row r="1031" spans="1:30" hidden="1">
      <c r="D1031" s="2">
        <v>18792624.09</v>
      </c>
      <c r="H1031" s="215"/>
      <c r="AA1031" s="364"/>
      <c r="AB1031" s="365"/>
      <c r="AC1031" s="18"/>
    </row>
    <row r="1032" spans="1:30">
      <c r="H1032" s="215"/>
      <c r="AA1032" s="364"/>
      <c r="AB1032" s="365"/>
      <c r="AC1032" s="18"/>
    </row>
    <row r="1033" spans="1:30" ht="15.75" thickBot="1">
      <c r="H1033" s="35"/>
      <c r="I1033" s="212"/>
      <c r="J1033" s="212"/>
      <c r="K1033" s="212"/>
      <c r="L1033" s="610" t="s">
        <v>3868</v>
      </c>
      <c r="M1033" s="611"/>
      <c r="N1033" s="611"/>
      <c r="O1033" s="514">
        <f>O1026+O1021+U1025</f>
        <v>23049934.399999999</v>
      </c>
      <c r="P1033" s="212"/>
      <c r="Q1033" s="212"/>
      <c r="R1033" s="212"/>
      <c r="S1033" s="212"/>
      <c r="T1033" s="212"/>
      <c r="U1033" s="212"/>
      <c r="V1033" s="212"/>
      <c r="W1033" s="212"/>
      <c r="Z1033" s="359"/>
      <c r="AA1033" s="366"/>
      <c r="AB1033" s="367"/>
      <c r="AC1033" s="18"/>
    </row>
    <row r="1034" spans="1:30">
      <c r="H1034" s="215"/>
    </row>
    <row r="1035" spans="1:30">
      <c r="H1035" s="35"/>
    </row>
    <row r="1036" spans="1:30">
      <c r="L1036" s="465">
        <f>ROUND(L1006+L982+L977+L972+L958+L205+L198+L188+L176+L172+L164+L161+L158+L146+L141+L82+L66+L34+L21+L17+L15,2)</f>
        <v>1240983.54</v>
      </c>
      <c r="M1036" s="511"/>
      <c r="N1036" s="466"/>
      <c r="O1036" s="465">
        <f>ROUND(O1006+O982+O977+O972+O958+O205+O198+O188+O176+O172+O164+O161+O158+O146+O141+O82+O66+O34+O21+O17+O15,2)</f>
        <v>4932535.67</v>
      </c>
    </row>
  </sheetData>
  <mergeCells count="20">
    <mergeCell ref="L1020:N1020"/>
    <mergeCell ref="L1026:N1026"/>
    <mergeCell ref="P13:Q13"/>
    <mergeCell ref="R13:S13"/>
    <mergeCell ref="L1033:N1033"/>
    <mergeCell ref="L1015:N1015"/>
    <mergeCell ref="T13:U13"/>
    <mergeCell ref="C7:E8"/>
    <mergeCell ref="C11:G11"/>
    <mergeCell ref="I13:I14"/>
    <mergeCell ref="F13:F14"/>
    <mergeCell ref="G13:H13"/>
    <mergeCell ref="A12:U12"/>
    <mergeCell ref="A13:A14"/>
    <mergeCell ref="B13:B14"/>
    <mergeCell ref="C13:C14"/>
    <mergeCell ref="D13:D14"/>
    <mergeCell ref="E13:E14"/>
    <mergeCell ref="M13:O13"/>
    <mergeCell ref="J13:L13"/>
  </mergeCells>
  <pageMargins left="0.39370078740157483" right="0.39370078740157483" top="1.9685039370078741" bottom="0.98425196850393704" header="0" footer="0"/>
  <pageSetup paperSize="9" scale="31" orientation="portrait" blackAndWhite="1" r:id="rId1"/>
  <rowBreaks count="1" manualBreakCount="1">
    <brk id="98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15"/>
  <sheetViews>
    <sheetView view="pageBreakPreview" topLeftCell="A405" zoomScaleSheetLayoutView="100" workbookViewId="0">
      <selection activeCell="A410" sqref="A410:E410"/>
    </sheetView>
  </sheetViews>
  <sheetFormatPr defaultRowHeight="15"/>
  <cols>
    <col min="1" max="1" width="10.140625" bestFit="1" customWidth="1"/>
    <col min="2" max="2" width="33.5703125" customWidth="1"/>
    <col min="5" max="5" width="9.28515625" bestFit="1" customWidth="1"/>
    <col min="6" max="6" width="13.28515625" customWidth="1"/>
    <col min="7" max="7" width="10.5703125" bestFit="1" customWidth="1"/>
    <col min="8" max="8" width="9.85546875" bestFit="1" customWidth="1"/>
    <col min="9" max="9" width="9.85546875" customWidth="1"/>
    <col min="10" max="11" width="9.85546875" bestFit="1" customWidth="1"/>
  </cols>
  <sheetData>
    <row r="2" spans="1:9" ht="25.5" customHeight="1">
      <c r="A2" s="617" t="s">
        <v>3866</v>
      </c>
      <c r="B2" s="618"/>
      <c r="C2" s="618"/>
      <c r="D2" s="618"/>
      <c r="E2" s="618"/>
      <c r="F2" s="618"/>
      <c r="G2" s="619"/>
    </row>
    <row r="3" spans="1:9" ht="26.25" customHeight="1"/>
    <row r="4" spans="1:9">
      <c r="A4" s="612" t="s">
        <v>3790</v>
      </c>
      <c r="B4" s="613"/>
      <c r="C4" s="613"/>
      <c r="D4" s="613"/>
      <c r="E4" s="614"/>
      <c r="F4" s="69" t="s">
        <v>44</v>
      </c>
      <c r="G4" s="87">
        <v>77</v>
      </c>
    </row>
    <row r="5" spans="1:9" ht="36.75" customHeight="1">
      <c r="A5" s="69" t="s">
        <v>1915</v>
      </c>
      <c r="B5" s="69" t="s">
        <v>2</v>
      </c>
      <c r="C5" s="69" t="s">
        <v>3</v>
      </c>
      <c r="D5" s="69" t="s">
        <v>4</v>
      </c>
      <c r="E5" s="69" t="s">
        <v>1826</v>
      </c>
      <c r="F5" s="69" t="s">
        <v>367</v>
      </c>
      <c r="G5" s="69" t="s">
        <v>368</v>
      </c>
    </row>
    <row r="6" spans="1:9" ht="30">
      <c r="A6" s="20">
        <v>366</v>
      </c>
      <c r="B6" s="70" t="s">
        <v>3792</v>
      </c>
      <c r="C6" s="21" t="s">
        <v>12</v>
      </c>
      <c r="D6" s="21" t="s">
        <v>35</v>
      </c>
      <c r="E6" s="22">
        <v>1.2</v>
      </c>
      <c r="F6" s="22">
        <f>H6</f>
        <v>28.33</v>
      </c>
      <c r="G6" s="22">
        <f>ROUND(F6*E6,2)</f>
        <v>34</v>
      </c>
      <c r="H6">
        <v>28.33</v>
      </c>
    </row>
    <row r="7" spans="1:9" ht="30">
      <c r="A7" s="20">
        <v>88316</v>
      </c>
      <c r="B7" s="70" t="s">
        <v>377</v>
      </c>
      <c r="C7" s="21" t="s">
        <v>12</v>
      </c>
      <c r="D7" s="21" t="s">
        <v>19</v>
      </c>
      <c r="E7" s="22">
        <v>3</v>
      </c>
      <c r="F7" s="22">
        <f>H7</f>
        <v>13.88</v>
      </c>
      <c r="G7" s="22">
        <f>ROUND(F7*E7,2)</f>
        <v>41.64</v>
      </c>
      <c r="H7">
        <v>13.88</v>
      </c>
    </row>
    <row r="8" spans="1:9">
      <c r="A8" s="615" t="s">
        <v>1893</v>
      </c>
      <c r="B8" s="615"/>
      <c r="C8" s="615"/>
      <c r="D8" s="615"/>
      <c r="E8" s="615"/>
      <c r="F8" s="615"/>
      <c r="G8" s="88">
        <f>ROUND(SUM(G6:G7),2)</f>
        <v>75.64</v>
      </c>
    </row>
    <row r="11" spans="1:9" ht="69.75" customHeight="1">
      <c r="A11" s="612" t="s">
        <v>3821</v>
      </c>
      <c r="B11" s="613"/>
      <c r="C11" s="613"/>
      <c r="D11" s="613"/>
      <c r="E11" s="614"/>
      <c r="F11" s="69" t="s">
        <v>44</v>
      </c>
      <c r="G11" s="87">
        <v>12385</v>
      </c>
    </row>
    <row r="12" spans="1:9" ht="28.5">
      <c r="A12" s="69" t="s">
        <v>1915</v>
      </c>
      <c r="B12" s="69" t="s">
        <v>2</v>
      </c>
      <c r="C12" s="69" t="s">
        <v>3</v>
      </c>
      <c r="D12" s="69" t="s">
        <v>4</v>
      </c>
      <c r="E12" s="69" t="s">
        <v>1826</v>
      </c>
      <c r="F12" s="69" t="s">
        <v>367</v>
      </c>
      <c r="G12" s="69" t="s">
        <v>368</v>
      </c>
    </row>
    <row r="13" spans="1:9" ht="75">
      <c r="A13" s="20">
        <v>13233</v>
      </c>
      <c r="B13" s="70" t="s">
        <v>3819</v>
      </c>
      <c r="C13" s="21" t="s">
        <v>44</v>
      </c>
      <c r="D13" s="21" t="s">
        <v>52</v>
      </c>
      <c r="E13" s="22">
        <v>1</v>
      </c>
      <c r="F13" s="22">
        <f>H13</f>
        <v>1104.04</v>
      </c>
      <c r="G13" s="22">
        <f>ROUND(F13*E13,2)</f>
        <v>1104.04</v>
      </c>
      <c r="H13" s="479">
        <v>1104.04</v>
      </c>
      <c r="I13" s="479"/>
    </row>
    <row r="14" spans="1:9" ht="45">
      <c r="A14" s="20">
        <v>125</v>
      </c>
      <c r="B14" s="70" t="s">
        <v>3820</v>
      </c>
      <c r="C14" s="21" t="s">
        <v>44</v>
      </c>
      <c r="D14" s="21" t="s">
        <v>35</v>
      </c>
      <c r="E14" s="83">
        <v>1.4999999999999999E-2</v>
      </c>
      <c r="F14" s="22">
        <f>H14</f>
        <v>479.24</v>
      </c>
      <c r="G14" s="22">
        <f>ROUND(F14*E14,2)</f>
        <v>7.19</v>
      </c>
      <c r="H14" s="479">
        <v>479.24</v>
      </c>
      <c r="I14" s="479"/>
    </row>
    <row r="15" spans="1:9" ht="30">
      <c r="A15" s="20">
        <v>88309</v>
      </c>
      <c r="B15" s="70" t="s">
        <v>390</v>
      </c>
      <c r="C15" s="21" t="s">
        <v>12</v>
      </c>
      <c r="D15" s="21" t="s">
        <v>19</v>
      </c>
      <c r="E15" s="22">
        <v>1</v>
      </c>
      <c r="F15" s="22">
        <f>H15</f>
        <v>17.79</v>
      </c>
      <c r="G15" s="22">
        <f>ROUND(F15*E15,2)</f>
        <v>17.79</v>
      </c>
      <c r="H15">
        <v>17.79</v>
      </c>
    </row>
    <row r="16" spans="1:9" ht="30">
      <c r="A16" s="20">
        <v>88316</v>
      </c>
      <c r="B16" s="70" t="s">
        <v>377</v>
      </c>
      <c r="C16" s="21" t="s">
        <v>12</v>
      </c>
      <c r="D16" s="21" t="s">
        <v>19</v>
      </c>
      <c r="E16" s="22">
        <v>0.8</v>
      </c>
      <c r="F16" s="22">
        <f>H16</f>
        <v>13.88</v>
      </c>
      <c r="G16" s="22">
        <f>ROUND(F16*E16,2)</f>
        <v>11.1</v>
      </c>
      <c r="H16">
        <v>13.88</v>
      </c>
    </row>
    <row r="17" spans="1:9">
      <c r="A17" s="615" t="s">
        <v>1893</v>
      </c>
      <c r="B17" s="615"/>
      <c r="C17" s="615"/>
      <c r="D17" s="615"/>
      <c r="E17" s="615"/>
      <c r="F17" s="615"/>
      <c r="G17" s="88">
        <f>ROUND(SUM(G13:G16),2)</f>
        <v>1140.1199999999999</v>
      </c>
    </row>
    <row r="18" spans="1:9" ht="24" customHeight="1"/>
    <row r="19" spans="1:9" ht="41.25" customHeight="1">
      <c r="A19" s="612" t="s">
        <v>3822</v>
      </c>
      <c r="B19" s="613"/>
      <c r="C19" s="613"/>
      <c r="D19" s="613"/>
      <c r="E19" s="614"/>
      <c r="F19" s="69" t="s">
        <v>44</v>
      </c>
      <c r="G19" s="87">
        <v>7337</v>
      </c>
    </row>
    <row r="20" spans="1:9" ht="28.5">
      <c r="A20" s="69" t="s">
        <v>1915</v>
      </c>
      <c r="B20" s="69" t="s">
        <v>2</v>
      </c>
      <c r="C20" s="69" t="s">
        <v>3</v>
      </c>
      <c r="D20" s="69" t="s">
        <v>4</v>
      </c>
      <c r="E20" s="69" t="s">
        <v>1826</v>
      </c>
      <c r="F20" s="69" t="s">
        <v>367</v>
      </c>
      <c r="G20" s="69" t="s">
        <v>368</v>
      </c>
    </row>
    <row r="21" spans="1:9" ht="45">
      <c r="A21" s="20">
        <v>10372</v>
      </c>
      <c r="B21" s="70" t="s">
        <v>3823</v>
      </c>
      <c r="C21" s="21" t="s">
        <v>44</v>
      </c>
      <c r="D21" s="21" t="s">
        <v>3825</v>
      </c>
      <c r="E21" s="83">
        <v>26.873999999999999</v>
      </c>
      <c r="F21" s="22">
        <f>H21</f>
        <v>0.2</v>
      </c>
      <c r="G21" s="22">
        <f>ROUND(F21*E21,2)</f>
        <v>5.37</v>
      </c>
      <c r="H21" s="479">
        <v>0.2</v>
      </c>
      <c r="I21" s="479"/>
    </row>
    <row r="22" spans="1:9" ht="60">
      <c r="A22" s="20">
        <v>10374</v>
      </c>
      <c r="B22" s="70" t="s">
        <v>3824</v>
      </c>
      <c r="C22" s="21" t="s">
        <v>44</v>
      </c>
      <c r="D22" s="21" t="s">
        <v>3826</v>
      </c>
      <c r="E22" s="22">
        <v>16</v>
      </c>
      <c r="F22" s="22">
        <f>H22</f>
        <v>0.56000000000000005</v>
      </c>
      <c r="G22" s="22">
        <f>ROUND(F22*E22,2)</f>
        <v>8.9600000000000009</v>
      </c>
      <c r="H22" s="479">
        <v>0.56000000000000005</v>
      </c>
      <c r="I22" s="479"/>
    </row>
    <row r="23" spans="1:9" ht="45">
      <c r="A23" s="20">
        <v>2692</v>
      </c>
      <c r="B23" s="70" t="s">
        <v>3827</v>
      </c>
      <c r="C23" s="21" t="s">
        <v>12</v>
      </c>
      <c r="D23" s="21" t="s">
        <v>381</v>
      </c>
      <c r="E23" s="22">
        <v>0.41</v>
      </c>
      <c r="F23" s="22">
        <f>H23</f>
        <v>5.48</v>
      </c>
      <c r="G23" s="22">
        <f>ROUND(F23*E23,2)</f>
        <v>2.25</v>
      </c>
      <c r="H23">
        <v>5.48</v>
      </c>
    </row>
    <row r="24" spans="1:9" ht="45">
      <c r="A24" s="20">
        <v>88262</v>
      </c>
      <c r="B24" s="70" t="s">
        <v>376</v>
      </c>
      <c r="C24" s="21" t="s">
        <v>12</v>
      </c>
      <c r="D24" s="21" t="s">
        <v>19</v>
      </c>
      <c r="E24" s="22">
        <v>0.8</v>
      </c>
      <c r="F24" s="22">
        <f>H24</f>
        <v>17.600000000000001</v>
      </c>
      <c r="G24" s="22">
        <f>ROUND(F24*E24,2)</f>
        <v>14.08</v>
      </c>
      <c r="H24" s="487">
        <v>17.600000000000001</v>
      </c>
      <c r="I24" s="487"/>
    </row>
    <row r="25" spans="1:9" ht="30">
      <c r="A25" s="20">
        <v>88316</v>
      </c>
      <c r="B25" s="70" t="s">
        <v>377</v>
      </c>
      <c r="C25" s="21" t="s">
        <v>12</v>
      </c>
      <c r="D25" s="21" t="s">
        <v>19</v>
      </c>
      <c r="E25" s="22">
        <v>0.35</v>
      </c>
      <c r="F25" s="22">
        <f>H25</f>
        <v>13.88</v>
      </c>
      <c r="G25" s="22">
        <f>ROUND(F25*E25,2)</f>
        <v>4.8600000000000003</v>
      </c>
      <c r="H25">
        <v>13.88</v>
      </c>
    </row>
    <row r="26" spans="1:9">
      <c r="A26" s="615" t="s">
        <v>1893</v>
      </c>
      <c r="B26" s="615"/>
      <c r="C26" s="615"/>
      <c r="D26" s="615"/>
      <c r="E26" s="615"/>
      <c r="F26" s="615"/>
      <c r="G26" s="88">
        <f>ROUND(SUM(G21:G25),2)</f>
        <v>35.520000000000003</v>
      </c>
    </row>
    <row r="27" spans="1:9" ht="27" customHeight="1"/>
    <row r="28" spans="1:9" ht="39" customHeight="1">
      <c r="A28" s="612" t="s">
        <v>3831</v>
      </c>
      <c r="B28" s="613"/>
      <c r="C28" s="613"/>
      <c r="D28" s="613"/>
      <c r="E28" s="614"/>
      <c r="F28" s="69" t="s">
        <v>44</v>
      </c>
      <c r="G28" s="87">
        <v>7338</v>
      </c>
    </row>
    <row r="29" spans="1:9" ht="28.5">
      <c r="A29" s="69" t="s">
        <v>1915</v>
      </c>
      <c r="B29" s="69" t="s">
        <v>2</v>
      </c>
      <c r="C29" s="69" t="s">
        <v>3</v>
      </c>
      <c r="D29" s="69" t="s">
        <v>4</v>
      </c>
      <c r="E29" s="69" t="s">
        <v>1826</v>
      </c>
      <c r="F29" s="69" t="s">
        <v>367</v>
      </c>
      <c r="G29" s="69" t="s">
        <v>368</v>
      </c>
    </row>
    <row r="30" spans="1:9" ht="45">
      <c r="A30" s="20">
        <v>6918</v>
      </c>
      <c r="B30" s="70" t="s">
        <v>3832</v>
      </c>
      <c r="C30" s="21" t="s">
        <v>44</v>
      </c>
      <c r="D30" s="21" t="s">
        <v>3432</v>
      </c>
      <c r="E30" s="22">
        <v>63.47</v>
      </c>
      <c r="F30" s="22">
        <f>H30</f>
        <v>0.28000000000000003</v>
      </c>
      <c r="G30" s="22">
        <f>ROUND(F30*E30,2)</f>
        <v>17.77</v>
      </c>
      <c r="H30" s="479">
        <v>0.28000000000000003</v>
      </c>
      <c r="I30" s="479"/>
    </row>
    <row r="31" spans="1:9" ht="45">
      <c r="A31" s="20">
        <v>88262</v>
      </c>
      <c r="B31" s="70" t="s">
        <v>376</v>
      </c>
      <c r="C31" s="21" t="s">
        <v>12</v>
      </c>
      <c r="D31" s="21" t="s">
        <v>19</v>
      </c>
      <c r="E31" s="22">
        <v>0.34</v>
      </c>
      <c r="F31" s="22">
        <f>H31</f>
        <v>17.600000000000001</v>
      </c>
      <c r="G31" s="22">
        <f>ROUND(F31*E31,2)</f>
        <v>5.98</v>
      </c>
      <c r="H31" s="487">
        <v>17.600000000000001</v>
      </c>
      <c r="I31" s="487"/>
    </row>
    <row r="32" spans="1:9" ht="30">
      <c r="A32" s="20">
        <v>88316</v>
      </c>
      <c r="B32" s="70" t="s">
        <v>377</v>
      </c>
      <c r="C32" s="21" t="s">
        <v>12</v>
      </c>
      <c r="D32" s="21" t="s">
        <v>19</v>
      </c>
      <c r="E32" s="22">
        <v>1.96</v>
      </c>
      <c r="F32" s="22">
        <f>H32</f>
        <v>13.88</v>
      </c>
      <c r="G32" s="22">
        <f>ROUND(F32*E32,2)</f>
        <v>27.2</v>
      </c>
      <c r="H32">
        <v>13.88</v>
      </c>
    </row>
    <row r="33" spans="1:9">
      <c r="A33" s="615" t="s">
        <v>1893</v>
      </c>
      <c r="B33" s="615"/>
      <c r="C33" s="615"/>
      <c r="D33" s="615"/>
      <c r="E33" s="615"/>
      <c r="F33" s="615"/>
      <c r="G33" s="88">
        <f>ROUND(SUM(G30:G32),2)</f>
        <v>50.95</v>
      </c>
    </row>
    <row r="34" spans="1:9" ht="27.75" customHeight="1"/>
    <row r="35" spans="1:9" ht="41.25" customHeight="1">
      <c r="A35" s="612" t="s">
        <v>3833</v>
      </c>
      <c r="B35" s="613"/>
      <c r="C35" s="613"/>
      <c r="D35" s="613"/>
      <c r="E35" s="614"/>
      <c r="F35" s="69" t="s">
        <v>44</v>
      </c>
      <c r="G35" s="87">
        <v>7307</v>
      </c>
    </row>
    <row r="36" spans="1:9" ht="28.5">
      <c r="A36" s="69" t="s">
        <v>1915</v>
      </c>
      <c r="B36" s="69" t="s">
        <v>2</v>
      </c>
      <c r="C36" s="69" t="s">
        <v>3</v>
      </c>
      <c r="D36" s="69" t="s">
        <v>4</v>
      </c>
      <c r="E36" s="69" t="s">
        <v>1826</v>
      </c>
      <c r="F36" s="69" t="s">
        <v>367</v>
      </c>
      <c r="G36" s="69" t="s">
        <v>368</v>
      </c>
    </row>
    <row r="37" spans="1:9" ht="45">
      <c r="A37" s="20">
        <v>6870</v>
      </c>
      <c r="B37" s="70" t="s">
        <v>3834</v>
      </c>
      <c r="C37" s="21" t="s">
        <v>44</v>
      </c>
      <c r="D37" s="21" t="s">
        <v>3835</v>
      </c>
      <c r="E37" s="22">
        <v>6</v>
      </c>
      <c r="F37" s="22">
        <f>H37</f>
        <v>2</v>
      </c>
      <c r="G37" s="22">
        <f>ROUND(F37*E37,2)</f>
        <v>12</v>
      </c>
      <c r="H37" s="479">
        <v>2</v>
      </c>
      <c r="I37" s="479"/>
    </row>
    <row r="38" spans="1:9" ht="45">
      <c r="A38" s="20">
        <v>88278</v>
      </c>
      <c r="B38" s="70" t="s">
        <v>3839</v>
      </c>
      <c r="C38" s="21" t="s">
        <v>12</v>
      </c>
      <c r="D38" s="21" t="s">
        <v>19</v>
      </c>
      <c r="E38" s="22">
        <v>0.54</v>
      </c>
      <c r="F38" s="22">
        <f>H38</f>
        <v>18</v>
      </c>
      <c r="G38" s="22">
        <f>ROUND(F38*E38,2)</f>
        <v>9.7200000000000006</v>
      </c>
      <c r="H38" s="487">
        <v>18</v>
      </c>
      <c r="I38" s="487"/>
    </row>
    <row r="39" spans="1:9" ht="30">
      <c r="A39" s="20">
        <v>88316</v>
      </c>
      <c r="B39" s="70" t="s">
        <v>377</v>
      </c>
      <c r="C39" s="21" t="s">
        <v>12</v>
      </c>
      <c r="D39" s="21" t="s">
        <v>19</v>
      </c>
      <c r="E39" s="22">
        <v>2.16</v>
      </c>
      <c r="F39" s="22">
        <f>H39</f>
        <v>13.88</v>
      </c>
      <c r="G39" s="22">
        <f>ROUND(F39*E39,2)</f>
        <v>29.98</v>
      </c>
      <c r="H39">
        <v>13.88</v>
      </c>
    </row>
    <row r="40" spans="1:9">
      <c r="A40" s="615" t="s">
        <v>1893</v>
      </c>
      <c r="B40" s="615"/>
      <c r="C40" s="615"/>
      <c r="D40" s="615"/>
      <c r="E40" s="615"/>
      <c r="F40" s="615"/>
      <c r="G40" s="88">
        <f>ROUND(SUM(G37:G39),2)</f>
        <v>51.7</v>
      </c>
    </row>
    <row r="41" spans="1:9" ht="22.5" customHeight="1"/>
    <row r="42" spans="1:9" ht="29.25" customHeight="1">
      <c r="A42" s="612" t="s">
        <v>3843</v>
      </c>
      <c r="B42" s="613"/>
      <c r="C42" s="613"/>
      <c r="D42" s="613"/>
      <c r="E42" s="614"/>
      <c r="F42" s="69" t="s">
        <v>44</v>
      </c>
      <c r="G42" s="87">
        <v>4740</v>
      </c>
    </row>
    <row r="43" spans="1:9" ht="28.5">
      <c r="A43" s="69" t="s">
        <v>1915</v>
      </c>
      <c r="B43" s="69" t="s">
        <v>2</v>
      </c>
      <c r="C43" s="69" t="s">
        <v>3</v>
      </c>
      <c r="D43" s="69" t="s">
        <v>4</v>
      </c>
      <c r="E43" s="69" t="s">
        <v>1826</v>
      </c>
      <c r="F43" s="69" t="s">
        <v>367</v>
      </c>
      <c r="G43" s="69" t="s">
        <v>368</v>
      </c>
    </row>
    <row r="44" spans="1:9" ht="45">
      <c r="A44" s="20">
        <v>4154</v>
      </c>
      <c r="B44" s="70" t="s">
        <v>3842</v>
      </c>
      <c r="C44" s="21" t="s">
        <v>44</v>
      </c>
      <c r="D44" s="21" t="s">
        <v>3845</v>
      </c>
      <c r="E44" s="22">
        <v>1.03</v>
      </c>
      <c r="F44" s="22">
        <f>H44</f>
        <v>3.33</v>
      </c>
      <c r="G44" s="22">
        <f>ROUND(F44*E44,2)</f>
        <v>3.43</v>
      </c>
      <c r="H44" s="479">
        <v>3.33</v>
      </c>
      <c r="I44" s="479"/>
    </row>
    <row r="45" spans="1:9" ht="45">
      <c r="A45" s="20">
        <v>88278</v>
      </c>
      <c r="B45" s="70" t="s">
        <v>3839</v>
      </c>
      <c r="C45" s="21" t="s">
        <v>12</v>
      </c>
      <c r="D45" s="21" t="s">
        <v>19</v>
      </c>
      <c r="E45" s="22">
        <v>0.08</v>
      </c>
      <c r="F45" s="22">
        <f>H45</f>
        <v>18</v>
      </c>
      <c r="G45" s="22">
        <f>ROUND(F45*E45,2)</f>
        <v>1.44</v>
      </c>
      <c r="H45" s="487">
        <v>18</v>
      </c>
      <c r="I45" s="487"/>
    </row>
    <row r="46" spans="1:9" ht="30">
      <c r="A46" s="20">
        <v>88316</v>
      </c>
      <c r="B46" s="70" t="s">
        <v>377</v>
      </c>
      <c r="C46" s="21" t="s">
        <v>12</v>
      </c>
      <c r="D46" s="21" t="s">
        <v>19</v>
      </c>
      <c r="E46" s="22">
        <v>0.16</v>
      </c>
      <c r="F46" s="22">
        <f>H46</f>
        <v>13.88</v>
      </c>
      <c r="G46" s="22">
        <f>ROUND(F46*E46,2)</f>
        <v>2.2200000000000002</v>
      </c>
      <c r="H46">
        <v>13.88</v>
      </c>
    </row>
    <row r="47" spans="1:9">
      <c r="A47" s="615" t="s">
        <v>1893</v>
      </c>
      <c r="B47" s="615"/>
      <c r="C47" s="615"/>
      <c r="D47" s="615"/>
      <c r="E47" s="615"/>
      <c r="F47" s="615"/>
      <c r="G47" s="88">
        <f>ROUND(SUM(G44:G46),2)</f>
        <v>7.09</v>
      </c>
    </row>
    <row r="49" spans="1:8">
      <c r="A49" s="612" t="s">
        <v>3889</v>
      </c>
      <c r="B49" s="613"/>
      <c r="C49" s="613"/>
      <c r="D49" s="613"/>
      <c r="E49" s="614"/>
      <c r="F49" s="69" t="s">
        <v>44</v>
      </c>
      <c r="G49" s="87">
        <v>7826</v>
      </c>
    </row>
    <row r="50" spans="1:8" ht="28.5">
      <c r="A50" s="69" t="s">
        <v>1915</v>
      </c>
      <c r="B50" s="69" t="s">
        <v>2</v>
      </c>
      <c r="C50" s="69" t="s">
        <v>3</v>
      </c>
      <c r="D50" s="69" t="s">
        <v>4</v>
      </c>
      <c r="E50" s="69" t="s">
        <v>1826</v>
      </c>
      <c r="F50" s="69" t="s">
        <v>367</v>
      </c>
      <c r="G50" s="69" t="s">
        <v>368</v>
      </c>
    </row>
    <row r="51" spans="1:8" ht="75">
      <c r="A51" s="20">
        <v>7538</v>
      </c>
      <c r="B51" s="70" t="s">
        <v>3888</v>
      </c>
      <c r="C51" s="21" t="s">
        <v>44</v>
      </c>
      <c r="D51" s="21" t="s">
        <v>4</v>
      </c>
      <c r="E51" s="22">
        <v>1</v>
      </c>
      <c r="F51" s="22">
        <f>H51</f>
        <v>2542.46</v>
      </c>
      <c r="G51" s="22">
        <f>ROUND(F51*E51,2)</f>
        <v>2542.46</v>
      </c>
      <c r="H51">
        <f>2542.46</f>
        <v>2542.46</v>
      </c>
    </row>
    <row r="52" spans="1:8" ht="30">
      <c r="A52" s="20">
        <v>88316</v>
      </c>
      <c r="B52" s="70" t="s">
        <v>377</v>
      </c>
      <c r="C52" s="21" t="s">
        <v>12</v>
      </c>
      <c r="D52" s="21" t="s">
        <v>19</v>
      </c>
      <c r="E52" s="22">
        <v>2</v>
      </c>
      <c r="F52" s="22">
        <f>H52</f>
        <v>13.88</v>
      </c>
      <c r="G52" s="22">
        <f>ROUND(F52*E52,2)</f>
        <v>27.76</v>
      </c>
      <c r="H52">
        <v>13.88</v>
      </c>
    </row>
    <row r="53" spans="1:8" ht="30">
      <c r="A53" s="20">
        <v>88264</v>
      </c>
      <c r="B53" s="70" t="s">
        <v>379</v>
      </c>
      <c r="C53" s="21" t="s">
        <v>12</v>
      </c>
      <c r="D53" s="21" t="s">
        <v>19</v>
      </c>
      <c r="E53" s="22">
        <v>2</v>
      </c>
      <c r="F53" s="22">
        <f>H53</f>
        <v>17.940000000000001</v>
      </c>
      <c r="G53" s="22">
        <f>ROUND(F53*E53,2)</f>
        <v>35.880000000000003</v>
      </c>
      <c r="H53">
        <v>17.940000000000001</v>
      </c>
    </row>
    <row r="54" spans="1:8">
      <c r="A54" s="615" t="s">
        <v>1893</v>
      </c>
      <c r="B54" s="615"/>
      <c r="C54" s="615"/>
      <c r="D54" s="615"/>
      <c r="E54" s="615"/>
      <c r="F54" s="615"/>
      <c r="G54" s="88">
        <f>SUM(G51:G53)</f>
        <v>2606.1000000000004</v>
      </c>
    </row>
    <row r="55" spans="1:8" ht="23.25" customHeight="1"/>
    <row r="56" spans="1:8">
      <c r="A56" s="612" t="s">
        <v>4076</v>
      </c>
      <c r="B56" s="613"/>
      <c r="C56" s="613"/>
      <c r="D56" s="613"/>
      <c r="E56" s="614"/>
      <c r="F56" s="69" t="s">
        <v>44</v>
      </c>
      <c r="G56" s="87">
        <v>12336</v>
      </c>
    </row>
    <row r="57" spans="1:8" ht="28.5">
      <c r="A57" s="69" t="s">
        <v>1915</v>
      </c>
      <c r="B57" s="69" t="s">
        <v>2</v>
      </c>
      <c r="C57" s="69" t="s">
        <v>3</v>
      </c>
      <c r="D57" s="69" t="s">
        <v>4</v>
      </c>
      <c r="E57" s="69" t="s">
        <v>1826</v>
      </c>
      <c r="F57" s="69" t="s">
        <v>367</v>
      </c>
      <c r="G57" s="69" t="s">
        <v>368</v>
      </c>
    </row>
    <row r="58" spans="1:8" ht="30">
      <c r="A58" s="20">
        <v>13194</v>
      </c>
      <c r="B58" s="70" t="s">
        <v>3890</v>
      </c>
      <c r="C58" s="21" t="s">
        <v>44</v>
      </c>
      <c r="D58" s="21" t="s">
        <v>52</v>
      </c>
      <c r="E58" s="22">
        <v>1.02</v>
      </c>
      <c r="F58" s="22">
        <f>H58</f>
        <v>12.76</v>
      </c>
      <c r="G58" s="22">
        <f>ROUND(F58*E58,2)</f>
        <v>13.02</v>
      </c>
      <c r="H58">
        <v>12.76</v>
      </c>
    </row>
    <row r="59" spans="1:8" ht="30">
      <c r="A59" s="20">
        <v>88316</v>
      </c>
      <c r="B59" s="70" t="s">
        <v>377</v>
      </c>
      <c r="C59" s="21" t="s">
        <v>12</v>
      </c>
      <c r="D59" s="21" t="s">
        <v>19</v>
      </c>
      <c r="E59" s="22">
        <v>0.15</v>
      </c>
      <c r="F59" s="22">
        <f>H59</f>
        <v>13.88</v>
      </c>
      <c r="G59" s="22">
        <f>ROUND(F59*E59,2)</f>
        <v>2.08</v>
      </c>
      <c r="H59">
        <v>13.88</v>
      </c>
    </row>
    <row r="60" spans="1:8" ht="30">
      <c r="A60" s="20">
        <v>88264</v>
      </c>
      <c r="B60" s="70" t="s">
        <v>379</v>
      </c>
      <c r="C60" s="21" t="s">
        <v>12</v>
      </c>
      <c r="D60" s="21" t="s">
        <v>19</v>
      </c>
      <c r="E60" s="22">
        <v>0.15</v>
      </c>
      <c r="F60" s="22">
        <f>H60</f>
        <v>17.940000000000001</v>
      </c>
      <c r="G60" s="22">
        <f>ROUND(F60*E60,2)</f>
        <v>2.69</v>
      </c>
      <c r="H60">
        <v>17.940000000000001</v>
      </c>
    </row>
    <row r="61" spans="1:8">
      <c r="A61" s="615" t="s">
        <v>1893</v>
      </c>
      <c r="B61" s="615"/>
      <c r="C61" s="615"/>
      <c r="D61" s="615"/>
      <c r="E61" s="615"/>
      <c r="F61" s="615"/>
      <c r="G61" s="88">
        <f>SUM(G58:G60)</f>
        <v>17.79</v>
      </c>
    </row>
    <row r="62" spans="1:8" ht="27" customHeight="1"/>
    <row r="63" spans="1:8">
      <c r="A63" s="612" t="s">
        <v>3893</v>
      </c>
      <c r="B63" s="613"/>
      <c r="C63" s="613"/>
      <c r="D63" s="613"/>
      <c r="E63" s="614"/>
      <c r="F63" s="69" t="s">
        <v>44</v>
      </c>
      <c r="G63" s="87">
        <v>8115</v>
      </c>
    </row>
    <row r="64" spans="1:8" ht="28.5">
      <c r="A64" s="69" t="s">
        <v>1915</v>
      </c>
      <c r="B64" s="69" t="s">
        <v>2</v>
      </c>
      <c r="C64" s="69" t="s">
        <v>3</v>
      </c>
      <c r="D64" s="69" t="s">
        <v>4</v>
      </c>
      <c r="E64" s="69" t="s">
        <v>1826</v>
      </c>
      <c r="F64" s="69" t="s">
        <v>367</v>
      </c>
      <c r="G64" s="69" t="s">
        <v>368</v>
      </c>
    </row>
    <row r="65" spans="1:12">
      <c r="A65" s="20">
        <v>8115</v>
      </c>
      <c r="B65" s="70" t="s">
        <v>3892</v>
      </c>
      <c r="C65" s="21" t="s">
        <v>44</v>
      </c>
      <c r="D65" s="21" t="s">
        <v>35</v>
      </c>
      <c r="E65" s="22">
        <v>1</v>
      </c>
      <c r="F65" s="22">
        <f>H65</f>
        <v>22</v>
      </c>
      <c r="G65" s="22">
        <f>ROUND(F65*E65,2)</f>
        <v>22</v>
      </c>
      <c r="H65">
        <v>22</v>
      </c>
    </row>
    <row r="66" spans="1:12">
      <c r="A66" s="615" t="s">
        <v>1893</v>
      </c>
      <c r="B66" s="615"/>
      <c r="C66" s="615"/>
      <c r="D66" s="615"/>
      <c r="E66" s="615"/>
      <c r="F66" s="615"/>
      <c r="G66" s="88">
        <f>SUM(G65:G65)</f>
        <v>22</v>
      </c>
    </row>
    <row r="67" spans="1:12" ht="22.5" customHeight="1"/>
    <row r="68" spans="1:12" ht="28.5">
      <c r="A68" s="612" t="s">
        <v>4170</v>
      </c>
      <c r="B68" s="613"/>
      <c r="C68" s="613"/>
      <c r="D68" s="613"/>
      <c r="E68" s="614"/>
      <c r="F68" s="69" t="s">
        <v>3896</v>
      </c>
      <c r="G68" s="87" t="s">
        <v>3895</v>
      </c>
    </row>
    <row r="69" spans="1:12" ht="28.5">
      <c r="A69" s="69" t="s">
        <v>1915</v>
      </c>
      <c r="B69" s="69" t="s">
        <v>2</v>
      </c>
      <c r="C69" s="69" t="s">
        <v>3</v>
      </c>
      <c r="D69" s="69" t="s">
        <v>4</v>
      </c>
      <c r="E69" s="69" t="s">
        <v>1826</v>
      </c>
      <c r="F69" s="69" t="s">
        <v>367</v>
      </c>
      <c r="G69" s="69" t="s">
        <v>368</v>
      </c>
    </row>
    <row r="70" spans="1:12">
      <c r="A70" s="20" t="s">
        <v>1919</v>
      </c>
      <c r="B70" s="70" t="s">
        <v>4171</v>
      </c>
      <c r="C70" s="21" t="s">
        <v>3894</v>
      </c>
      <c r="D70" s="21" t="s">
        <v>4</v>
      </c>
      <c r="E70" s="22">
        <v>1</v>
      </c>
      <c r="F70" s="22">
        <f>H70</f>
        <v>497.82</v>
      </c>
      <c r="G70" s="22">
        <f>ROUND(F70*E70,2)</f>
        <v>497.82</v>
      </c>
      <c r="H70" s="479">
        <f>AVERAGE(J70:L70)</f>
        <v>497.82</v>
      </c>
      <c r="J70">
        <f>429.9+37.77</f>
        <v>467.66999999999996</v>
      </c>
      <c r="K70">
        <v>498.68</v>
      </c>
      <c r="L70">
        <f>68.21+458.9</f>
        <v>527.11</v>
      </c>
    </row>
    <row r="71" spans="1:12" ht="30">
      <c r="A71" s="20">
        <v>88316</v>
      </c>
      <c r="B71" s="70" t="s">
        <v>377</v>
      </c>
      <c r="C71" s="21" t="s">
        <v>12</v>
      </c>
      <c r="D71" s="21" t="s">
        <v>19</v>
      </c>
      <c r="E71" s="22">
        <v>1</v>
      </c>
      <c r="F71" s="22">
        <f>H71</f>
        <v>13.88</v>
      </c>
      <c r="G71" s="22">
        <f>ROUND(F71*E71,2)</f>
        <v>13.88</v>
      </c>
      <c r="H71">
        <v>13.88</v>
      </c>
    </row>
    <row r="72" spans="1:12" ht="30">
      <c r="A72" s="20">
        <v>88264</v>
      </c>
      <c r="B72" s="70" t="s">
        <v>379</v>
      </c>
      <c r="C72" s="21" t="s">
        <v>12</v>
      </c>
      <c r="D72" s="21" t="s">
        <v>19</v>
      </c>
      <c r="E72" s="22">
        <v>1</v>
      </c>
      <c r="F72" s="22">
        <f>H72</f>
        <v>17.940000000000001</v>
      </c>
      <c r="G72" s="22">
        <f>ROUND(F72*E72,2)</f>
        <v>17.940000000000001</v>
      </c>
      <c r="H72">
        <v>17.940000000000001</v>
      </c>
    </row>
    <row r="73" spans="1:12">
      <c r="A73" s="615" t="s">
        <v>1893</v>
      </c>
      <c r="B73" s="615"/>
      <c r="C73" s="615"/>
      <c r="D73" s="615"/>
      <c r="E73" s="615"/>
      <c r="F73" s="615"/>
      <c r="G73" s="88">
        <f>SUM(G70:G72)</f>
        <v>529.64</v>
      </c>
    </row>
    <row r="74" spans="1:12" ht="23.25" customHeight="1"/>
    <row r="75" spans="1:12" ht="28.5">
      <c r="A75" s="612" t="s">
        <v>3960</v>
      </c>
      <c r="B75" s="613"/>
      <c r="C75" s="613"/>
      <c r="D75" s="613"/>
      <c r="E75" s="614"/>
      <c r="F75" s="69" t="s">
        <v>3896</v>
      </c>
      <c r="G75" s="87" t="s">
        <v>3908</v>
      </c>
    </row>
    <row r="76" spans="1:12" ht="28.5">
      <c r="A76" s="69" t="s">
        <v>1915</v>
      </c>
      <c r="B76" s="69" t="s">
        <v>2</v>
      </c>
      <c r="C76" s="69" t="s">
        <v>3</v>
      </c>
      <c r="D76" s="69" t="s">
        <v>4</v>
      </c>
      <c r="E76" s="69" t="s">
        <v>1826</v>
      </c>
      <c r="F76" s="69" t="s">
        <v>367</v>
      </c>
      <c r="G76" s="69" t="s">
        <v>368</v>
      </c>
    </row>
    <row r="77" spans="1:12">
      <c r="A77" s="20">
        <v>7551</v>
      </c>
      <c r="B77" s="70" t="s">
        <v>3897</v>
      </c>
      <c r="C77" s="21" t="s">
        <v>44</v>
      </c>
      <c r="D77" s="21" t="s">
        <v>3885</v>
      </c>
      <c r="E77" s="22">
        <f>46+199</f>
        <v>245</v>
      </c>
      <c r="F77" s="22">
        <f>H77</f>
        <v>3.7</v>
      </c>
      <c r="G77" s="22">
        <f>ROUND(F77*E77,2)</f>
        <v>906.5</v>
      </c>
      <c r="H77">
        <v>3.7</v>
      </c>
      <c r="J77" s="487"/>
    </row>
    <row r="78" spans="1:12">
      <c r="A78" s="20">
        <v>39997</v>
      </c>
      <c r="B78" s="70" t="s">
        <v>3898</v>
      </c>
      <c r="C78" s="21" t="s">
        <v>12</v>
      </c>
      <c r="D78" s="21" t="s">
        <v>3882</v>
      </c>
      <c r="E78" s="22">
        <f>100+850</f>
        <v>950</v>
      </c>
      <c r="F78" s="22">
        <f t="shared" ref="F78:F85" si="0">H78</f>
        <v>0.16</v>
      </c>
      <c r="G78" s="22">
        <f t="shared" ref="G78:G85" si="1">ROUND(F78*E78,2)</f>
        <v>152</v>
      </c>
      <c r="H78">
        <v>0.16</v>
      </c>
      <c r="J78" s="487"/>
    </row>
    <row r="79" spans="1:12">
      <c r="A79" s="20">
        <v>39208</v>
      </c>
      <c r="B79" s="70" t="s">
        <v>3899</v>
      </c>
      <c r="C79" s="21" t="s">
        <v>12</v>
      </c>
      <c r="D79" s="21" t="s">
        <v>3882</v>
      </c>
      <c r="E79" s="22">
        <f>194+902</f>
        <v>1096</v>
      </c>
      <c r="F79" s="22">
        <f t="shared" si="0"/>
        <v>0.43</v>
      </c>
      <c r="G79" s="22">
        <f t="shared" si="1"/>
        <v>471.28</v>
      </c>
      <c r="H79">
        <v>0.43</v>
      </c>
      <c r="J79" s="487"/>
    </row>
    <row r="80" spans="1:12" ht="30">
      <c r="A80" s="20" t="s">
        <v>1919</v>
      </c>
      <c r="B80" s="70" t="s">
        <v>3901</v>
      </c>
      <c r="C80" s="21" t="s">
        <v>3907</v>
      </c>
      <c r="D80" s="21" t="s">
        <v>3882</v>
      </c>
      <c r="E80" s="22">
        <f>4+21</f>
        <v>25</v>
      </c>
      <c r="F80" s="22">
        <f t="shared" si="0"/>
        <v>2.9</v>
      </c>
      <c r="G80" s="22">
        <f t="shared" si="1"/>
        <v>72.5</v>
      </c>
      <c r="H80">
        <v>2.9</v>
      </c>
      <c r="J80" s="487"/>
    </row>
    <row r="81" spans="1:10" ht="30">
      <c r="A81" s="20" t="s">
        <v>1919</v>
      </c>
      <c r="B81" s="70" t="s">
        <v>3902</v>
      </c>
      <c r="C81" s="21" t="s">
        <v>3907</v>
      </c>
      <c r="D81" s="21" t="s">
        <v>3882</v>
      </c>
      <c r="E81" s="22">
        <f>4+21</f>
        <v>25</v>
      </c>
      <c r="F81" s="22">
        <f t="shared" si="0"/>
        <v>6.39</v>
      </c>
      <c r="G81" s="22">
        <f t="shared" si="1"/>
        <v>159.75</v>
      </c>
      <c r="H81">
        <v>6.39</v>
      </c>
      <c r="J81" s="487"/>
    </row>
    <row r="82" spans="1:10">
      <c r="A82" s="20">
        <v>11976</v>
      </c>
      <c r="B82" s="70" t="s">
        <v>3903</v>
      </c>
      <c r="C82" s="21" t="s">
        <v>12</v>
      </c>
      <c r="D82" s="21" t="s">
        <v>3882</v>
      </c>
      <c r="E82" s="22">
        <f>4+204</f>
        <v>208</v>
      </c>
      <c r="F82" s="22">
        <f t="shared" si="0"/>
        <v>0.66</v>
      </c>
      <c r="G82" s="22">
        <f t="shared" si="1"/>
        <v>137.28</v>
      </c>
      <c r="H82">
        <v>0.66</v>
      </c>
      <c r="J82" s="487"/>
    </row>
    <row r="83" spans="1:10">
      <c r="A83" s="20">
        <v>40547</v>
      </c>
      <c r="B83" s="70" t="s">
        <v>3878</v>
      </c>
      <c r="C83" s="21" t="s">
        <v>12</v>
      </c>
      <c r="D83" s="21" t="s">
        <v>3906</v>
      </c>
      <c r="E83" s="22">
        <f>0.5+6.6</f>
        <v>7.1</v>
      </c>
      <c r="F83" s="22">
        <f t="shared" si="0"/>
        <v>15.15</v>
      </c>
      <c r="G83" s="22">
        <f t="shared" si="1"/>
        <v>107.57</v>
      </c>
      <c r="H83">
        <v>15.15</v>
      </c>
      <c r="J83" s="487"/>
    </row>
    <row r="84" spans="1:10">
      <c r="A84" s="20">
        <v>39701</v>
      </c>
      <c r="B84" s="70" t="s">
        <v>3904</v>
      </c>
      <c r="C84" s="21" t="s">
        <v>12</v>
      </c>
      <c r="D84" s="21" t="s">
        <v>3882</v>
      </c>
      <c r="E84" s="22">
        <f>2+22</f>
        <v>24</v>
      </c>
      <c r="F84" s="22">
        <f t="shared" si="0"/>
        <v>90.23</v>
      </c>
      <c r="G84" s="22">
        <f t="shared" si="1"/>
        <v>2165.52</v>
      </c>
      <c r="H84">
        <v>90.23</v>
      </c>
      <c r="J84" s="487"/>
    </row>
    <row r="85" spans="1:10">
      <c r="A85" s="20">
        <v>10583</v>
      </c>
      <c r="B85" s="70" t="s">
        <v>3905</v>
      </c>
      <c r="C85" s="21" t="s">
        <v>44</v>
      </c>
      <c r="D85" s="21" t="s">
        <v>3882</v>
      </c>
      <c r="E85" s="22">
        <f>1+3</f>
        <v>4</v>
      </c>
      <c r="F85" s="22">
        <f t="shared" si="0"/>
        <v>5.6</v>
      </c>
      <c r="G85" s="22">
        <f t="shared" si="1"/>
        <v>22.4</v>
      </c>
      <c r="H85">
        <v>5.6</v>
      </c>
      <c r="J85" s="487"/>
    </row>
    <row r="86" spans="1:10">
      <c r="A86" s="615" t="s">
        <v>1893</v>
      </c>
      <c r="B86" s="615"/>
      <c r="C86" s="615"/>
      <c r="D86" s="615"/>
      <c r="E86" s="615"/>
      <c r="F86" s="615"/>
      <c r="G86" s="88">
        <f>SUM(G77:G85)</f>
        <v>4194.7999999999993</v>
      </c>
    </row>
    <row r="87" spans="1:10" ht="23.25" customHeight="1"/>
    <row r="88" spans="1:10" ht="36" customHeight="1">
      <c r="A88" s="612" t="s">
        <v>3911</v>
      </c>
      <c r="B88" s="613"/>
      <c r="C88" s="613"/>
      <c r="D88" s="613"/>
      <c r="E88" s="614"/>
      <c r="F88" s="69" t="s">
        <v>44</v>
      </c>
      <c r="G88" s="87">
        <v>7402</v>
      </c>
    </row>
    <row r="89" spans="1:10" ht="28.5">
      <c r="A89" s="69" t="s">
        <v>1915</v>
      </c>
      <c r="B89" s="69" t="s">
        <v>2</v>
      </c>
      <c r="C89" s="69" t="s">
        <v>3</v>
      </c>
      <c r="D89" s="69" t="s">
        <v>4</v>
      </c>
      <c r="E89" s="69" t="s">
        <v>1826</v>
      </c>
      <c r="F89" s="69" t="s">
        <v>367</v>
      </c>
      <c r="G89" s="69" t="s">
        <v>368</v>
      </c>
    </row>
    <row r="90" spans="1:10" ht="75">
      <c r="A90" s="20">
        <v>7402</v>
      </c>
      <c r="B90" s="70" t="s">
        <v>3910</v>
      </c>
      <c r="C90" s="21" t="s">
        <v>44</v>
      </c>
      <c r="D90" s="21" t="s">
        <v>4</v>
      </c>
      <c r="E90" s="22">
        <v>1</v>
      </c>
      <c r="F90" s="22">
        <f>H90</f>
        <v>2784.53</v>
      </c>
      <c r="G90" s="22">
        <f>ROUND(F90*E90,2)</f>
        <v>2784.53</v>
      </c>
      <c r="H90">
        <f>2784.53</f>
        <v>2784.53</v>
      </c>
    </row>
    <row r="91" spans="1:10" ht="30">
      <c r="A91" s="20">
        <v>88316</v>
      </c>
      <c r="B91" s="70" t="s">
        <v>377</v>
      </c>
      <c r="C91" s="21" t="s">
        <v>12</v>
      </c>
      <c r="D91" s="21" t="s">
        <v>19</v>
      </c>
      <c r="E91" s="22">
        <v>2</v>
      </c>
      <c r="F91" s="22">
        <f>H91</f>
        <v>13.88</v>
      </c>
      <c r="G91" s="22">
        <f>ROUND(F91*E91,2)</f>
        <v>27.76</v>
      </c>
      <c r="H91">
        <v>13.88</v>
      </c>
    </row>
    <row r="92" spans="1:10" ht="30">
      <c r="A92" s="20">
        <v>88264</v>
      </c>
      <c r="B92" s="70" t="s">
        <v>379</v>
      </c>
      <c r="C92" s="21" t="s">
        <v>12</v>
      </c>
      <c r="D92" s="21" t="s">
        <v>19</v>
      </c>
      <c r="E92" s="22">
        <v>2</v>
      </c>
      <c r="F92" s="22">
        <f>H92</f>
        <v>17.940000000000001</v>
      </c>
      <c r="G92" s="22">
        <f>ROUND(F92*E92,2)</f>
        <v>35.880000000000003</v>
      </c>
      <c r="H92">
        <v>17.940000000000001</v>
      </c>
    </row>
    <row r="93" spans="1:10">
      <c r="A93" s="615" t="s">
        <v>1893</v>
      </c>
      <c r="B93" s="615"/>
      <c r="C93" s="615"/>
      <c r="D93" s="615"/>
      <c r="E93" s="615"/>
      <c r="F93" s="615"/>
      <c r="G93" s="88">
        <f>SUM(G90:G92)</f>
        <v>2848.1700000000005</v>
      </c>
    </row>
    <row r="94" spans="1:10" ht="19.5" customHeight="1"/>
    <row r="95" spans="1:10" ht="28.5">
      <c r="A95" s="612" t="s">
        <v>3959</v>
      </c>
      <c r="B95" s="613"/>
      <c r="C95" s="613"/>
      <c r="D95" s="613"/>
      <c r="E95" s="614"/>
      <c r="F95" s="69" t="s">
        <v>3896</v>
      </c>
      <c r="G95" s="87" t="s">
        <v>3919</v>
      </c>
    </row>
    <row r="96" spans="1:10" ht="28.5">
      <c r="A96" s="69" t="s">
        <v>1915</v>
      </c>
      <c r="B96" s="69" t="s">
        <v>2</v>
      </c>
      <c r="C96" s="69" t="s">
        <v>3</v>
      </c>
      <c r="D96" s="69" t="s">
        <v>4</v>
      </c>
      <c r="E96" s="69" t="s">
        <v>1826</v>
      </c>
      <c r="F96" s="69" t="s">
        <v>367</v>
      </c>
      <c r="G96" s="69" t="s">
        <v>368</v>
      </c>
    </row>
    <row r="97" spans="1:10">
      <c r="A97" s="20">
        <v>7551</v>
      </c>
      <c r="B97" s="70" t="s">
        <v>3897</v>
      </c>
      <c r="C97" s="21" t="s">
        <v>44</v>
      </c>
      <c r="D97" s="21" t="s">
        <v>3885</v>
      </c>
      <c r="E97" s="22">
        <v>30</v>
      </c>
      <c r="F97" s="22">
        <f t="shared" ref="F97:F106" si="2">H97</f>
        <v>3.7</v>
      </c>
      <c r="G97" s="22">
        <f t="shared" ref="G97:G106" si="3">ROUND(F97*E97,2)</f>
        <v>111</v>
      </c>
      <c r="H97">
        <v>3.7</v>
      </c>
      <c r="J97" s="487"/>
    </row>
    <row r="98" spans="1:10">
      <c r="A98" s="20">
        <v>39997</v>
      </c>
      <c r="B98" s="70" t="s">
        <v>3898</v>
      </c>
      <c r="C98" s="21" t="s">
        <v>12</v>
      </c>
      <c r="D98" s="21" t="s">
        <v>3882</v>
      </c>
      <c r="E98" s="22">
        <v>150</v>
      </c>
      <c r="F98" s="22">
        <f t="shared" si="2"/>
        <v>0.16</v>
      </c>
      <c r="G98" s="22">
        <f t="shared" si="3"/>
        <v>24</v>
      </c>
      <c r="H98">
        <v>0.16</v>
      </c>
      <c r="J98" s="487"/>
    </row>
    <row r="99" spans="1:10">
      <c r="A99" s="20">
        <v>39208</v>
      </c>
      <c r="B99" s="70" t="s">
        <v>3899</v>
      </c>
      <c r="C99" s="21" t="s">
        <v>12</v>
      </c>
      <c r="D99" s="21" t="s">
        <v>3882</v>
      </c>
      <c r="E99" s="22">
        <v>300</v>
      </c>
      <c r="F99" s="22">
        <f t="shared" si="2"/>
        <v>0.43</v>
      </c>
      <c r="G99" s="22">
        <f t="shared" si="3"/>
        <v>129</v>
      </c>
      <c r="H99">
        <v>0.43</v>
      </c>
      <c r="J99" s="487"/>
    </row>
    <row r="100" spans="1:10" ht="30">
      <c r="A100" s="20">
        <v>39328</v>
      </c>
      <c r="B100" s="70" t="s">
        <v>3900</v>
      </c>
      <c r="C100" s="21" t="s">
        <v>12</v>
      </c>
      <c r="D100" s="21" t="s">
        <v>3885</v>
      </c>
      <c r="E100" s="22">
        <v>20</v>
      </c>
      <c r="F100" s="22">
        <f t="shared" si="2"/>
        <v>11.44</v>
      </c>
      <c r="G100" s="22">
        <f t="shared" si="3"/>
        <v>228.8</v>
      </c>
      <c r="H100">
        <v>11.44</v>
      </c>
      <c r="J100" s="487"/>
    </row>
    <row r="101" spans="1:10" ht="30">
      <c r="A101" s="20" t="s">
        <v>1919</v>
      </c>
      <c r="B101" s="70" t="s">
        <v>3901</v>
      </c>
      <c r="C101" s="21" t="s">
        <v>3907</v>
      </c>
      <c r="D101" s="21" t="s">
        <v>3882</v>
      </c>
      <c r="E101" s="22">
        <v>1</v>
      </c>
      <c r="F101" s="22">
        <f t="shared" si="2"/>
        <v>2.9</v>
      </c>
      <c r="G101" s="22">
        <f t="shared" si="3"/>
        <v>2.9</v>
      </c>
      <c r="H101">
        <v>2.9</v>
      </c>
      <c r="J101" s="487"/>
    </row>
    <row r="102" spans="1:10" ht="30">
      <c r="A102" s="20" t="s">
        <v>1919</v>
      </c>
      <c r="B102" s="70" t="s">
        <v>3902</v>
      </c>
      <c r="C102" s="21" t="s">
        <v>3907</v>
      </c>
      <c r="D102" s="21" t="s">
        <v>3882</v>
      </c>
      <c r="E102" s="22">
        <v>1</v>
      </c>
      <c r="F102" s="22">
        <f t="shared" si="2"/>
        <v>6.39</v>
      </c>
      <c r="G102" s="22">
        <f t="shared" si="3"/>
        <v>6.39</v>
      </c>
      <c r="H102">
        <v>6.39</v>
      </c>
      <c r="J102" s="487"/>
    </row>
    <row r="103" spans="1:10">
      <c r="A103" s="20">
        <v>11976</v>
      </c>
      <c r="B103" s="70" t="s">
        <v>3903</v>
      </c>
      <c r="C103" s="21" t="s">
        <v>12</v>
      </c>
      <c r="D103" s="21" t="s">
        <v>3882</v>
      </c>
      <c r="E103" s="22">
        <v>30</v>
      </c>
      <c r="F103" s="22">
        <f t="shared" si="2"/>
        <v>0.66</v>
      </c>
      <c r="G103" s="22">
        <f t="shared" si="3"/>
        <v>19.8</v>
      </c>
      <c r="H103">
        <v>0.66</v>
      </c>
      <c r="J103" s="487"/>
    </row>
    <row r="104" spans="1:10">
      <c r="A104" s="20">
        <v>40547</v>
      </c>
      <c r="B104" s="70" t="s">
        <v>3878</v>
      </c>
      <c r="C104" s="21" t="s">
        <v>12</v>
      </c>
      <c r="D104" s="21" t="s">
        <v>3906</v>
      </c>
      <c r="E104" s="22">
        <v>1</v>
      </c>
      <c r="F104" s="22">
        <f t="shared" si="2"/>
        <v>15.15</v>
      </c>
      <c r="G104" s="22">
        <f t="shared" si="3"/>
        <v>15.15</v>
      </c>
      <c r="H104">
        <v>15.15</v>
      </c>
      <c r="J104" s="487"/>
    </row>
    <row r="105" spans="1:10">
      <c r="A105" s="20">
        <v>11558</v>
      </c>
      <c r="B105" s="70" t="s">
        <v>3920</v>
      </c>
      <c r="C105" s="21" t="s">
        <v>44</v>
      </c>
      <c r="D105" s="21" t="s">
        <v>3885</v>
      </c>
      <c r="E105" s="22">
        <v>50</v>
      </c>
      <c r="F105" s="22">
        <f t="shared" si="2"/>
        <v>0.4</v>
      </c>
      <c r="G105" s="22">
        <f t="shared" si="3"/>
        <v>20</v>
      </c>
      <c r="H105">
        <v>0.4</v>
      </c>
      <c r="J105" s="487"/>
    </row>
    <row r="106" spans="1:10">
      <c r="A106" s="20">
        <v>8152</v>
      </c>
      <c r="B106" s="70" t="s">
        <v>3921</v>
      </c>
      <c r="C106" s="21" t="s">
        <v>44</v>
      </c>
      <c r="D106" s="21" t="s">
        <v>3432</v>
      </c>
      <c r="E106" s="22">
        <v>2</v>
      </c>
      <c r="F106" s="22">
        <f t="shared" si="2"/>
        <v>180.1</v>
      </c>
      <c r="G106" s="22">
        <f t="shared" si="3"/>
        <v>360.2</v>
      </c>
      <c r="H106">
        <f>180.1</f>
        <v>180.1</v>
      </c>
      <c r="J106" s="487"/>
    </row>
    <row r="107" spans="1:10">
      <c r="A107" s="615" t="s">
        <v>1893</v>
      </c>
      <c r="B107" s="615"/>
      <c r="C107" s="615"/>
      <c r="D107" s="615"/>
      <c r="E107" s="615"/>
      <c r="F107" s="615"/>
      <c r="G107" s="88">
        <f>SUM(G97:G106)</f>
        <v>917.24</v>
      </c>
    </row>
    <row r="108" spans="1:10" ht="21.75" customHeight="1"/>
    <row r="109" spans="1:10" ht="28.5">
      <c r="A109" s="612" t="s">
        <v>3933</v>
      </c>
      <c r="B109" s="613"/>
      <c r="C109" s="613"/>
      <c r="D109" s="613"/>
      <c r="E109" s="614"/>
      <c r="F109" s="69" t="s">
        <v>3896</v>
      </c>
      <c r="G109" s="87" t="s">
        <v>3932</v>
      </c>
    </row>
    <row r="110" spans="1:10" ht="28.5">
      <c r="A110" s="69" t="s">
        <v>1915</v>
      </c>
      <c r="B110" s="69" t="s">
        <v>2</v>
      </c>
      <c r="C110" s="69" t="s">
        <v>3</v>
      </c>
      <c r="D110" s="69" t="s">
        <v>4</v>
      </c>
      <c r="E110" s="69" t="s">
        <v>1826</v>
      </c>
      <c r="F110" s="69" t="s">
        <v>367</v>
      </c>
      <c r="G110" s="69" t="s">
        <v>368</v>
      </c>
    </row>
    <row r="111" spans="1:10">
      <c r="A111" s="20">
        <v>2504</v>
      </c>
      <c r="B111" s="70" t="s">
        <v>3928</v>
      </c>
      <c r="C111" s="21" t="s">
        <v>12</v>
      </c>
      <c r="D111" s="21" t="s">
        <v>3885</v>
      </c>
      <c r="E111" s="22">
        <v>2</v>
      </c>
      <c r="F111" s="22">
        <f>H111</f>
        <v>11.06</v>
      </c>
      <c r="G111" s="22">
        <f>ROUND(F111*E111,2)</f>
        <v>22.12</v>
      </c>
      <c r="H111">
        <v>11.06</v>
      </c>
    </row>
    <row r="112" spans="1:10">
      <c r="A112" s="20">
        <v>38847</v>
      </c>
      <c r="B112" s="70" t="s">
        <v>3929</v>
      </c>
      <c r="C112" s="21" t="s">
        <v>12</v>
      </c>
      <c r="D112" s="21" t="s">
        <v>3882</v>
      </c>
      <c r="E112" s="22">
        <v>2</v>
      </c>
      <c r="F112" s="22">
        <f>H112</f>
        <v>14.96</v>
      </c>
      <c r="G112" s="22">
        <f>ROUND(F112*E112,2)</f>
        <v>29.92</v>
      </c>
      <c r="H112">
        <v>14.96</v>
      </c>
    </row>
    <row r="113" spans="1:8">
      <c r="A113" s="20">
        <v>38863</v>
      </c>
      <c r="B113" s="70" t="s">
        <v>3930</v>
      </c>
      <c r="C113" s="21" t="s">
        <v>12</v>
      </c>
      <c r="D113" s="21" t="s">
        <v>3882</v>
      </c>
      <c r="E113" s="22">
        <v>2</v>
      </c>
      <c r="F113" s="22">
        <f>H113</f>
        <v>12.03</v>
      </c>
      <c r="G113" s="22">
        <f>ROUND(F113*E113,2)</f>
        <v>24.06</v>
      </c>
      <c r="H113">
        <v>12.03</v>
      </c>
    </row>
    <row r="114" spans="1:8">
      <c r="A114" s="20">
        <v>2580</v>
      </c>
      <c r="B114" s="70" t="s">
        <v>3931</v>
      </c>
      <c r="C114" s="21" t="s">
        <v>12</v>
      </c>
      <c r="D114" s="21" t="s">
        <v>3882</v>
      </c>
      <c r="E114" s="22">
        <v>2</v>
      </c>
      <c r="F114" s="22">
        <f>H114</f>
        <v>14.65</v>
      </c>
      <c r="G114" s="22">
        <f>ROUND(F114*E114,2)</f>
        <v>29.3</v>
      </c>
      <c r="H114">
        <v>14.65</v>
      </c>
    </row>
    <row r="115" spans="1:8">
      <c r="A115" s="20">
        <v>7551</v>
      </c>
      <c r="B115" s="70" t="s">
        <v>3897</v>
      </c>
      <c r="C115" s="21" t="s">
        <v>44</v>
      </c>
      <c r="D115" s="21" t="s">
        <v>3885</v>
      </c>
      <c r="E115" s="22">
        <f>10*2</f>
        <v>20</v>
      </c>
      <c r="F115" s="22">
        <f t="shared" ref="F115:F125" si="4">H115</f>
        <v>3.7</v>
      </c>
      <c r="G115" s="22">
        <f t="shared" ref="G115:G125" si="5">ROUND(F115*E115,2)</f>
        <v>74</v>
      </c>
      <c r="H115">
        <v>3.7</v>
      </c>
    </row>
    <row r="116" spans="1:8">
      <c r="A116" s="20">
        <v>39997</v>
      </c>
      <c r="B116" s="70" t="s">
        <v>3898</v>
      </c>
      <c r="C116" s="21" t="s">
        <v>12</v>
      </c>
      <c r="D116" s="21" t="s">
        <v>3882</v>
      </c>
      <c r="E116" s="22">
        <f>20*2</f>
        <v>40</v>
      </c>
      <c r="F116" s="22">
        <f t="shared" si="4"/>
        <v>0.16</v>
      </c>
      <c r="G116" s="22">
        <f t="shared" si="5"/>
        <v>6.4</v>
      </c>
      <c r="H116">
        <v>0.16</v>
      </c>
    </row>
    <row r="117" spans="1:8">
      <c r="A117" s="20">
        <v>39208</v>
      </c>
      <c r="B117" s="70" t="s">
        <v>3899</v>
      </c>
      <c r="C117" s="21" t="s">
        <v>12</v>
      </c>
      <c r="D117" s="21" t="s">
        <v>3882</v>
      </c>
      <c r="E117" s="22">
        <f>40*2</f>
        <v>80</v>
      </c>
      <c r="F117" s="22">
        <f t="shared" si="4"/>
        <v>0.43</v>
      </c>
      <c r="G117" s="22">
        <f t="shared" si="5"/>
        <v>34.4</v>
      </c>
      <c r="H117">
        <v>0.43</v>
      </c>
    </row>
    <row r="118" spans="1:8" ht="30">
      <c r="A118" s="20">
        <v>39328</v>
      </c>
      <c r="B118" s="70" t="s">
        <v>3900</v>
      </c>
      <c r="C118" s="21" t="s">
        <v>12</v>
      </c>
      <c r="D118" s="21" t="s">
        <v>3885</v>
      </c>
      <c r="E118" s="22">
        <f>6*2</f>
        <v>12</v>
      </c>
      <c r="F118" s="22">
        <f t="shared" si="4"/>
        <v>11.44</v>
      </c>
      <c r="G118" s="22">
        <f t="shared" si="5"/>
        <v>137.28</v>
      </c>
      <c r="H118">
        <v>11.44</v>
      </c>
    </row>
    <row r="119" spans="1:8" ht="30">
      <c r="A119" s="20" t="s">
        <v>1919</v>
      </c>
      <c r="B119" s="70" t="s">
        <v>3901</v>
      </c>
      <c r="C119" s="21" t="s">
        <v>3907</v>
      </c>
      <c r="D119" s="21" t="s">
        <v>3882</v>
      </c>
      <c r="E119" s="22">
        <v>2</v>
      </c>
      <c r="F119" s="22">
        <f t="shared" si="4"/>
        <v>2.9</v>
      </c>
      <c r="G119" s="22">
        <f t="shared" si="5"/>
        <v>5.8</v>
      </c>
      <c r="H119">
        <v>2.9</v>
      </c>
    </row>
    <row r="120" spans="1:8" ht="30">
      <c r="A120" s="20" t="s">
        <v>1919</v>
      </c>
      <c r="B120" s="70" t="s">
        <v>3902</v>
      </c>
      <c r="C120" s="21" t="s">
        <v>3907</v>
      </c>
      <c r="D120" s="21" t="s">
        <v>3882</v>
      </c>
      <c r="E120" s="22">
        <v>2</v>
      </c>
      <c r="F120" s="22">
        <f t="shared" si="4"/>
        <v>6.39</v>
      </c>
      <c r="G120" s="22">
        <f t="shared" si="5"/>
        <v>12.78</v>
      </c>
      <c r="H120">
        <v>6.39</v>
      </c>
    </row>
    <row r="121" spans="1:8">
      <c r="A121" s="20">
        <v>11976</v>
      </c>
      <c r="B121" s="70" t="s">
        <v>3903</v>
      </c>
      <c r="C121" s="21" t="s">
        <v>12</v>
      </c>
      <c r="D121" s="21" t="s">
        <v>3882</v>
      </c>
      <c r="E121" s="22">
        <v>16</v>
      </c>
      <c r="F121" s="22">
        <f t="shared" si="4"/>
        <v>0.66</v>
      </c>
      <c r="G121" s="22">
        <f t="shared" si="5"/>
        <v>10.56</v>
      </c>
      <c r="H121">
        <v>0.66</v>
      </c>
    </row>
    <row r="122" spans="1:8">
      <c r="A122" s="20" t="s">
        <v>3936</v>
      </c>
      <c r="B122" s="70" t="s">
        <v>3924</v>
      </c>
      <c r="C122" s="21" t="s">
        <v>12</v>
      </c>
      <c r="D122" s="21" t="s">
        <v>3885</v>
      </c>
      <c r="E122" s="22">
        <f>120*2</f>
        <v>240</v>
      </c>
      <c r="F122" s="22">
        <f t="shared" si="4"/>
        <v>5.117</v>
      </c>
      <c r="G122" s="22">
        <f t="shared" si="5"/>
        <v>1228.08</v>
      </c>
      <c r="H122">
        <v>5.117</v>
      </c>
    </row>
    <row r="123" spans="1:8">
      <c r="A123" s="20">
        <v>411</v>
      </c>
      <c r="B123" s="70" t="s">
        <v>3925</v>
      </c>
      <c r="C123" s="21" t="s">
        <v>12</v>
      </c>
      <c r="D123" s="21" t="s">
        <v>3882</v>
      </c>
      <c r="E123" s="22">
        <v>100</v>
      </c>
      <c r="F123" s="22">
        <f t="shared" si="4"/>
        <v>0.25</v>
      </c>
      <c r="G123" s="22">
        <f t="shared" si="5"/>
        <v>25</v>
      </c>
      <c r="H123">
        <v>0.25</v>
      </c>
    </row>
    <row r="124" spans="1:8">
      <c r="A124" s="20">
        <v>21127</v>
      </c>
      <c r="B124" s="70" t="s">
        <v>3926</v>
      </c>
      <c r="C124" s="21" t="s">
        <v>12</v>
      </c>
      <c r="D124" s="21" t="s">
        <v>3922</v>
      </c>
      <c r="E124" s="22">
        <v>2</v>
      </c>
      <c r="F124" s="22">
        <f>H124</f>
        <v>3.78</v>
      </c>
      <c r="G124" s="22">
        <f>ROUND(F124*E124,2)</f>
        <v>7.56</v>
      </c>
      <c r="H124">
        <v>3.78</v>
      </c>
    </row>
    <row r="125" spans="1:8">
      <c r="A125" s="20">
        <v>400</v>
      </c>
      <c r="B125" s="70" t="s">
        <v>3927</v>
      </c>
      <c r="C125" s="21" t="s">
        <v>12</v>
      </c>
      <c r="D125" s="21" t="s">
        <v>3882</v>
      </c>
      <c r="E125" s="22">
        <v>8</v>
      </c>
      <c r="F125" s="22">
        <f t="shared" si="4"/>
        <v>1.43</v>
      </c>
      <c r="G125" s="22">
        <f t="shared" si="5"/>
        <v>11.44</v>
      </c>
      <c r="H125">
        <v>1.43</v>
      </c>
    </row>
    <row r="126" spans="1:8">
      <c r="A126" s="615" t="s">
        <v>1893</v>
      </c>
      <c r="B126" s="615"/>
      <c r="C126" s="615"/>
      <c r="D126" s="615"/>
      <c r="E126" s="615"/>
      <c r="F126" s="615"/>
      <c r="G126" s="88">
        <f>SUM(G111:G125)</f>
        <v>1658.6999999999998</v>
      </c>
    </row>
    <row r="128" spans="1:8" ht="28.5">
      <c r="A128" s="612" t="s">
        <v>3934</v>
      </c>
      <c r="B128" s="613"/>
      <c r="C128" s="613"/>
      <c r="D128" s="613"/>
      <c r="E128" s="614"/>
      <c r="F128" s="69" t="s">
        <v>3896</v>
      </c>
      <c r="G128" s="87" t="s">
        <v>3935</v>
      </c>
    </row>
    <row r="129" spans="1:8" ht="28.5">
      <c r="A129" s="69" t="s">
        <v>1915</v>
      </c>
      <c r="B129" s="69" t="s">
        <v>2</v>
      </c>
      <c r="C129" s="69" t="s">
        <v>3</v>
      </c>
      <c r="D129" s="69" t="s">
        <v>4</v>
      </c>
      <c r="E129" s="69" t="s">
        <v>1826</v>
      </c>
      <c r="F129" s="69" t="s">
        <v>367</v>
      </c>
      <c r="G129" s="69" t="s">
        <v>368</v>
      </c>
    </row>
    <row r="130" spans="1:8">
      <c r="A130" s="20">
        <v>7551</v>
      </c>
      <c r="B130" s="70" t="s">
        <v>3897</v>
      </c>
      <c r="C130" s="21" t="s">
        <v>44</v>
      </c>
      <c r="D130" s="21" t="s">
        <v>3885</v>
      </c>
      <c r="E130" s="22">
        <v>32</v>
      </c>
      <c r="F130" s="22">
        <f t="shared" ref="F130:F137" si="6">H130</f>
        <v>3.7</v>
      </c>
      <c r="G130" s="22">
        <f t="shared" ref="G130:G137" si="7">ROUND(F130*E130,2)</f>
        <v>118.4</v>
      </c>
      <c r="H130">
        <v>3.7</v>
      </c>
    </row>
    <row r="131" spans="1:8">
      <c r="A131" s="20">
        <v>39997</v>
      </c>
      <c r="B131" s="70" t="s">
        <v>3898</v>
      </c>
      <c r="C131" s="21" t="s">
        <v>12</v>
      </c>
      <c r="D131" s="21" t="s">
        <v>3882</v>
      </c>
      <c r="E131" s="22">
        <v>60</v>
      </c>
      <c r="F131" s="22">
        <f t="shared" si="6"/>
        <v>0.16</v>
      </c>
      <c r="G131" s="22">
        <f t="shared" si="7"/>
        <v>9.6</v>
      </c>
      <c r="H131">
        <v>0.16</v>
      </c>
    </row>
    <row r="132" spans="1:8">
      <c r="A132" s="20">
        <v>39208</v>
      </c>
      <c r="B132" s="70" t="s">
        <v>3899</v>
      </c>
      <c r="C132" s="21" t="s">
        <v>12</v>
      </c>
      <c r="D132" s="21" t="s">
        <v>3882</v>
      </c>
      <c r="E132" s="22">
        <v>60</v>
      </c>
      <c r="F132" s="22">
        <f t="shared" si="6"/>
        <v>0.43</v>
      </c>
      <c r="G132" s="22">
        <f t="shared" si="7"/>
        <v>25.8</v>
      </c>
      <c r="H132">
        <v>0.43</v>
      </c>
    </row>
    <row r="133" spans="1:8" ht="30">
      <c r="A133" s="20">
        <v>39328</v>
      </c>
      <c r="B133" s="70" t="s">
        <v>3900</v>
      </c>
      <c r="C133" s="21" t="s">
        <v>12</v>
      </c>
      <c r="D133" s="21" t="s">
        <v>3885</v>
      </c>
      <c r="E133" s="22">
        <v>20</v>
      </c>
      <c r="F133" s="22">
        <f t="shared" si="6"/>
        <v>11.44</v>
      </c>
      <c r="G133" s="22">
        <f t="shared" si="7"/>
        <v>228.8</v>
      </c>
      <c r="H133">
        <v>11.44</v>
      </c>
    </row>
    <row r="134" spans="1:8" ht="30">
      <c r="A134" s="20" t="s">
        <v>1919</v>
      </c>
      <c r="B134" s="70" t="s">
        <v>3901</v>
      </c>
      <c r="C134" s="21" t="s">
        <v>3907</v>
      </c>
      <c r="D134" s="21" t="s">
        <v>3882</v>
      </c>
      <c r="E134" s="22">
        <v>2</v>
      </c>
      <c r="F134" s="22">
        <f t="shared" si="6"/>
        <v>2.9</v>
      </c>
      <c r="G134" s="22">
        <f t="shared" si="7"/>
        <v>5.8</v>
      </c>
      <c r="H134">
        <v>2.9</v>
      </c>
    </row>
    <row r="135" spans="1:8" ht="30">
      <c r="A135" s="20" t="s">
        <v>1919</v>
      </c>
      <c r="B135" s="70" t="s">
        <v>3902</v>
      </c>
      <c r="C135" s="21" t="s">
        <v>3907</v>
      </c>
      <c r="D135" s="21" t="s">
        <v>3882</v>
      </c>
      <c r="E135" s="22">
        <v>2</v>
      </c>
      <c r="F135" s="22">
        <f t="shared" si="6"/>
        <v>6.39</v>
      </c>
      <c r="G135" s="22">
        <f t="shared" si="7"/>
        <v>12.78</v>
      </c>
      <c r="H135">
        <v>6.39</v>
      </c>
    </row>
    <row r="136" spans="1:8">
      <c r="A136" s="20">
        <v>11976</v>
      </c>
      <c r="B136" s="70" t="s">
        <v>3903</v>
      </c>
      <c r="C136" s="21" t="s">
        <v>12</v>
      </c>
      <c r="D136" s="21" t="s">
        <v>3882</v>
      </c>
      <c r="E136" s="22">
        <v>20</v>
      </c>
      <c r="F136" s="22">
        <f t="shared" si="6"/>
        <v>0.66</v>
      </c>
      <c r="G136" s="22">
        <f t="shared" si="7"/>
        <v>13.2</v>
      </c>
      <c r="H136">
        <v>0.66</v>
      </c>
    </row>
    <row r="137" spans="1:8">
      <c r="A137" s="20">
        <v>40547</v>
      </c>
      <c r="B137" s="70" t="s">
        <v>3878</v>
      </c>
      <c r="C137" s="21" t="s">
        <v>12</v>
      </c>
      <c r="D137" s="21" t="s">
        <v>3906</v>
      </c>
      <c r="E137" s="22">
        <v>2</v>
      </c>
      <c r="F137" s="22">
        <f t="shared" si="6"/>
        <v>15.15</v>
      </c>
      <c r="G137" s="22">
        <f t="shared" si="7"/>
        <v>30.3</v>
      </c>
      <c r="H137">
        <v>15.15</v>
      </c>
    </row>
    <row r="138" spans="1:8">
      <c r="A138" s="20">
        <v>10741</v>
      </c>
      <c r="B138" s="70" t="s">
        <v>3937</v>
      </c>
      <c r="C138" s="21" t="s">
        <v>44</v>
      </c>
      <c r="D138" s="21" t="s">
        <v>3882</v>
      </c>
      <c r="E138" s="22">
        <v>16</v>
      </c>
      <c r="F138" s="22">
        <f>H138</f>
        <v>2.91</v>
      </c>
      <c r="G138" s="22">
        <f>ROUND(F138*E138,2)</f>
        <v>46.56</v>
      </c>
      <c r="H138">
        <v>2.91</v>
      </c>
    </row>
    <row r="139" spans="1:8" ht="45">
      <c r="A139" s="20">
        <v>1092</v>
      </c>
      <c r="B139" s="70" t="s">
        <v>4022</v>
      </c>
      <c r="C139" s="21" t="s">
        <v>12</v>
      </c>
      <c r="D139" s="21" t="s">
        <v>3992</v>
      </c>
      <c r="E139" s="22">
        <v>4</v>
      </c>
      <c r="F139" s="22">
        <f t="shared" ref="F139" si="8">H139</f>
        <v>80.05</v>
      </c>
      <c r="G139" s="22">
        <f t="shared" ref="G139" si="9">ROUND(F139*E139,2)</f>
        <v>320.2</v>
      </c>
      <c r="H139">
        <f>80.05</f>
        <v>80.05</v>
      </c>
    </row>
    <row r="140" spans="1:8" ht="30">
      <c r="A140" s="20">
        <v>4987</v>
      </c>
      <c r="B140" s="70" t="s">
        <v>4023</v>
      </c>
      <c r="C140" s="21" t="s">
        <v>44</v>
      </c>
      <c r="D140" s="21" t="s">
        <v>3882</v>
      </c>
      <c r="E140" s="22">
        <f>3+1</f>
        <v>4</v>
      </c>
      <c r="F140" s="22">
        <f>H140</f>
        <v>175.56</v>
      </c>
      <c r="G140" s="22">
        <f>ROUND(F140*E140,2)</f>
        <v>702.24</v>
      </c>
      <c r="H140">
        <v>175.56</v>
      </c>
    </row>
    <row r="141" spans="1:8" ht="30">
      <c r="A141" s="20" t="s">
        <v>1919</v>
      </c>
      <c r="B141" s="70" t="s">
        <v>4021</v>
      </c>
      <c r="C141" s="21" t="s">
        <v>3907</v>
      </c>
      <c r="D141" s="21" t="s">
        <v>3882</v>
      </c>
      <c r="E141" s="22">
        <f>3+1</f>
        <v>4</v>
      </c>
      <c r="F141" s="22">
        <f>H141</f>
        <v>62.22</v>
      </c>
      <c r="G141" s="22">
        <f>ROUND(F141*E141,2)</f>
        <v>248.88</v>
      </c>
      <c r="H141">
        <f>((24.4+34.62)+(26.62+38.8))/2</f>
        <v>62.22</v>
      </c>
    </row>
    <row r="142" spans="1:8">
      <c r="A142" s="615" t="s">
        <v>1893</v>
      </c>
      <c r="B142" s="615"/>
      <c r="C142" s="615"/>
      <c r="D142" s="615"/>
      <c r="E142" s="615"/>
      <c r="F142" s="615"/>
      <c r="G142" s="88">
        <f>SUM(G130:G141)</f>
        <v>1762.56</v>
      </c>
    </row>
    <row r="143" spans="1:8" ht="18.75" customHeight="1"/>
    <row r="144" spans="1:8" ht="28.5">
      <c r="A144" s="612" t="s">
        <v>3955</v>
      </c>
      <c r="B144" s="613"/>
      <c r="C144" s="613"/>
      <c r="D144" s="613"/>
      <c r="E144" s="614"/>
      <c r="F144" s="69" t="s">
        <v>3896</v>
      </c>
      <c r="G144" s="87" t="s">
        <v>3954</v>
      </c>
    </row>
    <row r="145" spans="1:8" ht="28.5">
      <c r="A145" s="69" t="s">
        <v>1915</v>
      </c>
      <c r="B145" s="69" t="s">
        <v>2</v>
      </c>
      <c r="C145" s="69" t="s">
        <v>3</v>
      </c>
      <c r="D145" s="69" t="s">
        <v>4</v>
      </c>
      <c r="E145" s="69" t="s">
        <v>1826</v>
      </c>
      <c r="F145" s="69" t="s">
        <v>367</v>
      </c>
      <c r="G145" s="69" t="s">
        <v>368</v>
      </c>
    </row>
    <row r="146" spans="1:8">
      <c r="A146" s="20">
        <v>7551</v>
      </c>
      <c r="B146" s="70" t="s">
        <v>3897</v>
      </c>
      <c r="C146" s="21" t="s">
        <v>44</v>
      </c>
      <c r="D146" s="21" t="s">
        <v>3885</v>
      </c>
      <c r="E146" s="22">
        <f>171+46</f>
        <v>217</v>
      </c>
      <c r="F146" s="22">
        <f t="shared" ref="F146:F154" si="10">H146</f>
        <v>3.7</v>
      </c>
      <c r="G146" s="22">
        <f t="shared" ref="G146:G154" si="11">ROUND(F146*E146,2)</f>
        <v>802.9</v>
      </c>
      <c r="H146">
        <v>3.7</v>
      </c>
    </row>
    <row r="147" spans="1:8">
      <c r="A147" s="20">
        <v>39997</v>
      </c>
      <c r="B147" s="70" t="s">
        <v>3898</v>
      </c>
      <c r="C147" s="21" t="s">
        <v>12</v>
      </c>
      <c r="D147" s="21" t="s">
        <v>3882</v>
      </c>
      <c r="E147" s="22">
        <f>715+100</f>
        <v>815</v>
      </c>
      <c r="F147" s="22">
        <f t="shared" si="10"/>
        <v>0.16</v>
      </c>
      <c r="G147" s="22">
        <f t="shared" si="11"/>
        <v>130.4</v>
      </c>
      <c r="H147">
        <v>0.16</v>
      </c>
    </row>
    <row r="148" spans="1:8">
      <c r="A148" s="20">
        <v>39208</v>
      </c>
      <c r="B148" s="70" t="s">
        <v>3899</v>
      </c>
      <c r="C148" s="21" t="s">
        <v>12</v>
      </c>
      <c r="D148" s="21" t="s">
        <v>3882</v>
      </c>
      <c r="E148" s="22">
        <f>852+194</f>
        <v>1046</v>
      </c>
      <c r="F148" s="22">
        <f t="shared" si="10"/>
        <v>0.43</v>
      </c>
      <c r="G148" s="22">
        <f t="shared" si="11"/>
        <v>449.78</v>
      </c>
      <c r="H148">
        <v>0.43</v>
      </c>
    </row>
    <row r="149" spans="1:8" ht="30">
      <c r="A149" s="20" t="s">
        <v>1919</v>
      </c>
      <c r="B149" s="70" t="s">
        <v>3901</v>
      </c>
      <c r="C149" s="21" t="s">
        <v>3907</v>
      </c>
      <c r="D149" s="21" t="s">
        <v>3882</v>
      </c>
      <c r="E149" s="22">
        <f>17+4</f>
        <v>21</v>
      </c>
      <c r="F149" s="22">
        <f t="shared" si="10"/>
        <v>2.9</v>
      </c>
      <c r="G149" s="22">
        <f t="shared" si="11"/>
        <v>60.9</v>
      </c>
      <c r="H149">
        <v>2.9</v>
      </c>
    </row>
    <row r="150" spans="1:8" ht="30">
      <c r="A150" s="20" t="s">
        <v>1919</v>
      </c>
      <c r="B150" s="70" t="s">
        <v>3902</v>
      </c>
      <c r="C150" s="21" t="s">
        <v>3907</v>
      </c>
      <c r="D150" s="21" t="s">
        <v>3882</v>
      </c>
      <c r="E150" s="22">
        <f>17+4</f>
        <v>21</v>
      </c>
      <c r="F150" s="22">
        <f t="shared" si="10"/>
        <v>6.39</v>
      </c>
      <c r="G150" s="22">
        <f t="shared" si="11"/>
        <v>134.19</v>
      </c>
      <c r="H150">
        <v>6.39</v>
      </c>
    </row>
    <row r="151" spans="1:8">
      <c r="A151" s="20">
        <v>11976</v>
      </c>
      <c r="B151" s="70" t="s">
        <v>3903</v>
      </c>
      <c r="C151" s="21" t="s">
        <v>12</v>
      </c>
      <c r="D151" s="21" t="s">
        <v>3882</v>
      </c>
      <c r="E151" s="22">
        <f>4+170</f>
        <v>174</v>
      </c>
      <c r="F151" s="22">
        <f t="shared" si="10"/>
        <v>0.66</v>
      </c>
      <c r="G151" s="22">
        <f t="shared" si="11"/>
        <v>114.84</v>
      </c>
      <c r="H151">
        <v>0.66</v>
      </c>
    </row>
    <row r="152" spans="1:8">
      <c r="A152" s="20">
        <v>40547</v>
      </c>
      <c r="B152" s="70" t="s">
        <v>3878</v>
      </c>
      <c r="C152" s="21" t="s">
        <v>12</v>
      </c>
      <c r="D152" s="21" t="s">
        <v>3906</v>
      </c>
      <c r="E152" s="22">
        <f>0.5+6.5</f>
        <v>7</v>
      </c>
      <c r="F152" s="22">
        <f t="shared" si="10"/>
        <v>15.15</v>
      </c>
      <c r="G152" s="22">
        <f t="shared" si="11"/>
        <v>106.05</v>
      </c>
      <c r="H152">
        <v>15.15</v>
      </c>
    </row>
    <row r="153" spans="1:8">
      <c r="A153" s="20">
        <v>39701</v>
      </c>
      <c r="B153" s="70" t="s">
        <v>3904</v>
      </c>
      <c r="C153" s="21" t="s">
        <v>12</v>
      </c>
      <c r="D153" s="21" t="s">
        <v>3882</v>
      </c>
      <c r="E153" s="22">
        <f>2+19</f>
        <v>21</v>
      </c>
      <c r="F153" s="22">
        <f t="shared" si="10"/>
        <v>90.23</v>
      </c>
      <c r="G153" s="22">
        <f t="shared" si="11"/>
        <v>1894.83</v>
      </c>
      <c r="H153">
        <v>90.23</v>
      </c>
    </row>
    <row r="154" spans="1:8">
      <c r="A154" s="20">
        <v>10583</v>
      </c>
      <c r="B154" s="70" t="s">
        <v>3905</v>
      </c>
      <c r="C154" s="21" t="s">
        <v>44</v>
      </c>
      <c r="D154" s="21" t="s">
        <v>3882</v>
      </c>
      <c r="E154" s="22">
        <f>1+3</f>
        <v>4</v>
      </c>
      <c r="F154" s="22">
        <f t="shared" si="10"/>
        <v>5.6</v>
      </c>
      <c r="G154" s="22">
        <f t="shared" si="11"/>
        <v>22.4</v>
      </c>
      <c r="H154">
        <v>5.6</v>
      </c>
    </row>
    <row r="155" spans="1:8">
      <c r="A155" s="615" t="s">
        <v>1893</v>
      </c>
      <c r="B155" s="615"/>
      <c r="C155" s="615"/>
      <c r="D155" s="615"/>
      <c r="E155" s="615"/>
      <c r="F155" s="615"/>
      <c r="G155" s="88">
        <f>SUM(G146:G154)</f>
        <v>3716.29</v>
      </c>
    </row>
    <row r="156" spans="1:8" ht="19.5" customHeight="1"/>
    <row r="157" spans="1:8" ht="28.5">
      <c r="A157" s="612" t="s">
        <v>3957</v>
      </c>
      <c r="B157" s="613"/>
      <c r="C157" s="613"/>
      <c r="D157" s="613"/>
      <c r="E157" s="614"/>
      <c r="F157" s="69" t="s">
        <v>3896</v>
      </c>
      <c r="G157" s="87" t="s">
        <v>3956</v>
      </c>
    </row>
    <row r="158" spans="1:8" ht="28.5">
      <c r="A158" s="69" t="s">
        <v>1915</v>
      </c>
      <c r="B158" s="69" t="s">
        <v>2</v>
      </c>
      <c r="C158" s="69" t="s">
        <v>3</v>
      </c>
      <c r="D158" s="69" t="s">
        <v>4</v>
      </c>
      <c r="E158" s="69" t="s">
        <v>1826</v>
      </c>
      <c r="F158" s="69" t="s">
        <v>367</v>
      </c>
      <c r="G158" s="69" t="s">
        <v>368</v>
      </c>
    </row>
    <row r="159" spans="1:8">
      <c r="A159" s="20">
        <v>7551</v>
      </c>
      <c r="B159" s="70" t="s">
        <v>3897</v>
      </c>
      <c r="C159" s="21" t="s">
        <v>44</v>
      </c>
      <c r="D159" s="21" t="s">
        <v>3885</v>
      </c>
      <c r="E159" s="22">
        <v>24</v>
      </c>
      <c r="F159" s="22">
        <f t="shared" ref="F159:F168" si="12">H159</f>
        <v>3.7</v>
      </c>
      <c r="G159" s="22">
        <f t="shared" ref="G159:G168" si="13">ROUND(F159*E159,2)</f>
        <v>88.8</v>
      </c>
      <c r="H159">
        <v>3.7</v>
      </c>
    </row>
    <row r="160" spans="1:8">
      <c r="A160" s="20">
        <v>39997</v>
      </c>
      <c r="B160" s="70" t="s">
        <v>3898</v>
      </c>
      <c r="C160" s="21" t="s">
        <v>12</v>
      </c>
      <c r="D160" s="21" t="s">
        <v>3882</v>
      </c>
      <c r="E160" s="22">
        <v>122</v>
      </c>
      <c r="F160" s="22">
        <f t="shared" si="12"/>
        <v>0.16</v>
      </c>
      <c r="G160" s="22">
        <f t="shared" si="13"/>
        <v>19.52</v>
      </c>
      <c r="H160">
        <v>0.16</v>
      </c>
    </row>
    <row r="161" spans="1:8">
      <c r="A161" s="20">
        <v>39208</v>
      </c>
      <c r="B161" s="70" t="s">
        <v>3899</v>
      </c>
      <c r="C161" s="21" t="s">
        <v>12</v>
      </c>
      <c r="D161" s="21" t="s">
        <v>3882</v>
      </c>
      <c r="E161" s="22">
        <v>242</v>
      </c>
      <c r="F161" s="22">
        <f t="shared" si="12"/>
        <v>0.43</v>
      </c>
      <c r="G161" s="22">
        <f t="shared" si="13"/>
        <v>104.06</v>
      </c>
      <c r="H161">
        <v>0.43</v>
      </c>
    </row>
    <row r="162" spans="1:8" ht="30">
      <c r="A162" s="20">
        <v>39328</v>
      </c>
      <c r="B162" s="70" t="s">
        <v>3900</v>
      </c>
      <c r="C162" s="21" t="s">
        <v>12</v>
      </c>
      <c r="D162" s="21" t="s">
        <v>3885</v>
      </c>
      <c r="E162" s="22">
        <v>16.3</v>
      </c>
      <c r="F162" s="22">
        <f t="shared" si="12"/>
        <v>11.44</v>
      </c>
      <c r="G162" s="22">
        <f t="shared" si="13"/>
        <v>186.47</v>
      </c>
      <c r="H162">
        <v>11.44</v>
      </c>
    </row>
    <row r="163" spans="1:8" ht="30">
      <c r="A163" s="20" t="s">
        <v>1919</v>
      </c>
      <c r="B163" s="70" t="s">
        <v>3901</v>
      </c>
      <c r="C163" s="21" t="s">
        <v>3907</v>
      </c>
      <c r="D163" s="21" t="s">
        <v>3882</v>
      </c>
      <c r="E163" s="22">
        <v>1</v>
      </c>
      <c r="F163" s="22">
        <f t="shared" si="12"/>
        <v>2.9</v>
      </c>
      <c r="G163" s="22">
        <f t="shared" si="13"/>
        <v>2.9</v>
      </c>
      <c r="H163">
        <v>2.9</v>
      </c>
    </row>
    <row r="164" spans="1:8" ht="30">
      <c r="A164" s="20" t="s">
        <v>1919</v>
      </c>
      <c r="B164" s="70" t="s">
        <v>3902</v>
      </c>
      <c r="C164" s="21" t="s">
        <v>3907</v>
      </c>
      <c r="D164" s="21" t="s">
        <v>3882</v>
      </c>
      <c r="E164" s="22">
        <v>1</v>
      </c>
      <c r="F164" s="22">
        <f t="shared" si="12"/>
        <v>6.39</v>
      </c>
      <c r="G164" s="22">
        <f t="shared" si="13"/>
        <v>6.39</v>
      </c>
      <c r="H164">
        <v>6.39</v>
      </c>
    </row>
    <row r="165" spans="1:8">
      <c r="A165" s="20">
        <v>11976</v>
      </c>
      <c r="B165" s="70" t="s">
        <v>3903</v>
      </c>
      <c r="C165" s="21" t="s">
        <v>12</v>
      </c>
      <c r="D165" s="21" t="s">
        <v>3882</v>
      </c>
      <c r="E165" s="22">
        <v>24</v>
      </c>
      <c r="F165" s="22">
        <f t="shared" si="12"/>
        <v>0.66</v>
      </c>
      <c r="G165" s="22">
        <f t="shared" si="13"/>
        <v>15.84</v>
      </c>
      <c r="H165">
        <v>0.66</v>
      </c>
    </row>
    <row r="166" spans="1:8">
      <c r="A166" s="20">
        <v>40547</v>
      </c>
      <c r="B166" s="70" t="s">
        <v>3878</v>
      </c>
      <c r="C166" s="21" t="s">
        <v>12</v>
      </c>
      <c r="D166" s="21" t="s">
        <v>3906</v>
      </c>
      <c r="E166" s="22">
        <v>0.79</v>
      </c>
      <c r="F166" s="22">
        <f t="shared" si="12"/>
        <v>15.15</v>
      </c>
      <c r="G166" s="22">
        <f t="shared" si="13"/>
        <v>11.97</v>
      </c>
      <c r="H166">
        <v>15.15</v>
      </c>
    </row>
    <row r="167" spans="1:8">
      <c r="A167" s="20">
        <v>11558</v>
      </c>
      <c r="B167" s="70" t="s">
        <v>3920</v>
      </c>
      <c r="C167" s="21" t="s">
        <v>44</v>
      </c>
      <c r="D167" s="21" t="s">
        <v>3885</v>
      </c>
      <c r="E167" s="22">
        <v>40</v>
      </c>
      <c r="F167" s="22">
        <f t="shared" si="12"/>
        <v>0.4</v>
      </c>
      <c r="G167" s="22">
        <f t="shared" si="13"/>
        <v>16</v>
      </c>
      <c r="H167">
        <v>0.4</v>
      </c>
    </row>
    <row r="168" spans="1:8">
      <c r="A168" s="20">
        <v>8152</v>
      </c>
      <c r="B168" s="70" t="s">
        <v>3921</v>
      </c>
      <c r="C168" s="21" t="s">
        <v>44</v>
      </c>
      <c r="D168" s="21" t="s">
        <v>3432</v>
      </c>
      <c r="E168" s="22">
        <v>1.69</v>
      </c>
      <c r="F168" s="22">
        <f t="shared" si="12"/>
        <v>180.1</v>
      </c>
      <c r="G168" s="22">
        <f t="shared" si="13"/>
        <v>304.37</v>
      </c>
      <c r="H168">
        <f>180.1</f>
        <v>180.1</v>
      </c>
    </row>
    <row r="169" spans="1:8">
      <c r="A169" s="615" t="s">
        <v>1893</v>
      </c>
      <c r="B169" s="615"/>
      <c r="C169" s="615"/>
      <c r="D169" s="615"/>
      <c r="E169" s="615"/>
      <c r="F169" s="615"/>
      <c r="G169" s="88">
        <f>SUM(G159:G168)</f>
        <v>756.31999999999994</v>
      </c>
    </row>
    <row r="170" spans="1:8" ht="23.25" customHeight="1"/>
    <row r="171" spans="1:8" ht="36" customHeight="1">
      <c r="A171" s="612" t="s">
        <v>3990</v>
      </c>
      <c r="B171" s="613"/>
      <c r="C171" s="613"/>
      <c r="D171" s="613"/>
      <c r="E171" s="614"/>
      <c r="F171" s="69" t="s">
        <v>44</v>
      </c>
      <c r="G171" s="87">
        <v>7393</v>
      </c>
    </row>
    <row r="172" spans="1:8" ht="28.5">
      <c r="A172" s="69" t="s">
        <v>1915</v>
      </c>
      <c r="B172" s="69" t="s">
        <v>2</v>
      </c>
      <c r="C172" s="69" t="s">
        <v>3</v>
      </c>
      <c r="D172" s="69" t="s">
        <v>4</v>
      </c>
      <c r="E172" s="69" t="s">
        <v>1826</v>
      </c>
      <c r="F172" s="69" t="s">
        <v>367</v>
      </c>
      <c r="G172" s="69" t="s">
        <v>368</v>
      </c>
    </row>
    <row r="173" spans="1:8" ht="45">
      <c r="A173" s="20">
        <v>1286</v>
      </c>
      <c r="B173" s="70" t="s">
        <v>3991</v>
      </c>
      <c r="C173" s="21" t="s">
        <v>44</v>
      </c>
      <c r="D173" s="21" t="s">
        <v>3992</v>
      </c>
      <c r="E173" s="22">
        <v>1</v>
      </c>
      <c r="F173" s="22">
        <f>H173</f>
        <v>37.520000000000003</v>
      </c>
      <c r="G173" s="22">
        <f>ROUND(F173*E173,2)</f>
        <v>37.520000000000003</v>
      </c>
      <c r="H173">
        <v>37.520000000000003</v>
      </c>
    </row>
    <row r="174" spans="1:8" ht="30">
      <c r="A174" s="20">
        <v>1569</v>
      </c>
      <c r="B174" s="70" t="s">
        <v>3993</v>
      </c>
      <c r="C174" s="21" t="s">
        <v>44</v>
      </c>
      <c r="D174" s="21" t="s">
        <v>3885</v>
      </c>
      <c r="E174" s="22">
        <v>1.71</v>
      </c>
      <c r="F174" s="22">
        <f>H174</f>
        <v>9.25</v>
      </c>
      <c r="G174" s="22">
        <f>ROUND(F174*E174,2)</f>
        <v>15.82</v>
      </c>
      <c r="H174">
        <v>9.25</v>
      </c>
    </row>
    <row r="175" spans="1:8" ht="30">
      <c r="A175" s="20">
        <v>6995</v>
      </c>
      <c r="B175" s="70" t="s">
        <v>3994</v>
      </c>
      <c r="C175" s="21" t="s">
        <v>44</v>
      </c>
      <c r="D175" s="21" t="s">
        <v>3885</v>
      </c>
      <c r="E175" s="22">
        <v>0.97</v>
      </c>
      <c r="F175" s="22">
        <f>H175</f>
        <v>3.7</v>
      </c>
      <c r="G175" s="22">
        <f>ROUND(F175*E175,2)</f>
        <v>3.59</v>
      </c>
      <c r="H175">
        <v>3.7</v>
      </c>
    </row>
    <row r="176" spans="1:8" ht="45">
      <c r="A176" s="20">
        <v>367</v>
      </c>
      <c r="B176" s="70" t="s">
        <v>3995</v>
      </c>
      <c r="C176" s="21" t="s">
        <v>12</v>
      </c>
      <c r="D176" s="21" t="s">
        <v>4002</v>
      </c>
      <c r="E176" s="22">
        <v>4.9000000000000002E-2</v>
      </c>
      <c r="F176" s="22">
        <f>H176</f>
        <v>97.5</v>
      </c>
      <c r="G176" s="22">
        <f>ROUND(F176*E176,2)</f>
        <v>4.78</v>
      </c>
      <c r="H176">
        <v>97.5</v>
      </c>
    </row>
    <row r="177" spans="1:12">
      <c r="A177" s="20">
        <v>1379</v>
      </c>
      <c r="B177" s="70" t="s">
        <v>3996</v>
      </c>
      <c r="C177" s="21" t="s">
        <v>44</v>
      </c>
      <c r="D177" s="21" t="s">
        <v>3432</v>
      </c>
      <c r="E177" s="22">
        <v>15</v>
      </c>
      <c r="F177" s="22">
        <f t="shared" ref="F177:F184" si="14">H177</f>
        <v>0.66</v>
      </c>
      <c r="G177" s="22">
        <f t="shared" ref="G177:G184" si="15">ROUND(F177*E177,2)</f>
        <v>9.9</v>
      </c>
      <c r="H177">
        <v>0.66</v>
      </c>
    </row>
    <row r="178" spans="1:12" ht="30">
      <c r="A178" s="20">
        <v>4718</v>
      </c>
      <c r="B178" s="70" t="s">
        <v>3997</v>
      </c>
      <c r="C178" s="21" t="s">
        <v>12</v>
      </c>
      <c r="D178" s="21" t="s">
        <v>4002</v>
      </c>
      <c r="E178" s="22">
        <v>3.3000000000000002E-2</v>
      </c>
      <c r="F178" s="22">
        <f t="shared" si="14"/>
        <v>80.14</v>
      </c>
      <c r="G178" s="22">
        <f t="shared" si="15"/>
        <v>2.64</v>
      </c>
      <c r="H178">
        <v>80.14</v>
      </c>
    </row>
    <row r="179" spans="1:12" ht="30">
      <c r="A179" s="20">
        <v>4721</v>
      </c>
      <c r="B179" s="70" t="s">
        <v>3998</v>
      </c>
      <c r="C179" s="21" t="s">
        <v>12</v>
      </c>
      <c r="D179" s="21" t="s">
        <v>4002</v>
      </c>
      <c r="E179" s="22">
        <v>1.0999999999999999E-2</v>
      </c>
      <c r="F179" s="22">
        <f t="shared" si="14"/>
        <v>79.72</v>
      </c>
      <c r="G179" s="22">
        <f t="shared" si="15"/>
        <v>0.88</v>
      </c>
      <c r="H179">
        <v>79.72</v>
      </c>
    </row>
    <row r="180" spans="1:12" ht="30">
      <c r="A180" s="20">
        <v>88309</v>
      </c>
      <c r="B180" s="70" t="s">
        <v>390</v>
      </c>
      <c r="C180" s="21" t="s">
        <v>12</v>
      </c>
      <c r="D180" s="21" t="s">
        <v>4003</v>
      </c>
      <c r="E180" s="22">
        <v>0.44</v>
      </c>
      <c r="F180" s="22">
        <f t="shared" si="14"/>
        <v>17.79</v>
      </c>
      <c r="G180" s="22">
        <f t="shared" si="15"/>
        <v>7.83</v>
      </c>
      <c r="H180">
        <v>17.79</v>
      </c>
    </row>
    <row r="181" spans="1:12" ht="30">
      <c r="A181" s="20">
        <v>5075</v>
      </c>
      <c r="B181" s="70" t="s">
        <v>3999</v>
      </c>
      <c r="C181" s="21" t="s">
        <v>12</v>
      </c>
      <c r="D181" s="21" t="s">
        <v>3432</v>
      </c>
      <c r="E181" s="22">
        <v>0.03</v>
      </c>
      <c r="F181" s="22">
        <f t="shared" si="14"/>
        <v>17.579999999999998</v>
      </c>
      <c r="G181" s="22">
        <f t="shared" si="15"/>
        <v>0.53</v>
      </c>
      <c r="H181">
        <v>17.579999999999998</v>
      </c>
    </row>
    <row r="182" spans="1:12" ht="30">
      <c r="A182" s="20">
        <v>88316</v>
      </c>
      <c r="B182" s="70" t="s">
        <v>377</v>
      </c>
      <c r="C182" s="21" t="s">
        <v>12</v>
      </c>
      <c r="D182" s="21" t="s">
        <v>4003</v>
      </c>
      <c r="E182" s="22">
        <v>1.88</v>
      </c>
      <c r="F182" s="22">
        <f t="shared" si="14"/>
        <v>13.88</v>
      </c>
      <c r="G182" s="22">
        <f t="shared" si="15"/>
        <v>26.09</v>
      </c>
      <c r="H182">
        <v>13.88</v>
      </c>
    </row>
    <row r="183" spans="1:12" ht="30">
      <c r="A183" s="20">
        <v>10567</v>
      </c>
      <c r="B183" s="70" t="s">
        <v>4000</v>
      </c>
      <c r="C183" s="21" t="s">
        <v>12</v>
      </c>
      <c r="D183" s="21" t="s">
        <v>3885</v>
      </c>
      <c r="E183" s="22">
        <v>0.56000000000000005</v>
      </c>
      <c r="F183" s="22">
        <f t="shared" si="14"/>
        <v>10.63</v>
      </c>
      <c r="G183" s="22">
        <f t="shared" si="15"/>
        <v>5.95</v>
      </c>
      <c r="H183">
        <v>10.63</v>
      </c>
    </row>
    <row r="184" spans="1:12" ht="75">
      <c r="A184" s="20">
        <v>140</v>
      </c>
      <c r="B184" s="70" t="s">
        <v>4001</v>
      </c>
      <c r="C184" s="21" t="s">
        <v>12</v>
      </c>
      <c r="D184" s="21" t="s">
        <v>3432</v>
      </c>
      <c r="E184" s="22">
        <v>1.89</v>
      </c>
      <c r="F184" s="22">
        <f t="shared" si="14"/>
        <v>13</v>
      </c>
      <c r="G184" s="22">
        <f t="shared" si="15"/>
        <v>24.57</v>
      </c>
      <c r="H184">
        <v>13</v>
      </c>
    </row>
    <row r="185" spans="1:12">
      <c r="A185" s="615" t="s">
        <v>1893</v>
      </c>
      <c r="B185" s="615"/>
      <c r="C185" s="615"/>
      <c r="D185" s="615"/>
      <c r="E185" s="615"/>
      <c r="F185" s="615"/>
      <c r="G185" s="88">
        <f>SUM(G173:G184)</f>
        <v>140.10000000000002</v>
      </c>
    </row>
    <row r="186" spans="1:12" ht="20.25" customHeight="1"/>
    <row r="187" spans="1:12" ht="28.5">
      <c r="A187" s="612" t="s">
        <v>4169</v>
      </c>
      <c r="B187" s="613"/>
      <c r="C187" s="613"/>
      <c r="D187" s="613"/>
      <c r="E187" s="614"/>
      <c r="F187" s="69" t="s">
        <v>3896</v>
      </c>
      <c r="G187" s="87" t="s">
        <v>4020</v>
      </c>
    </row>
    <row r="188" spans="1:12" ht="28.5">
      <c r="A188" s="69" t="s">
        <v>1915</v>
      </c>
      <c r="B188" s="69" t="s">
        <v>2</v>
      </c>
      <c r="C188" s="69" t="s">
        <v>3</v>
      </c>
      <c r="D188" s="69" t="s">
        <v>4</v>
      </c>
      <c r="E188" s="69" t="s">
        <v>1826</v>
      </c>
      <c r="F188" s="69" t="s">
        <v>367</v>
      </c>
      <c r="G188" s="69" t="s">
        <v>368</v>
      </c>
    </row>
    <row r="189" spans="1:12" ht="30">
      <c r="A189" s="20" t="s">
        <v>1919</v>
      </c>
      <c r="B189" s="70" t="s">
        <v>3869</v>
      </c>
      <c r="C189" s="21" t="s">
        <v>3907</v>
      </c>
      <c r="D189" s="21" t="s">
        <v>3882</v>
      </c>
      <c r="E189" s="494">
        <v>29</v>
      </c>
      <c r="F189" s="22">
        <f t="shared" ref="F189:F192" si="16">H189</f>
        <v>217.95333333333335</v>
      </c>
      <c r="G189" s="22">
        <f t="shared" ref="G189:G192" si="17">ROUND(F189*E189,2)</f>
        <v>6320.65</v>
      </c>
      <c r="H189" s="479">
        <f>AVERAGE(J189:L189)</f>
        <v>217.95333333333335</v>
      </c>
      <c r="J189">
        <f>74.62+142.99</f>
        <v>217.61</v>
      </c>
      <c r="K189">
        <f>29.75+166.5</f>
        <v>196.25</v>
      </c>
      <c r="L189">
        <v>240</v>
      </c>
    </row>
    <row r="190" spans="1:12" ht="30">
      <c r="A190" s="20" t="s">
        <v>1919</v>
      </c>
      <c r="B190" s="70" t="s">
        <v>3870</v>
      </c>
      <c r="C190" s="21" t="s">
        <v>3907</v>
      </c>
      <c r="D190" s="21" t="s">
        <v>3882</v>
      </c>
      <c r="E190" s="494">
        <v>30</v>
      </c>
      <c r="F190" s="22">
        <f t="shared" si="16"/>
        <v>217.95333333333335</v>
      </c>
      <c r="G190" s="22">
        <f t="shared" si="17"/>
        <v>6538.6</v>
      </c>
      <c r="H190" s="479">
        <f>AVERAGE(J190:L190)</f>
        <v>217.95333333333335</v>
      </c>
      <c r="J190">
        <f>74.62+166.5</f>
        <v>241.12</v>
      </c>
      <c r="K190">
        <f>29.75+142.99</f>
        <v>172.74</v>
      </c>
      <c r="L190">
        <v>240</v>
      </c>
    </row>
    <row r="191" spans="1:12" ht="30">
      <c r="A191" s="20" t="s">
        <v>1919</v>
      </c>
      <c r="B191" s="70" t="s">
        <v>3871</v>
      </c>
      <c r="C191" s="21" t="s">
        <v>3907</v>
      </c>
      <c r="D191" s="21" t="s">
        <v>3882</v>
      </c>
      <c r="E191" s="494">
        <v>29</v>
      </c>
      <c r="F191" s="22">
        <f t="shared" si="16"/>
        <v>219.85666666666665</v>
      </c>
      <c r="G191" s="22">
        <f t="shared" si="17"/>
        <v>6375.84</v>
      </c>
      <c r="H191" s="479">
        <f>AVERAGE(J191:L191)</f>
        <v>219.85666666666665</v>
      </c>
      <c r="J191">
        <f>74.62+155</f>
        <v>229.62</v>
      </c>
      <c r="K191">
        <f>29.75+160.2</f>
        <v>189.95</v>
      </c>
      <c r="L191">
        <v>240</v>
      </c>
    </row>
    <row r="192" spans="1:12" ht="30">
      <c r="A192" s="20" t="s">
        <v>1919</v>
      </c>
      <c r="B192" s="70" t="s">
        <v>3872</v>
      </c>
      <c r="C192" s="21" t="s">
        <v>3907</v>
      </c>
      <c r="D192" s="21" t="s">
        <v>3882</v>
      </c>
      <c r="E192" s="494">
        <v>30</v>
      </c>
      <c r="F192" s="22">
        <f t="shared" si="16"/>
        <v>227.12</v>
      </c>
      <c r="G192" s="22">
        <f t="shared" si="17"/>
        <v>6813.6</v>
      </c>
      <c r="H192" s="479">
        <f>AVERAGE(J192:L192)</f>
        <v>227.12</v>
      </c>
      <c r="J192">
        <f>74.62+158.99</f>
        <v>233.61</v>
      </c>
      <c r="K192">
        <f>29.75+178</f>
        <v>207.75</v>
      </c>
      <c r="L192">
        <v>240</v>
      </c>
    </row>
    <row r="193" spans="1:11">
      <c r="A193" s="20">
        <v>8115</v>
      </c>
      <c r="B193" s="70" t="s">
        <v>3892</v>
      </c>
      <c r="C193" s="21" t="s">
        <v>44</v>
      </c>
      <c r="D193" s="21" t="s">
        <v>35</v>
      </c>
      <c r="E193" s="22">
        <f>9*13</f>
        <v>117</v>
      </c>
      <c r="F193" s="22">
        <f>H193</f>
        <v>22</v>
      </c>
      <c r="G193" s="22">
        <f>ROUND(F193*E193,2)</f>
        <v>2574</v>
      </c>
      <c r="H193">
        <v>22</v>
      </c>
    </row>
    <row r="194" spans="1:11" ht="45">
      <c r="A194" s="20">
        <v>101416</v>
      </c>
      <c r="B194" s="19" t="s">
        <v>607</v>
      </c>
      <c r="C194" s="21" t="s">
        <v>12</v>
      </c>
      <c r="D194" s="21" t="s">
        <v>4042</v>
      </c>
      <c r="E194" s="494">
        <v>1</v>
      </c>
      <c r="F194" s="22">
        <f t="shared" ref="F194:F195" si="18">H194</f>
        <v>3185.89</v>
      </c>
      <c r="G194" s="22">
        <f t="shared" ref="G194:G195" si="19">ROUND(F194*E194,2)</f>
        <v>3185.89</v>
      </c>
      <c r="H194" s="379">
        <f>3185.89</f>
        <v>3185.89</v>
      </c>
      <c r="I194" s="379"/>
    </row>
    <row r="195" spans="1:11" ht="45">
      <c r="A195" s="20">
        <v>101386</v>
      </c>
      <c r="B195" s="19" t="s">
        <v>608</v>
      </c>
      <c r="C195" s="21" t="s">
        <v>12</v>
      </c>
      <c r="D195" s="21" t="s">
        <v>4042</v>
      </c>
      <c r="E195" s="494">
        <v>1</v>
      </c>
      <c r="F195" s="22">
        <f t="shared" si="18"/>
        <v>2869.15</v>
      </c>
      <c r="G195" s="22">
        <f t="shared" si="19"/>
        <v>2869.15</v>
      </c>
      <c r="H195" s="379">
        <f>2869.15</f>
        <v>2869.15</v>
      </c>
      <c r="I195" s="379"/>
    </row>
    <row r="196" spans="1:11">
      <c r="A196" s="615" t="s">
        <v>1893</v>
      </c>
      <c r="B196" s="615"/>
      <c r="C196" s="615"/>
      <c r="D196" s="615"/>
      <c r="E196" s="615"/>
      <c r="F196" s="615"/>
      <c r="G196" s="88">
        <f>SUM(G189:G195)</f>
        <v>34677.730000000003</v>
      </c>
    </row>
    <row r="198" spans="1:11" ht="33" customHeight="1">
      <c r="A198" s="612" t="s">
        <v>4044</v>
      </c>
      <c r="B198" s="613"/>
      <c r="C198" s="613"/>
      <c r="D198" s="613"/>
      <c r="E198" s="614"/>
      <c r="F198" s="69" t="s">
        <v>3896</v>
      </c>
      <c r="G198" s="87" t="s">
        <v>4033</v>
      </c>
    </row>
    <row r="199" spans="1:11" ht="28.5">
      <c r="A199" s="69" t="s">
        <v>1915</v>
      </c>
      <c r="B199" s="69" t="s">
        <v>2</v>
      </c>
      <c r="C199" s="69" t="s">
        <v>3</v>
      </c>
      <c r="D199" s="69" t="s">
        <v>4</v>
      </c>
      <c r="E199" s="69" t="s">
        <v>1826</v>
      </c>
      <c r="F199" s="69" t="s">
        <v>367</v>
      </c>
      <c r="G199" s="69" t="s">
        <v>368</v>
      </c>
    </row>
    <row r="200" spans="1:11" ht="45">
      <c r="A200" s="20" t="s">
        <v>1919</v>
      </c>
      <c r="B200" s="70" t="s">
        <v>4029</v>
      </c>
      <c r="C200" s="21" t="s">
        <v>3907</v>
      </c>
      <c r="D200" s="21" t="s">
        <v>3882</v>
      </c>
      <c r="E200" s="494">
        <v>1</v>
      </c>
      <c r="F200" s="22">
        <f>H200</f>
        <v>289.14999999999998</v>
      </c>
      <c r="G200" s="22">
        <f t="shared" ref="G200:G202" si="20">ROUND(F200*E200,2)</f>
        <v>289.14999999999998</v>
      </c>
      <c r="H200" s="479">
        <f>AVERAGE(J200:K200)</f>
        <v>289.14999999999998</v>
      </c>
      <c r="J200">
        <f>149.69+57.03</f>
        <v>206.72</v>
      </c>
      <c r="K200">
        <v>371.58</v>
      </c>
    </row>
    <row r="201" spans="1:11" ht="60">
      <c r="A201" s="20">
        <v>88279</v>
      </c>
      <c r="B201" s="19" t="s">
        <v>4043</v>
      </c>
      <c r="C201" s="21" t="s">
        <v>12</v>
      </c>
      <c r="D201" s="21" t="s">
        <v>19</v>
      </c>
      <c r="E201" s="494">
        <v>0.6</v>
      </c>
      <c r="F201" s="22">
        <f t="shared" ref="F201:F202" si="21">H201</f>
        <v>25.74</v>
      </c>
      <c r="G201" s="22">
        <f t="shared" si="20"/>
        <v>15.44</v>
      </c>
      <c r="H201" s="379">
        <v>25.74</v>
      </c>
      <c r="I201" s="379"/>
    </row>
    <row r="202" spans="1:11" ht="30">
      <c r="A202" s="20">
        <v>88316</v>
      </c>
      <c r="B202" s="19" t="s">
        <v>377</v>
      </c>
      <c r="C202" s="21" t="s">
        <v>12</v>
      </c>
      <c r="D202" s="21" t="s">
        <v>19</v>
      </c>
      <c r="E202" s="494">
        <v>0.6</v>
      </c>
      <c r="F202" s="22">
        <f t="shared" si="21"/>
        <v>13.88</v>
      </c>
      <c r="G202" s="22">
        <f t="shared" si="20"/>
        <v>8.33</v>
      </c>
      <c r="H202" s="379">
        <v>13.88</v>
      </c>
      <c r="I202" s="379"/>
    </row>
    <row r="203" spans="1:11">
      <c r="A203" s="615" t="s">
        <v>1893</v>
      </c>
      <c r="B203" s="615"/>
      <c r="C203" s="615"/>
      <c r="D203" s="615"/>
      <c r="E203" s="615"/>
      <c r="F203" s="615"/>
      <c r="G203" s="88">
        <f>SUM(G200:G202)</f>
        <v>312.91999999999996</v>
      </c>
    </row>
    <row r="205" spans="1:11" ht="33.75" customHeight="1">
      <c r="A205" s="612" t="s">
        <v>4045</v>
      </c>
      <c r="B205" s="613"/>
      <c r="C205" s="613"/>
      <c r="D205" s="613"/>
      <c r="E205" s="614"/>
      <c r="F205" s="69" t="s">
        <v>3896</v>
      </c>
      <c r="G205" s="87" t="s">
        <v>4034</v>
      </c>
    </row>
    <row r="206" spans="1:11" ht="28.5">
      <c r="A206" s="69" t="s">
        <v>1915</v>
      </c>
      <c r="B206" s="69" t="s">
        <v>2</v>
      </c>
      <c r="C206" s="69" t="s">
        <v>3</v>
      </c>
      <c r="D206" s="69" t="s">
        <v>4</v>
      </c>
      <c r="E206" s="69" t="s">
        <v>1826</v>
      </c>
      <c r="F206" s="69" t="s">
        <v>367</v>
      </c>
      <c r="G206" s="69" t="s">
        <v>368</v>
      </c>
    </row>
    <row r="207" spans="1:11" ht="45">
      <c r="A207" s="20" t="s">
        <v>1919</v>
      </c>
      <c r="B207" s="70" t="s">
        <v>4024</v>
      </c>
      <c r="C207" s="21" t="s">
        <v>3907</v>
      </c>
      <c r="D207" s="21" t="s">
        <v>3882</v>
      </c>
      <c r="E207" s="494">
        <v>1</v>
      </c>
      <c r="F207" s="22">
        <f t="shared" ref="F207:F209" si="22">H207</f>
        <v>148.995</v>
      </c>
      <c r="G207" s="22">
        <f t="shared" ref="G207:G209" si="23">ROUND(F207*E207,2)</f>
        <v>149</v>
      </c>
      <c r="H207" s="479">
        <f>AVERAGE(J207:K207)</f>
        <v>148.995</v>
      </c>
      <c r="J207">
        <f>70.24+42.96</f>
        <v>113.19999999999999</v>
      </c>
      <c r="K207">
        <f>184.79</f>
        <v>184.79</v>
      </c>
    </row>
    <row r="208" spans="1:11" ht="60">
      <c r="A208" s="20">
        <v>88279</v>
      </c>
      <c r="B208" s="19" t="s">
        <v>4043</v>
      </c>
      <c r="C208" s="21" t="s">
        <v>12</v>
      </c>
      <c r="D208" s="21" t="s">
        <v>19</v>
      </c>
      <c r="E208" s="494">
        <v>0.6</v>
      </c>
      <c r="F208" s="22">
        <f t="shared" si="22"/>
        <v>25.74</v>
      </c>
      <c r="G208" s="22">
        <f t="shared" si="23"/>
        <v>15.44</v>
      </c>
      <c r="H208" s="379">
        <v>25.74</v>
      </c>
      <c r="I208" s="379"/>
    </row>
    <row r="209" spans="1:11" ht="30">
      <c r="A209" s="20">
        <v>88316</v>
      </c>
      <c r="B209" s="19" t="s">
        <v>377</v>
      </c>
      <c r="C209" s="21" t="s">
        <v>12</v>
      </c>
      <c r="D209" s="21" t="s">
        <v>19</v>
      </c>
      <c r="E209" s="494">
        <v>0.6</v>
      </c>
      <c r="F209" s="22">
        <f t="shared" si="22"/>
        <v>13.88</v>
      </c>
      <c r="G209" s="22">
        <f t="shared" si="23"/>
        <v>8.33</v>
      </c>
      <c r="H209" s="379">
        <v>13.88</v>
      </c>
      <c r="I209" s="379"/>
    </row>
    <row r="210" spans="1:11">
      <c r="A210" s="615" t="s">
        <v>1893</v>
      </c>
      <c r="B210" s="615"/>
      <c r="C210" s="615"/>
      <c r="D210" s="615"/>
      <c r="E210" s="615"/>
      <c r="F210" s="615"/>
      <c r="G210" s="88">
        <f>SUM(G207:G209)</f>
        <v>172.77</v>
      </c>
    </row>
    <row r="212" spans="1:11" ht="30.75" customHeight="1">
      <c r="A212" s="612" t="s">
        <v>4046</v>
      </c>
      <c r="B212" s="613"/>
      <c r="C212" s="613"/>
      <c r="D212" s="613"/>
      <c r="E212" s="614"/>
      <c r="F212" s="69" t="s">
        <v>3896</v>
      </c>
      <c r="G212" s="87" t="s">
        <v>4035</v>
      </c>
    </row>
    <row r="213" spans="1:11" ht="28.5">
      <c r="A213" s="69" t="s">
        <v>1915</v>
      </c>
      <c r="B213" s="69" t="s">
        <v>2</v>
      </c>
      <c r="C213" s="69" t="s">
        <v>3</v>
      </c>
      <c r="D213" s="69" t="s">
        <v>4</v>
      </c>
      <c r="E213" s="69" t="s">
        <v>1826</v>
      </c>
      <c r="F213" s="69" t="s">
        <v>367</v>
      </c>
      <c r="G213" s="69" t="s">
        <v>368</v>
      </c>
    </row>
    <row r="214" spans="1:11" ht="45">
      <c r="A214" s="20" t="s">
        <v>1919</v>
      </c>
      <c r="B214" s="70" t="s">
        <v>4026</v>
      </c>
      <c r="C214" s="21" t="s">
        <v>3907</v>
      </c>
      <c r="D214" s="21" t="s">
        <v>3882</v>
      </c>
      <c r="E214" s="494">
        <v>1</v>
      </c>
      <c r="F214" s="22">
        <f t="shared" ref="F214:F216" si="24">H214</f>
        <v>258.51499999999999</v>
      </c>
      <c r="G214" s="22">
        <f t="shared" ref="G214:G216" si="25">ROUND(F214*E214,2)</f>
        <v>258.52</v>
      </c>
      <c r="H214" s="479">
        <f>AVERAGE(J214:K214)</f>
        <v>258.51499999999999</v>
      </c>
      <c r="J214">
        <f>158.16+48.06</f>
        <v>206.22</v>
      </c>
      <c r="K214">
        <f>310.81</f>
        <v>310.81</v>
      </c>
    </row>
    <row r="215" spans="1:11" ht="60">
      <c r="A215" s="20">
        <v>88279</v>
      </c>
      <c r="B215" s="19" t="s">
        <v>4043</v>
      </c>
      <c r="C215" s="21" t="s">
        <v>12</v>
      </c>
      <c r="D215" s="21" t="s">
        <v>19</v>
      </c>
      <c r="E215" s="494">
        <v>0.6</v>
      </c>
      <c r="F215" s="22">
        <f t="shared" si="24"/>
        <v>25.74</v>
      </c>
      <c r="G215" s="22">
        <f t="shared" si="25"/>
        <v>15.44</v>
      </c>
      <c r="H215" s="379">
        <v>25.74</v>
      </c>
      <c r="I215" s="379"/>
    </row>
    <row r="216" spans="1:11" ht="30">
      <c r="A216" s="20">
        <v>88316</v>
      </c>
      <c r="B216" s="19" t="s">
        <v>377</v>
      </c>
      <c r="C216" s="21" t="s">
        <v>12</v>
      </c>
      <c r="D216" s="21" t="s">
        <v>19</v>
      </c>
      <c r="E216" s="494">
        <v>0.6</v>
      </c>
      <c r="F216" s="22">
        <f t="shared" si="24"/>
        <v>13.88</v>
      </c>
      <c r="G216" s="22">
        <f t="shared" si="25"/>
        <v>8.33</v>
      </c>
      <c r="H216" s="379">
        <v>13.88</v>
      </c>
      <c r="I216" s="379"/>
    </row>
    <row r="217" spans="1:11">
      <c r="A217" s="615" t="s">
        <v>1893</v>
      </c>
      <c r="B217" s="615"/>
      <c r="C217" s="615"/>
      <c r="D217" s="615"/>
      <c r="E217" s="615"/>
      <c r="F217" s="615"/>
      <c r="G217" s="88">
        <f>SUM(G214:G216)</f>
        <v>282.28999999999996</v>
      </c>
    </row>
    <row r="219" spans="1:11" ht="36.75" customHeight="1">
      <c r="A219" s="612" t="s">
        <v>4047</v>
      </c>
      <c r="B219" s="613"/>
      <c r="C219" s="613"/>
      <c r="D219" s="613"/>
      <c r="E219" s="614"/>
      <c r="F219" s="69" t="s">
        <v>3896</v>
      </c>
      <c r="G219" s="87" t="s">
        <v>4036</v>
      </c>
    </row>
    <row r="220" spans="1:11" ht="28.5">
      <c r="A220" s="69" t="s">
        <v>1915</v>
      </c>
      <c r="B220" s="69" t="s">
        <v>2</v>
      </c>
      <c r="C220" s="69" t="s">
        <v>3</v>
      </c>
      <c r="D220" s="69" t="s">
        <v>4</v>
      </c>
      <c r="E220" s="69" t="s">
        <v>1826</v>
      </c>
      <c r="F220" s="69" t="s">
        <v>367</v>
      </c>
      <c r="G220" s="69" t="s">
        <v>368</v>
      </c>
    </row>
    <row r="221" spans="1:11" ht="45">
      <c r="A221" s="20" t="s">
        <v>1919</v>
      </c>
      <c r="B221" s="70" t="s">
        <v>4025</v>
      </c>
      <c r="C221" s="21" t="s">
        <v>3907</v>
      </c>
      <c r="D221" s="21" t="s">
        <v>3882</v>
      </c>
      <c r="E221" s="494">
        <v>1</v>
      </c>
      <c r="F221" s="22">
        <f t="shared" ref="F221:F223" si="26">H221</f>
        <v>338.42</v>
      </c>
      <c r="G221" s="22">
        <f t="shared" ref="G221:G223" si="27">ROUND(F221*E221,2)</f>
        <v>338.42</v>
      </c>
      <c r="H221" s="479">
        <f>AVERAGE(J221:K221)</f>
        <v>338.42</v>
      </c>
      <c r="J221">
        <f>260.01+75.42</f>
        <v>335.43</v>
      </c>
      <c r="K221">
        <f>341.41</f>
        <v>341.41</v>
      </c>
    </row>
    <row r="222" spans="1:11" ht="60">
      <c r="A222" s="20">
        <v>88279</v>
      </c>
      <c r="B222" s="19" t="s">
        <v>4043</v>
      </c>
      <c r="C222" s="21" t="s">
        <v>12</v>
      </c>
      <c r="D222" s="21" t="s">
        <v>19</v>
      </c>
      <c r="E222" s="494">
        <v>0.6</v>
      </c>
      <c r="F222" s="22">
        <f t="shared" si="26"/>
        <v>25.74</v>
      </c>
      <c r="G222" s="22">
        <f t="shared" si="27"/>
        <v>15.44</v>
      </c>
      <c r="H222" s="379">
        <v>25.74</v>
      </c>
      <c r="I222" s="379"/>
    </row>
    <row r="223" spans="1:11" ht="30">
      <c r="A223" s="20">
        <v>88316</v>
      </c>
      <c r="B223" s="19" t="s">
        <v>377</v>
      </c>
      <c r="C223" s="21" t="s">
        <v>12</v>
      </c>
      <c r="D223" s="21" t="s">
        <v>19</v>
      </c>
      <c r="E223" s="494">
        <v>0.6</v>
      </c>
      <c r="F223" s="22">
        <f t="shared" si="26"/>
        <v>13.88</v>
      </c>
      <c r="G223" s="22">
        <f t="shared" si="27"/>
        <v>8.33</v>
      </c>
      <c r="H223" s="379">
        <v>13.88</v>
      </c>
      <c r="I223" s="379"/>
    </row>
    <row r="224" spans="1:11">
      <c r="A224" s="615" t="s">
        <v>1893</v>
      </c>
      <c r="B224" s="615"/>
      <c r="C224" s="615"/>
      <c r="D224" s="615"/>
      <c r="E224" s="615"/>
      <c r="F224" s="615"/>
      <c r="G224" s="88">
        <f>SUM(G221:G223)</f>
        <v>362.19</v>
      </c>
    </row>
    <row r="226" spans="1:11" ht="31.5" customHeight="1">
      <c r="A226" s="612" t="s">
        <v>4048</v>
      </c>
      <c r="B226" s="613"/>
      <c r="C226" s="613"/>
      <c r="D226" s="613"/>
      <c r="E226" s="614"/>
      <c r="F226" s="69" t="s">
        <v>3896</v>
      </c>
      <c r="G226" s="87" t="s">
        <v>4037</v>
      </c>
    </row>
    <row r="227" spans="1:11" ht="28.5">
      <c r="A227" s="69" t="s">
        <v>1915</v>
      </c>
      <c r="B227" s="69" t="s">
        <v>2</v>
      </c>
      <c r="C227" s="69" t="s">
        <v>3</v>
      </c>
      <c r="D227" s="69" t="s">
        <v>4</v>
      </c>
      <c r="E227" s="69" t="s">
        <v>1826</v>
      </c>
      <c r="F227" s="69" t="s">
        <v>367</v>
      </c>
      <c r="G227" s="69" t="s">
        <v>368</v>
      </c>
    </row>
    <row r="228" spans="1:11" ht="45">
      <c r="A228" s="20" t="s">
        <v>1919</v>
      </c>
      <c r="B228" s="70" t="s">
        <v>4030</v>
      </c>
      <c r="C228" s="21" t="s">
        <v>3907</v>
      </c>
      <c r="D228" s="21" t="s">
        <v>3882</v>
      </c>
      <c r="E228" s="494">
        <v>1</v>
      </c>
      <c r="F228" s="22">
        <f t="shared" ref="F228:F230" si="28">H228</f>
        <v>181.81</v>
      </c>
      <c r="G228" s="22">
        <f t="shared" ref="G228:G230" si="29">ROUND(F228*E228,2)</f>
        <v>181.81</v>
      </c>
      <c r="H228" s="479">
        <f>AVERAGE(J228:K228)</f>
        <v>181.81</v>
      </c>
      <c r="J228">
        <f>86.79+93.5</f>
        <v>180.29000000000002</v>
      </c>
      <c r="K228">
        <f>183.33</f>
        <v>183.33</v>
      </c>
    </row>
    <row r="229" spans="1:11" ht="60">
      <c r="A229" s="20">
        <v>88279</v>
      </c>
      <c r="B229" s="19" t="s">
        <v>4043</v>
      </c>
      <c r="C229" s="21" t="s">
        <v>12</v>
      </c>
      <c r="D229" s="21" t="s">
        <v>19</v>
      </c>
      <c r="E229" s="494">
        <v>0.6</v>
      </c>
      <c r="F229" s="22">
        <f t="shared" si="28"/>
        <v>25.74</v>
      </c>
      <c r="G229" s="22">
        <f t="shared" si="29"/>
        <v>15.44</v>
      </c>
      <c r="H229" s="379">
        <v>25.74</v>
      </c>
      <c r="I229" s="379"/>
    </row>
    <row r="230" spans="1:11" ht="30">
      <c r="A230" s="20">
        <v>88316</v>
      </c>
      <c r="B230" s="19" t="s">
        <v>377</v>
      </c>
      <c r="C230" s="21" t="s">
        <v>12</v>
      </c>
      <c r="D230" s="21" t="s">
        <v>19</v>
      </c>
      <c r="E230" s="494">
        <v>0.6</v>
      </c>
      <c r="F230" s="22">
        <f t="shared" si="28"/>
        <v>13.88</v>
      </c>
      <c r="G230" s="22">
        <f t="shared" si="29"/>
        <v>8.33</v>
      </c>
      <c r="H230" s="379">
        <v>13.88</v>
      </c>
      <c r="I230" s="379"/>
    </row>
    <row r="231" spans="1:11">
      <c r="A231" s="615" t="s">
        <v>1893</v>
      </c>
      <c r="B231" s="615"/>
      <c r="C231" s="615"/>
      <c r="D231" s="615"/>
      <c r="E231" s="615"/>
      <c r="F231" s="615"/>
      <c r="G231" s="88">
        <f>SUM(G228:G230)</f>
        <v>205.58</v>
      </c>
    </row>
    <row r="233" spans="1:11" ht="33" customHeight="1">
      <c r="A233" s="612" t="s">
        <v>4049</v>
      </c>
      <c r="B233" s="613"/>
      <c r="C233" s="613"/>
      <c r="D233" s="613"/>
      <c r="E233" s="614"/>
      <c r="F233" s="69" t="s">
        <v>3896</v>
      </c>
      <c r="G233" s="87" t="s">
        <v>4038</v>
      </c>
    </row>
    <row r="234" spans="1:11" ht="28.5">
      <c r="A234" s="69" t="s">
        <v>1915</v>
      </c>
      <c r="B234" s="69" t="s">
        <v>2</v>
      </c>
      <c r="C234" s="69" t="s">
        <v>3</v>
      </c>
      <c r="D234" s="69" t="s">
        <v>4</v>
      </c>
      <c r="E234" s="69" t="s">
        <v>1826</v>
      </c>
      <c r="F234" s="69" t="s">
        <v>367</v>
      </c>
      <c r="G234" s="69" t="s">
        <v>368</v>
      </c>
    </row>
    <row r="235" spans="1:11" ht="45">
      <c r="A235" s="20" t="s">
        <v>1919</v>
      </c>
      <c r="B235" s="70" t="s">
        <v>4031</v>
      </c>
      <c r="C235" s="21" t="s">
        <v>3907</v>
      </c>
      <c r="D235" s="21" t="s">
        <v>3882</v>
      </c>
      <c r="E235" s="494">
        <v>1</v>
      </c>
      <c r="F235" s="22">
        <f t="shared" ref="F235:F237" si="30">H235</f>
        <v>265.96499999999997</v>
      </c>
      <c r="G235" s="22">
        <f t="shared" ref="G235:G237" si="31">ROUND(F235*E235,2)</f>
        <v>265.97000000000003</v>
      </c>
      <c r="H235" s="479">
        <f>AVERAGE(J235:K235)</f>
        <v>265.96499999999997</v>
      </c>
      <c r="J235">
        <f>170.5+ 43.6</f>
        <v>214.1</v>
      </c>
      <c r="K235">
        <f>317.83</f>
        <v>317.83</v>
      </c>
    </row>
    <row r="236" spans="1:11" ht="60">
      <c r="A236" s="20">
        <v>88279</v>
      </c>
      <c r="B236" s="19" t="s">
        <v>4043</v>
      </c>
      <c r="C236" s="21" t="s">
        <v>12</v>
      </c>
      <c r="D236" s="21" t="s">
        <v>19</v>
      </c>
      <c r="E236" s="494">
        <v>0.6</v>
      </c>
      <c r="F236" s="22">
        <f t="shared" si="30"/>
        <v>25.74</v>
      </c>
      <c r="G236" s="22">
        <f t="shared" si="31"/>
        <v>15.44</v>
      </c>
      <c r="H236" s="379">
        <v>25.74</v>
      </c>
      <c r="I236" s="379"/>
    </row>
    <row r="237" spans="1:11" ht="30">
      <c r="A237" s="20">
        <v>88316</v>
      </c>
      <c r="B237" s="19" t="s">
        <v>377</v>
      </c>
      <c r="C237" s="21" t="s">
        <v>12</v>
      </c>
      <c r="D237" s="21" t="s">
        <v>19</v>
      </c>
      <c r="E237" s="494">
        <v>0.6</v>
      </c>
      <c r="F237" s="22">
        <f t="shared" si="30"/>
        <v>13.88</v>
      </c>
      <c r="G237" s="22">
        <f t="shared" si="31"/>
        <v>8.33</v>
      </c>
      <c r="H237" s="379">
        <v>13.88</v>
      </c>
      <c r="I237" s="379"/>
    </row>
    <row r="238" spans="1:11">
      <c r="A238" s="615" t="s">
        <v>1893</v>
      </c>
      <c r="B238" s="615"/>
      <c r="C238" s="615"/>
      <c r="D238" s="615"/>
      <c r="E238" s="615"/>
      <c r="F238" s="615"/>
      <c r="G238" s="88">
        <f>SUM(G235:G237)</f>
        <v>289.74</v>
      </c>
    </row>
    <row r="240" spans="1:11" ht="34.5" customHeight="1">
      <c r="A240" s="612" t="s">
        <v>4050</v>
      </c>
      <c r="B240" s="613"/>
      <c r="C240" s="613"/>
      <c r="D240" s="613"/>
      <c r="E240" s="614"/>
      <c r="F240" s="69" t="s">
        <v>3896</v>
      </c>
      <c r="G240" s="87" t="s">
        <v>4039</v>
      </c>
    </row>
    <row r="241" spans="1:11" ht="28.5">
      <c r="A241" s="69" t="s">
        <v>1915</v>
      </c>
      <c r="B241" s="69" t="s">
        <v>2</v>
      </c>
      <c r="C241" s="69" t="s">
        <v>3</v>
      </c>
      <c r="D241" s="69" t="s">
        <v>4</v>
      </c>
      <c r="E241" s="69" t="s">
        <v>1826</v>
      </c>
      <c r="F241" s="69" t="s">
        <v>367</v>
      </c>
      <c r="G241" s="69" t="s">
        <v>368</v>
      </c>
    </row>
    <row r="242" spans="1:11" ht="45">
      <c r="A242" s="20" t="s">
        <v>1919</v>
      </c>
      <c r="B242" s="70" t="s">
        <v>4032</v>
      </c>
      <c r="C242" s="21" t="s">
        <v>3907</v>
      </c>
      <c r="D242" s="21" t="s">
        <v>3882</v>
      </c>
      <c r="E242" s="494">
        <v>1</v>
      </c>
      <c r="F242" s="22">
        <f t="shared" ref="F242:F244" si="32">H242</f>
        <v>442.43</v>
      </c>
      <c r="G242" s="22">
        <f t="shared" ref="G242:G244" si="33">ROUND(F242*E242,2)</f>
        <v>442.43</v>
      </c>
      <c r="H242" s="479">
        <f>AVERAGE(J242:K242)</f>
        <v>442.43</v>
      </c>
      <c r="J242">
        <f>308+ 43.6</f>
        <v>351.6</v>
      </c>
      <c r="K242">
        <f>533.26</f>
        <v>533.26</v>
      </c>
    </row>
    <row r="243" spans="1:11" ht="60">
      <c r="A243" s="20">
        <v>88279</v>
      </c>
      <c r="B243" s="19" t="s">
        <v>4043</v>
      </c>
      <c r="C243" s="21" t="s">
        <v>12</v>
      </c>
      <c r="D243" s="21" t="s">
        <v>19</v>
      </c>
      <c r="E243" s="494">
        <v>0.6</v>
      </c>
      <c r="F243" s="22">
        <f t="shared" si="32"/>
        <v>25.74</v>
      </c>
      <c r="G243" s="22">
        <f t="shared" si="33"/>
        <v>15.44</v>
      </c>
      <c r="H243" s="379">
        <v>25.74</v>
      </c>
      <c r="I243" s="379"/>
    </row>
    <row r="244" spans="1:11" ht="30">
      <c r="A244" s="20">
        <v>88316</v>
      </c>
      <c r="B244" s="19" t="s">
        <v>377</v>
      </c>
      <c r="C244" s="21" t="s">
        <v>12</v>
      </c>
      <c r="D244" s="21" t="s">
        <v>19</v>
      </c>
      <c r="E244" s="494">
        <v>0.6</v>
      </c>
      <c r="F244" s="22">
        <f t="shared" si="32"/>
        <v>13.88</v>
      </c>
      <c r="G244" s="22">
        <f t="shared" si="33"/>
        <v>8.33</v>
      </c>
      <c r="H244" s="379">
        <v>13.88</v>
      </c>
      <c r="I244" s="379"/>
    </row>
    <row r="245" spans="1:11">
      <c r="A245" s="615" t="s">
        <v>1893</v>
      </c>
      <c r="B245" s="615"/>
      <c r="C245" s="615"/>
      <c r="D245" s="615"/>
      <c r="E245" s="615"/>
      <c r="F245" s="615"/>
      <c r="G245" s="88">
        <f>SUM(G242:G244)</f>
        <v>466.2</v>
      </c>
    </row>
    <row r="247" spans="1:11" ht="36" customHeight="1">
      <c r="A247" s="612" t="s">
        <v>4051</v>
      </c>
      <c r="B247" s="613"/>
      <c r="C247" s="613"/>
      <c r="D247" s="613"/>
      <c r="E247" s="614"/>
      <c r="F247" s="69" t="s">
        <v>3896</v>
      </c>
      <c r="G247" s="87" t="s">
        <v>4040</v>
      </c>
    </row>
    <row r="248" spans="1:11" ht="28.5">
      <c r="A248" s="612" t="s">
        <v>366</v>
      </c>
      <c r="B248" s="616"/>
      <c r="C248" s="69" t="s">
        <v>3</v>
      </c>
      <c r="D248" s="69" t="s">
        <v>4</v>
      </c>
      <c r="E248" s="69" t="s">
        <v>1826</v>
      </c>
      <c r="F248" s="69" t="s">
        <v>367</v>
      </c>
      <c r="G248" s="69" t="s">
        <v>368</v>
      </c>
    </row>
    <row r="249" spans="1:11" ht="30">
      <c r="A249" s="20" t="s">
        <v>1919</v>
      </c>
      <c r="B249" s="70" t="s">
        <v>4027</v>
      </c>
      <c r="C249" s="21" t="s">
        <v>3907</v>
      </c>
      <c r="D249" s="21" t="s">
        <v>3882</v>
      </c>
      <c r="E249" s="494">
        <v>1</v>
      </c>
      <c r="F249" s="22">
        <f t="shared" ref="F249:F251" si="34">H249</f>
        <v>86.710000000000008</v>
      </c>
      <c r="G249" s="22">
        <f t="shared" ref="G249:G251" si="35">ROUND(F249*E249,2)</f>
        <v>86.71</v>
      </c>
      <c r="H249">
        <f>36.71+50</f>
        <v>86.710000000000008</v>
      </c>
    </row>
    <row r="250" spans="1:11" ht="60">
      <c r="A250" s="20">
        <v>88279</v>
      </c>
      <c r="B250" s="19" t="s">
        <v>4043</v>
      </c>
      <c r="C250" s="21" t="s">
        <v>12</v>
      </c>
      <c r="D250" s="21" t="s">
        <v>19</v>
      </c>
      <c r="E250" s="494">
        <v>0.6</v>
      </c>
      <c r="F250" s="22">
        <f t="shared" si="34"/>
        <v>25.74</v>
      </c>
      <c r="G250" s="22">
        <f t="shared" si="35"/>
        <v>15.44</v>
      </c>
      <c r="H250" s="379">
        <v>25.74</v>
      </c>
      <c r="I250" s="379"/>
    </row>
    <row r="251" spans="1:11" ht="30">
      <c r="A251" s="20">
        <v>88316</v>
      </c>
      <c r="B251" s="19" t="s">
        <v>377</v>
      </c>
      <c r="C251" s="21" t="s">
        <v>12</v>
      </c>
      <c r="D251" s="21" t="s">
        <v>19</v>
      </c>
      <c r="E251" s="494">
        <v>0.6</v>
      </c>
      <c r="F251" s="22">
        <f t="shared" si="34"/>
        <v>13.88</v>
      </c>
      <c r="G251" s="22">
        <f t="shared" si="35"/>
        <v>8.33</v>
      </c>
      <c r="H251" s="379">
        <v>13.88</v>
      </c>
      <c r="I251" s="379"/>
    </row>
    <row r="252" spans="1:11">
      <c r="A252" s="615" t="s">
        <v>1893</v>
      </c>
      <c r="B252" s="615"/>
      <c r="C252" s="615"/>
      <c r="D252" s="615"/>
      <c r="E252" s="615"/>
      <c r="F252" s="615"/>
      <c r="G252" s="88">
        <f>SUM(G249:G251)</f>
        <v>110.47999999999999</v>
      </c>
    </row>
    <row r="254" spans="1:11" ht="35.25" customHeight="1">
      <c r="A254" s="612" t="s">
        <v>4052</v>
      </c>
      <c r="B254" s="613"/>
      <c r="C254" s="613"/>
      <c r="D254" s="613"/>
      <c r="E254" s="614"/>
      <c r="F254" s="69" t="s">
        <v>3896</v>
      </c>
      <c r="G254" s="87" t="s">
        <v>4041</v>
      </c>
    </row>
    <row r="255" spans="1:11" ht="28.5">
      <c r="A255" s="612" t="s">
        <v>366</v>
      </c>
      <c r="B255" s="616"/>
      <c r="C255" s="69" t="s">
        <v>3</v>
      </c>
      <c r="D255" s="69" t="s">
        <v>4</v>
      </c>
      <c r="E255" s="69" t="s">
        <v>1826</v>
      </c>
      <c r="F255" s="69" t="s">
        <v>367</v>
      </c>
      <c r="G255" s="69" t="s">
        <v>368</v>
      </c>
    </row>
    <row r="256" spans="1:11" ht="30">
      <c r="A256" s="20" t="s">
        <v>1919</v>
      </c>
      <c r="B256" s="70" t="s">
        <v>4028</v>
      </c>
      <c r="C256" s="21" t="s">
        <v>3907</v>
      </c>
      <c r="D256" s="21" t="s">
        <v>3882</v>
      </c>
      <c r="E256" s="494">
        <v>1</v>
      </c>
      <c r="F256" s="22">
        <f t="shared" ref="F256:F258" si="36">H256</f>
        <v>45.94</v>
      </c>
      <c r="G256" s="22">
        <f t="shared" ref="G256:G258" si="37">ROUND(F256*E256,2)</f>
        <v>45.94</v>
      </c>
      <c r="H256">
        <f>25.94+20</f>
        <v>45.94</v>
      </c>
    </row>
    <row r="257" spans="1:9" ht="60">
      <c r="A257" s="20">
        <v>88279</v>
      </c>
      <c r="B257" s="19" t="s">
        <v>4043</v>
      </c>
      <c r="C257" s="21" t="s">
        <v>12</v>
      </c>
      <c r="D257" s="21" t="s">
        <v>19</v>
      </c>
      <c r="E257" s="494">
        <v>0.6</v>
      </c>
      <c r="F257" s="22">
        <f t="shared" si="36"/>
        <v>25.74</v>
      </c>
      <c r="G257" s="22">
        <f t="shared" si="37"/>
        <v>15.44</v>
      </c>
      <c r="H257" s="379">
        <v>25.74</v>
      </c>
      <c r="I257" s="379"/>
    </row>
    <row r="258" spans="1:9" ht="30">
      <c r="A258" s="20">
        <v>88316</v>
      </c>
      <c r="B258" s="19" t="s">
        <v>377</v>
      </c>
      <c r="C258" s="21" t="s">
        <v>12</v>
      </c>
      <c r="D258" s="21" t="s">
        <v>19</v>
      </c>
      <c r="E258" s="494">
        <v>0.6</v>
      </c>
      <c r="F258" s="22">
        <f t="shared" si="36"/>
        <v>13.88</v>
      </c>
      <c r="G258" s="22">
        <f t="shared" si="37"/>
        <v>8.33</v>
      </c>
      <c r="H258" s="379">
        <v>13.88</v>
      </c>
      <c r="I258" s="379"/>
    </row>
    <row r="259" spans="1:9">
      <c r="A259" s="615" t="s">
        <v>1893</v>
      </c>
      <c r="B259" s="615"/>
      <c r="C259" s="615"/>
      <c r="D259" s="615"/>
      <c r="E259" s="615"/>
      <c r="F259" s="615"/>
      <c r="G259" s="88">
        <f>SUM(G256:G258)</f>
        <v>69.709999999999994</v>
      </c>
    </row>
    <row r="260" spans="1:9" ht="21.75" customHeight="1"/>
    <row r="261" spans="1:9" ht="35.25" customHeight="1">
      <c r="A261" s="612" t="s">
        <v>4070</v>
      </c>
      <c r="B261" s="613"/>
      <c r="C261" s="613"/>
      <c r="D261" s="613"/>
      <c r="E261" s="614"/>
      <c r="F261" s="69" t="s">
        <v>3896</v>
      </c>
      <c r="G261" s="87" t="s">
        <v>4078</v>
      </c>
    </row>
    <row r="262" spans="1:9" ht="28.5">
      <c r="A262" s="612" t="s">
        <v>366</v>
      </c>
      <c r="B262" s="616"/>
      <c r="C262" s="69" t="s">
        <v>3</v>
      </c>
      <c r="D262" s="69" t="s">
        <v>4</v>
      </c>
      <c r="E262" s="69" t="s">
        <v>1826</v>
      </c>
      <c r="F262" s="69" t="s">
        <v>367</v>
      </c>
      <c r="G262" s="69" t="s">
        <v>368</v>
      </c>
    </row>
    <row r="263" spans="1:9" ht="45">
      <c r="A263" s="20" t="s">
        <v>3356</v>
      </c>
      <c r="B263" s="70" t="s">
        <v>3355</v>
      </c>
      <c r="C263" s="21" t="s">
        <v>3046</v>
      </c>
      <c r="D263" s="21" t="s">
        <v>17</v>
      </c>
      <c r="E263" s="494">
        <v>3</v>
      </c>
      <c r="F263" s="22">
        <v>45846.399000000005</v>
      </c>
      <c r="G263" s="22">
        <f t="shared" ref="G263" si="38">ROUND(F263*E263,2)</f>
        <v>137539.20000000001</v>
      </c>
    </row>
    <row r="264" spans="1:9">
      <c r="A264" s="615" t="s">
        <v>1893</v>
      </c>
      <c r="B264" s="615"/>
      <c r="C264" s="615"/>
      <c r="D264" s="615"/>
      <c r="E264" s="615"/>
      <c r="F264" s="615"/>
      <c r="G264" s="88">
        <f>SUM(G263:G263)</f>
        <v>137539.20000000001</v>
      </c>
    </row>
    <row r="266" spans="1:9" ht="28.5">
      <c r="A266" s="612" t="s">
        <v>4079</v>
      </c>
      <c r="B266" s="613"/>
      <c r="C266" s="613"/>
      <c r="D266" s="613"/>
      <c r="E266" s="614"/>
      <c r="F266" s="69" t="s">
        <v>3896</v>
      </c>
      <c r="G266" s="87" t="s">
        <v>4080</v>
      </c>
    </row>
    <row r="267" spans="1:9" ht="28.5">
      <c r="A267" s="612" t="s">
        <v>366</v>
      </c>
      <c r="B267" s="616"/>
      <c r="C267" s="69" t="s">
        <v>3</v>
      </c>
      <c r="D267" s="69" t="s">
        <v>4</v>
      </c>
      <c r="E267" s="69" t="s">
        <v>1826</v>
      </c>
      <c r="F267" s="69" t="s">
        <v>367</v>
      </c>
      <c r="G267" s="69" t="s">
        <v>368</v>
      </c>
    </row>
    <row r="268" spans="1:9" ht="45">
      <c r="A268" s="20" t="s">
        <v>3356</v>
      </c>
      <c r="B268" s="70" t="s">
        <v>3355</v>
      </c>
      <c r="C268" s="21" t="s">
        <v>3046</v>
      </c>
      <c r="D268" s="21" t="s">
        <v>17</v>
      </c>
      <c r="E268" s="494">
        <v>1</v>
      </c>
      <c r="F268" s="22">
        <v>45846.399000000005</v>
      </c>
      <c r="G268" s="22">
        <f t="shared" ref="G268" si="39">ROUND(F268*E268,2)</f>
        <v>45846.400000000001</v>
      </c>
    </row>
    <row r="269" spans="1:9">
      <c r="A269" s="615" t="s">
        <v>1893</v>
      </c>
      <c r="B269" s="615"/>
      <c r="C269" s="615"/>
      <c r="D269" s="615"/>
      <c r="E269" s="615"/>
      <c r="F269" s="615"/>
      <c r="G269" s="88">
        <f>SUM(G268:G268)</f>
        <v>45846.400000000001</v>
      </c>
    </row>
    <row r="271" spans="1:9" ht="28.5">
      <c r="A271" s="612" t="s">
        <v>3957</v>
      </c>
      <c r="B271" s="613"/>
      <c r="C271" s="613"/>
      <c r="D271" s="613"/>
      <c r="E271" s="614"/>
      <c r="F271" s="69" t="s">
        <v>3896</v>
      </c>
      <c r="G271" s="87" t="s">
        <v>4081</v>
      </c>
    </row>
    <row r="272" spans="1:9" ht="28.5">
      <c r="A272" s="69" t="s">
        <v>1915</v>
      </c>
      <c r="B272" s="69" t="s">
        <v>2</v>
      </c>
      <c r="C272" s="69" t="s">
        <v>3</v>
      </c>
      <c r="D272" s="69" t="s">
        <v>4</v>
      </c>
      <c r="E272" s="69" t="s">
        <v>1826</v>
      </c>
      <c r="F272" s="69" t="s">
        <v>367</v>
      </c>
      <c r="G272" s="69" t="s">
        <v>368</v>
      </c>
    </row>
    <row r="273" spans="1:12">
      <c r="A273" s="20">
        <v>7551</v>
      </c>
      <c r="B273" s="70" t="s">
        <v>3897</v>
      </c>
      <c r="C273" s="21" t="s">
        <v>44</v>
      </c>
      <c r="D273" s="21" t="s">
        <v>3885</v>
      </c>
      <c r="E273" s="22">
        <v>24</v>
      </c>
      <c r="F273" s="22">
        <f t="shared" ref="F273:F281" si="40">H273</f>
        <v>3.7</v>
      </c>
      <c r="G273" s="22">
        <f t="shared" ref="G273:G281" si="41">ROUND(F273*E273,2)</f>
        <v>88.8</v>
      </c>
      <c r="H273">
        <v>3.7</v>
      </c>
    </row>
    <row r="274" spans="1:12">
      <c r="A274" s="20">
        <v>39997</v>
      </c>
      <c r="B274" s="70" t="s">
        <v>3898</v>
      </c>
      <c r="C274" s="21" t="s">
        <v>12</v>
      </c>
      <c r="D274" s="21" t="s">
        <v>3882</v>
      </c>
      <c r="E274" s="22">
        <v>122</v>
      </c>
      <c r="F274" s="22">
        <f t="shared" si="40"/>
        <v>0.16</v>
      </c>
      <c r="G274" s="22">
        <f t="shared" si="41"/>
        <v>19.52</v>
      </c>
      <c r="H274">
        <v>0.16</v>
      </c>
    </row>
    <row r="275" spans="1:12">
      <c r="A275" s="20">
        <v>39208</v>
      </c>
      <c r="B275" s="70" t="s">
        <v>3899</v>
      </c>
      <c r="C275" s="21" t="s">
        <v>12</v>
      </c>
      <c r="D275" s="21" t="s">
        <v>3882</v>
      </c>
      <c r="E275" s="22">
        <v>242</v>
      </c>
      <c r="F275" s="22">
        <f t="shared" si="40"/>
        <v>0.43</v>
      </c>
      <c r="G275" s="22">
        <f t="shared" si="41"/>
        <v>104.06</v>
      </c>
      <c r="H275">
        <v>0.43</v>
      </c>
    </row>
    <row r="276" spans="1:12" ht="30">
      <c r="A276" s="20" t="s">
        <v>1919</v>
      </c>
      <c r="B276" s="70" t="s">
        <v>3901</v>
      </c>
      <c r="C276" s="21" t="s">
        <v>3907</v>
      </c>
      <c r="D276" s="21" t="s">
        <v>3882</v>
      </c>
      <c r="E276" s="22">
        <v>1</v>
      </c>
      <c r="F276" s="22">
        <f t="shared" si="40"/>
        <v>2.9</v>
      </c>
      <c r="G276" s="22">
        <f t="shared" si="41"/>
        <v>2.9</v>
      </c>
      <c r="H276">
        <v>2.9</v>
      </c>
    </row>
    <row r="277" spans="1:12" ht="30">
      <c r="A277" s="20" t="s">
        <v>1919</v>
      </c>
      <c r="B277" s="70" t="s">
        <v>3902</v>
      </c>
      <c r="C277" s="21" t="s">
        <v>3907</v>
      </c>
      <c r="D277" s="21" t="s">
        <v>3882</v>
      </c>
      <c r="E277" s="22">
        <v>1</v>
      </c>
      <c r="F277" s="22">
        <f t="shared" si="40"/>
        <v>6.39</v>
      </c>
      <c r="G277" s="22">
        <f t="shared" si="41"/>
        <v>6.39</v>
      </c>
      <c r="H277">
        <v>6.39</v>
      </c>
    </row>
    <row r="278" spans="1:12">
      <c r="A278" s="20">
        <v>11976</v>
      </c>
      <c r="B278" s="70" t="s">
        <v>3903</v>
      </c>
      <c r="C278" s="21" t="s">
        <v>12</v>
      </c>
      <c r="D278" s="21" t="s">
        <v>3882</v>
      </c>
      <c r="E278" s="22">
        <v>24</v>
      </c>
      <c r="F278" s="22">
        <f t="shared" si="40"/>
        <v>0.66</v>
      </c>
      <c r="G278" s="22">
        <f t="shared" si="41"/>
        <v>15.84</v>
      </c>
      <c r="H278">
        <v>0.66</v>
      </c>
    </row>
    <row r="279" spans="1:12">
      <c r="A279" s="20">
        <v>40547</v>
      </c>
      <c r="B279" s="70" t="s">
        <v>3878</v>
      </c>
      <c r="C279" s="21" t="s">
        <v>12</v>
      </c>
      <c r="D279" s="21" t="s">
        <v>3906</v>
      </c>
      <c r="E279" s="22">
        <v>0.79</v>
      </c>
      <c r="F279" s="22">
        <f t="shared" si="40"/>
        <v>15.15</v>
      </c>
      <c r="G279" s="22">
        <f t="shared" si="41"/>
        <v>11.97</v>
      </c>
      <c r="H279">
        <v>15.15</v>
      </c>
    </row>
    <row r="280" spans="1:12">
      <c r="A280" s="20">
        <v>11558</v>
      </c>
      <c r="B280" s="70" t="s">
        <v>3920</v>
      </c>
      <c r="C280" s="21" t="s">
        <v>44</v>
      </c>
      <c r="D280" s="21" t="s">
        <v>3885</v>
      </c>
      <c r="E280" s="22">
        <v>40</v>
      </c>
      <c r="F280" s="22">
        <f t="shared" si="40"/>
        <v>0.4</v>
      </c>
      <c r="G280" s="22">
        <f t="shared" si="41"/>
        <v>16</v>
      </c>
      <c r="H280">
        <v>0.4</v>
      </c>
    </row>
    <row r="281" spans="1:12">
      <c r="A281" s="20">
        <v>8152</v>
      </c>
      <c r="B281" s="70" t="s">
        <v>3921</v>
      </c>
      <c r="C281" s="21" t="s">
        <v>44</v>
      </c>
      <c r="D281" s="21" t="s">
        <v>3432</v>
      </c>
      <c r="E281" s="22">
        <v>1.69</v>
      </c>
      <c r="F281" s="22">
        <f t="shared" si="40"/>
        <v>180.1</v>
      </c>
      <c r="G281" s="22">
        <f t="shared" si="41"/>
        <v>304.37</v>
      </c>
      <c r="H281">
        <f>180.1</f>
        <v>180.1</v>
      </c>
    </row>
    <row r="282" spans="1:12">
      <c r="A282" s="615" t="s">
        <v>1893</v>
      </c>
      <c r="B282" s="615"/>
      <c r="C282" s="615"/>
      <c r="D282" s="615"/>
      <c r="E282" s="615"/>
      <c r="F282" s="615"/>
      <c r="G282" s="88">
        <f>SUM(G273:G281)</f>
        <v>569.85</v>
      </c>
    </row>
    <row r="284" spans="1:12" ht="28.5">
      <c r="A284" s="612" t="s">
        <v>4087</v>
      </c>
      <c r="B284" s="613"/>
      <c r="C284" s="613"/>
      <c r="D284" s="613"/>
      <c r="E284" s="614"/>
      <c r="F284" s="69" t="s">
        <v>3896</v>
      </c>
      <c r="G284" s="87" t="s">
        <v>4082</v>
      </c>
    </row>
    <row r="285" spans="1:12" ht="28.5">
      <c r="A285" s="69" t="s">
        <v>1915</v>
      </c>
      <c r="B285" s="69" t="s">
        <v>2</v>
      </c>
      <c r="C285" s="69" t="s">
        <v>3</v>
      </c>
      <c r="D285" s="69" t="s">
        <v>4</v>
      </c>
      <c r="E285" s="69" t="s">
        <v>1826</v>
      </c>
      <c r="F285" s="69" t="s">
        <v>367</v>
      </c>
      <c r="G285" s="69" t="s">
        <v>368</v>
      </c>
    </row>
    <row r="286" spans="1:12" ht="30">
      <c r="A286" s="20" t="s">
        <v>1919</v>
      </c>
      <c r="B286" s="70" t="s">
        <v>3869</v>
      </c>
      <c r="C286" s="21" t="s">
        <v>3907</v>
      </c>
      <c r="D286" s="21" t="s">
        <v>3882</v>
      </c>
      <c r="E286" s="494">
        <v>22</v>
      </c>
      <c r="F286" s="22">
        <f t="shared" ref="F286:F289" si="42">H286</f>
        <v>217.95333333333335</v>
      </c>
      <c r="G286" s="22">
        <f t="shared" ref="G286:G289" si="43">ROUND(F286*E286,2)</f>
        <v>4794.97</v>
      </c>
      <c r="H286" s="479">
        <f>AVERAGE(J286:L286)</f>
        <v>217.95333333333335</v>
      </c>
      <c r="J286">
        <f>74.62+142.99</f>
        <v>217.61</v>
      </c>
      <c r="K286">
        <f>29.75+166.5</f>
        <v>196.25</v>
      </c>
      <c r="L286">
        <v>240</v>
      </c>
    </row>
    <row r="287" spans="1:12" ht="30">
      <c r="A287" s="20" t="s">
        <v>1919</v>
      </c>
      <c r="B287" s="70" t="s">
        <v>3870</v>
      </c>
      <c r="C287" s="21" t="s">
        <v>3907</v>
      </c>
      <c r="D287" s="21" t="s">
        <v>3882</v>
      </c>
      <c r="E287" s="494">
        <v>19</v>
      </c>
      <c r="F287" s="22">
        <f t="shared" si="42"/>
        <v>217.95333333333335</v>
      </c>
      <c r="G287" s="22">
        <f t="shared" si="43"/>
        <v>4141.1099999999997</v>
      </c>
      <c r="H287" s="479">
        <f>AVERAGE(J287:L287)</f>
        <v>217.95333333333335</v>
      </c>
      <c r="J287">
        <f>74.62+166.5</f>
        <v>241.12</v>
      </c>
      <c r="K287">
        <f>29.75+142.99</f>
        <v>172.74</v>
      </c>
      <c r="L287">
        <v>240</v>
      </c>
    </row>
    <row r="288" spans="1:12" ht="30">
      <c r="A288" s="20" t="s">
        <v>1919</v>
      </c>
      <c r="B288" s="70" t="s">
        <v>3871</v>
      </c>
      <c r="C288" s="21" t="s">
        <v>3907</v>
      </c>
      <c r="D288" s="21" t="s">
        <v>3882</v>
      </c>
      <c r="E288" s="494">
        <v>22</v>
      </c>
      <c r="F288" s="22">
        <f t="shared" si="42"/>
        <v>219.85666666666665</v>
      </c>
      <c r="G288" s="22">
        <f t="shared" si="43"/>
        <v>4836.8500000000004</v>
      </c>
      <c r="H288" s="479">
        <f>AVERAGE(J288:L288)</f>
        <v>219.85666666666665</v>
      </c>
      <c r="J288">
        <f>74.62+155</f>
        <v>229.62</v>
      </c>
      <c r="K288">
        <f>29.75+160.2</f>
        <v>189.95</v>
      </c>
      <c r="L288">
        <v>240</v>
      </c>
    </row>
    <row r="289" spans="1:12" ht="30">
      <c r="A289" s="20" t="s">
        <v>1919</v>
      </c>
      <c r="B289" s="70" t="s">
        <v>3872</v>
      </c>
      <c r="C289" s="21" t="s">
        <v>3907</v>
      </c>
      <c r="D289" s="21" t="s">
        <v>3882</v>
      </c>
      <c r="E289" s="494">
        <v>19</v>
      </c>
      <c r="F289" s="22">
        <f t="shared" si="42"/>
        <v>227.12</v>
      </c>
      <c r="G289" s="22">
        <f t="shared" si="43"/>
        <v>4315.28</v>
      </c>
      <c r="H289" s="479">
        <f>AVERAGE(J289:L289)</f>
        <v>227.12</v>
      </c>
      <c r="J289">
        <f>74.62+158.99</f>
        <v>233.61</v>
      </c>
      <c r="K289">
        <f>29.75+178</f>
        <v>207.75</v>
      </c>
      <c r="L289">
        <v>240</v>
      </c>
    </row>
    <row r="290" spans="1:12">
      <c r="A290" s="20">
        <v>8115</v>
      </c>
      <c r="B290" s="70" t="s">
        <v>3892</v>
      </c>
      <c r="C290" s="21" t="s">
        <v>44</v>
      </c>
      <c r="D290" s="21" t="s">
        <v>35</v>
      </c>
      <c r="E290" s="22">
        <f>9*16</f>
        <v>144</v>
      </c>
      <c r="F290" s="22">
        <f>H290</f>
        <v>22</v>
      </c>
      <c r="G290" s="22">
        <f>ROUND(F290*E290,2)</f>
        <v>3168</v>
      </c>
      <c r="H290">
        <v>22</v>
      </c>
    </row>
    <row r="291" spans="1:12" ht="45">
      <c r="A291" s="20">
        <v>101416</v>
      </c>
      <c r="B291" s="19" t="s">
        <v>607</v>
      </c>
      <c r="C291" s="21" t="s">
        <v>12</v>
      </c>
      <c r="D291" s="21" t="s">
        <v>4042</v>
      </c>
      <c r="E291" s="494">
        <v>0.8</v>
      </c>
      <c r="F291" s="22">
        <f t="shared" ref="F291:F292" si="44">H291</f>
        <v>3185.89</v>
      </c>
      <c r="G291" s="22">
        <f t="shared" ref="G291:G292" si="45">ROUND(F291*E291,2)</f>
        <v>2548.71</v>
      </c>
      <c r="H291" s="379">
        <f>3185.89</f>
        <v>3185.89</v>
      </c>
      <c r="I291" s="379"/>
    </row>
    <row r="292" spans="1:12" ht="45">
      <c r="A292" s="20">
        <v>101386</v>
      </c>
      <c r="B292" s="19" t="s">
        <v>608</v>
      </c>
      <c r="C292" s="21" t="s">
        <v>12</v>
      </c>
      <c r="D292" s="21" t="s">
        <v>4042</v>
      </c>
      <c r="E292" s="494">
        <v>0.8</v>
      </c>
      <c r="F292" s="22">
        <f t="shared" si="44"/>
        <v>2869.15</v>
      </c>
      <c r="G292" s="22">
        <f t="shared" si="45"/>
        <v>2295.3200000000002</v>
      </c>
      <c r="H292" s="379">
        <f>2869.15</f>
        <v>2869.15</v>
      </c>
      <c r="I292" s="379"/>
    </row>
    <row r="293" spans="1:12">
      <c r="A293" s="615" t="s">
        <v>1893</v>
      </c>
      <c r="B293" s="615"/>
      <c r="C293" s="615"/>
      <c r="D293" s="615"/>
      <c r="E293" s="615"/>
      <c r="F293" s="615"/>
      <c r="G293" s="88">
        <f>SUM(G286:G292)</f>
        <v>26100.239999999998</v>
      </c>
    </row>
    <row r="295" spans="1:12" ht="28.5">
      <c r="A295" s="612" t="s">
        <v>4089</v>
      </c>
      <c r="B295" s="613"/>
      <c r="C295" s="613"/>
      <c r="D295" s="613"/>
      <c r="E295" s="614"/>
      <c r="F295" s="69" t="s">
        <v>3896</v>
      </c>
      <c r="G295" s="87" t="s">
        <v>4088</v>
      </c>
    </row>
    <row r="296" spans="1:12" ht="28.5">
      <c r="A296" s="69" t="s">
        <v>1915</v>
      </c>
      <c r="B296" s="69" t="s">
        <v>2</v>
      </c>
      <c r="C296" s="69" t="s">
        <v>3</v>
      </c>
      <c r="D296" s="69" t="s">
        <v>4</v>
      </c>
      <c r="E296" s="69" t="s">
        <v>1826</v>
      </c>
      <c r="F296" s="69" t="s">
        <v>367</v>
      </c>
      <c r="G296" s="69" t="s">
        <v>368</v>
      </c>
    </row>
    <row r="297" spans="1:12" ht="45">
      <c r="A297" s="20" t="s">
        <v>3356</v>
      </c>
      <c r="B297" s="70" t="s">
        <v>3355</v>
      </c>
      <c r="C297" s="21" t="s">
        <v>3046</v>
      </c>
      <c r="D297" s="21" t="s">
        <v>17</v>
      </c>
      <c r="E297" s="494">
        <v>2</v>
      </c>
      <c r="F297" s="22">
        <v>45846.399000000005</v>
      </c>
      <c r="G297" s="22">
        <f t="shared" ref="G297" si="46">ROUND(F297*E297,2)</f>
        <v>91692.800000000003</v>
      </c>
      <c r="H297">
        <f>25.94+20</f>
        <v>45.94</v>
      </c>
    </row>
    <row r="298" spans="1:12">
      <c r="A298" s="615" t="s">
        <v>1893</v>
      </c>
      <c r="B298" s="615"/>
      <c r="C298" s="615"/>
      <c r="D298" s="615"/>
      <c r="E298" s="615"/>
      <c r="F298" s="615"/>
      <c r="G298" s="88">
        <f>SUM(G297:G297)</f>
        <v>91692.800000000003</v>
      </c>
    </row>
    <row r="299" spans="1:12" ht="23.25" customHeight="1"/>
    <row r="300" spans="1:12" ht="52.5" customHeight="1">
      <c r="A300" s="612" t="s">
        <v>4093</v>
      </c>
      <c r="B300" s="613"/>
      <c r="C300" s="613"/>
      <c r="D300" s="613"/>
      <c r="E300" s="614"/>
      <c r="F300" s="69" t="s">
        <v>3896</v>
      </c>
      <c r="G300" s="87" t="s">
        <v>4094</v>
      </c>
    </row>
    <row r="301" spans="1:12" ht="28.5">
      <c r="A301" s="69" t="s">
        <v>1915</v>
      </c>
      <c r="B301" s="69" t="s">
        <v>2</v>
      </c>
      <c r="C301" s="69" t="s">
        <v>3</v>
      </c>
      <c r="D301" s="69" t="s">
        <v>4</v>
      </c>
      <c r="E301" s="69" t="s">
        <v>1826</v>
      </c>
      <c r="F301" s="69" t="s">
        <v>367</v>
      </c>
      <c r="G301" s="69" t="s">
        <v>368</v>
      </c>
    </row>
    <row r="302" spans="1:12" ht="75">
      <c r="A302" s="20" t="s">
        <v>1919</v>
      </c>
      <c r="B302" s="70" t="s">
        <v>4092</v>
      </c>
      <c r="C302" s="21" t="s">
        <v>3907</v>
      </c>
      <c r="D302" s="21" t="s">
        <v>3882</v>
      </c>
      <c r="E302" s="494">
        <v>1</v>
      </c>
      <c r="F302" s="22">
        <f t="shared" ref="F302:F303" si="47">H302</f>
        <v>11586.5</v>
      </c>
      <c r="G302" s="22">
        <f t="shared" ref="G302:G303" si="48">ROUND(F302*E302,2)</f>
        <v>11586.5</v>
      </c>
      <c r="H302" s="479">
        <f>AVERAGE(J302:K302)</f>
        <v>11586.5</v>
      </c>
      <c r="I302" s="479"/>
      <c r="J302">
        <v>10952</v>
      </c>
      <c r="K302" s="479">
        <v>12221</v>
      </c>
    </row>
    <row r="303" spans="1:12" ht="60">
      <c r="A303" s="20">
        <v>88279</v>
      </c>
      <c r="B303" s="19" t="s">
        <v>4043</v>
      </c>
      <c r="C303" s="21" t="s">
        <v>12</v>
      </c>
      <c r="D303" s="21" t="s">
        <v>19</v>
      </c>
      <c r="E303" s="494">
        <v>2</v>
      </c>
      <c r="F303" s="22">
        <f t="shared" si="47"/>
        <v>25.74</v>
      </c>
      <c r="G303" s="22">
        <f t="shared" si="48"/>
        <v>51.48</v>
      </c>
      <c r="H303" s="379">
        <v>25.74</v>
      </c>
      <c r="I303" s="379"/>
    </row>
    <row r="304" spans="1:12" ht="30">
      <c r="A304" s="20">
        <v>88264</v>
      </c>
      <c r="B304" s="70" t="s">
        <v>379</v>
      </c>
      <c r="C304" s="21" t="s">
        <v>12</v>
      </c>
      <c r="D304" s="21" t="s">
        <v>19</v>
      </c>
      <c r="E304" s="22">
        <v>2</v>
      </c>
      <c r="F304" s="22">
        <f>H304</f>
        <v>17.940000000000001</v>
      </c>
      <c r="G304" s="22">
        <f>ROUND(F304*E304,2)</f>
        <v>35.880000000000003</v>
      </c>
      <c r="H304">
        <v>17.940000000000001</v>
      </c>
      <c r="I304" s="379"/>
    </row>
    <row r="305" spans="1:11">
      <c r="A305" s="615" t="s">
        <v>1893</v>
      </c>
      <c r="B305" s="615"/>
      <c r="C305" s="615"/>
      <c r="D305" s="615"/>
      <c r="E305" s="615"/>
      <c r="F305" s="615"/>
      <c r="G305" s="88">
        <f>SUM(G302:G304)</f>
        <v>11673.859999999999</v>
      </c>
    </row>
    <row r="308" spans="1:11" ht="28.5">
      <c r="A308" s="612" t="s">
        <v>4096</v>
      </c>
      <c r="B308" s="613"/>
      <c r="C308" s="613"/>
      <c r="D308" s="613"/>
      <c r="E308" s="614"/>
      <c r="F308" s="69" t="s">
        <v>3896</v>
      </c>
      <c r="G308" s="87" t="s">
        <v>4097</v>
      </c>
    </row>
    <row r="309" spans="1:11" ht="28.5">
      <c r="A309" s="69" t="s">
        <v>1915</v>
      </c>
      <c r="B309" s="69" t="s">
        <v>2</v>
      </c>
      <c r="C309" s="69" t="s">
        <v>3</v>
      </c>
      <c r="D309" s="69" t="s">
        <v>4</v>
      </c>
      <c r="E309" s="69" t="s">
        <v>1826</v>
      </c>
      <c r="F309" s="69" t="s">
        <v>367</v>
      </c>
      <c r="G309" s="69" t="s">
        <v>368</v>
      </c>
    </row>
    <row r="310" spans="1:11" ht="60">
      <c r="A310" s="20" t="s">
        <v>1919</v>
      </c>
      <c r="B310" s="70" t="s">
        <v>4095</v>
      </c>
      <c r="C310" s="21" t="s">
        <v>3907</v>
      </c>
      <c r="D310" s="21" t="s">
        <v>3882</v>
      </c>
      <c r="E310" s="494">
        <v>1</v>
      </c>
      <c r="F310" s="22">
        <f t="shared" ref="F310:F311" si="49">H310</f>
        <v>20485</v>
      </c>
      <c r="G310" s="22">
        <f t="shared" ref="G310:G311" si="50">ROUND(F310*E310,2)</f>
        <v>20485</v>
      </c>
      <c r="H310" s="479">
        <f>AVERAGE(J310:K310)</f>
        <v>20485</v>
      </c>
      <c r="I310" s="479"/>
      <c r="J310" s="479">
        <v>19720</v>
      </c>
      <c r="K310" s="479">
        <v>21250</v>
      </c>
    </row>
    <row r="311" spans="1:11" ht="60">
      <c r="A311" s="20">
        <v>88279</v>
      </c>
      <c r="B311" s="19" t="s">
        <v>4043</v>
      </c>
      <c r="C311" s="21" t="s">
        <v>12</v>
      </c>
      <c r="D311" s="21" t="s">
        <v>19</v>
      </c>
      <c r="E311" s="494">
        <v>2</v>
      </c>
      <c r="F311" s="22">
        <f t="shared" si="49"/>
        <v>25.74</v>
      </c>
      <c r="G311" s="22">
        <f t="shared" si="50"/>
        <v>51.48</v>
      </c>
      <c r="H311" s="379">
        <v>25.74</v>
      </c>
      <c r="I311" s="379"/>
    </row>
    <row r="312" spans="1:11" ht="30">
      <c r="A312" s="20">
        <v>88264</v>
      </c>
      <c r="B312" s="70" t="s">
        <v>379</v>
      </c>
      <c r="C312" s="21" t="s">
        <v>12</v>
      </c>
      <c r="D312" s="21" t="s">
        <v>19</v>
      </c>
      <c r="E312" s="22">
        <v>2</v>
      </c>
      <c r="F312" s="22">
        <f>H312</f>
        <v>17.940000000000001</v>
      </c>
      <c r="G312" s="22">
        <f>ROUND(F312*E312,2)</f>
        <v>35.880000000000003</v>
      </c>
      <c r="H312">
        <v>17.940000000000001</v>
      </c>
      <c r="I312" s="379"/>
    </row>
    <row r="313" spans="1:11">
      <c r="A313" s="615" t="s">
        <v>1893</v>
      </c>
      <c r="B313" s="615"/>
      <c r="C313" s="615"/>
      <c r="D313" s="615"/>
      <c r="E313" s="615"/>
      <c r="F313" s="615"/>
      <c r="G313" s="88">
        <f>SUM(G310:G312)</f>
        <v>20572.36</v>
      </c>
    </row>
    <row r="315" spans="1:11" ht="28.5">
      <c r="A315" s="612" t="s">
        <v>4100</v>
      </c>
      <c r="B315" s="613"/>
      <c r="C315" s="613"/>
      <c r="D315" s="613"/>
      <c r="E315" s="614"/>
      <c r="F315" s="69" t="s">
        <v>3896</v>
      </c>
      <c r="G315" s="87" t="s">
        <v>4098</v>
      </c>
    </row>
    <row r="316" spans="1:11" ht="28.5">
      <c r="A316" s="69" t="s">
        <v>1915</v>
      </c>
      <c r="B316" s="69" t="s">
        <v>2</v>
      </c>
      <c r="C316" s="69" t="s">
        <v>3</v>
      </c>
      <c r="D316" s="69" t="s">
        <v>4</v>
      </c>
      <c r="E316" s="69" t="s">
        <v>1826</v>
      </c>
      <c r="F316" s="69" t="s">
        <v>367</v>
      </c>
      <c r="G316" s="69" t="s">
        <v>368</v>
      </c>
    </row>
    <row r="317" spans="1:11" ht="75">
      <c r="A317" s="20" t="s">
        <v>1919</v>
      </c>
      <c r="B317" s="70" t="s">
        <v>4099</v>
      </c>
      <c r="C317" s="21" t="s">
        <v>3907</v>
      </c>
      <c r="D317" s="21" t="s">
        <v>3882</v>
      </c>
      <c r="E317" s="494">
        <v>1</v>
      </c>
      <c r="F317" s="22">
        <f t="shared" ref="F317:F318" si="51">H317</f>
        <v>8210</v>
      </c>
      <c r="G317" s="22">
        <f t="shared" ref="G317:G318" si="52">ROUND(F317*E317,2)</f>
        <v>8210</v>
      </c>
      <c r="H317" s="479">
        <f>AVERAGE(J317:K317)</f>
        <v>8210</v>
      </c>
      <c r="I317" s="479"/>
      <c r="J317">
        <v>7290</v>
      </c>
      <c r="K317" s="479">
        <v>9130</v>
      </c>
    </row>
    <row r="318" spans="1:11" ht="60">
      <c r="A318" s="20">
        <v>88279</v>
      </c>
      <c r="B318" s="19" t="s">
        <v>4043</v>
      </c>
      <c r="C318" s="21" t="s">
        <v>12</v>
      </c>
      <c r="D318" s="21" t="s">
        <v>19</v>
      </c>
      <c r="E318" s="494">
        <v>2</v>
      </c>
      <c r="F318" s="22">
        <f t="shared" si="51"/>
        <v>25.74</v>
      </c>
      <c r="G318" s="22">
        <f t="shared" si="52"/>
        <v>51.48</v>
      </c>
      <c r="H318" s="379">
        <v>25.74</v>
      </c>
      <c r="I318" s="379"/>
    </row>
    <row r="319" spans="1:11" ht="30">
      <c r="A319" s="20">
        <v>88264</v>
      </c>
      <c r="B319" s="70" t="s">
        <v>379</v>
      </c>
      <c r="C319" s="21" t="s">
        <v>12</v>
      </c>
      <c r="D319" s="21" t="s">
        <v>19</v>
      </c>
      <c r="E319" s="22">
        <v>2</v>
      </c>
      <c r="F319" s="22">
        <f>H319</f>
        <v>17.940000000000001</v>
      </c>
      <c r="G319" s="22">
        <f>ROUND(F319*E319,2)</f>
        <v>35.880000000000003</v>
      </c>
      <c r="H319">
        <v>17.940000000000001</v>
      </c>
      <c r="I319" s="379"/>
    </row>
    <row r="320" spans="1:11">
      <c r="A320" s="615" t="s">
        <v>1893</v>
      </c>
      <c r="B320" s="615"/>
      <c r="C320" s="615"/>
      <c r="D320" s="615"/>
      <c r="E320" s="615"/>
      <c r="F320" s="615"/>
      <c r="G320" s="88">
        <f>SUM(G317:G319)</f>
        <v>8297.3599999999988</v>
      </c>
    </row>
    <row r="322" spans="1:11" ht="28.5">
      <c r="A322" s="612" t="s">
        <v>4102</v>
      </c>
      <c r="B322" s="613"/>
      <c r="C322" s="613"/>
      <c r="D322" s="613"/>
      <c r="E322" s="614"/>
      <c r="F322" s="69" t="s">
        <v>3896</v>
      </c>
      <c r="G322" s="87" t="s">
        <v>4103</v>
      </c>
    </row>
    <row r="323" spans="1:11" ht="28.5">
      <c r="A323" s="69" t="s">
        <v>1915</v>
      </c>
      <c r="B323" s="69" t="s">
        <v>2</v>
      </c>
      <c r="C323" s="69" t="s">
        <v>3</v>
      </c>
      <c r="D323" s="69" t="s">
        <v>4</v>
      </c>
      <c r="E323" s="69" t="s">
        <v>1826</v>
      </c>
      <c r="F323" s="69" t="s">
        <v>367</v>
      </c>
      <c r="G323" s="69" t="s">
        <v>368</v>
      </c>
    </row>
    <row r="324" spans="1:11" ht="60">
      <c r="A324" s="20" t="s">
        <v>1919</v>
      </c>
      <c r="B324" s="70" t="s">
        <v>4101</v>
      </c>
      <c r="C324" s="21" t="s">
        <v>3907</v>
      </c>
      <c r="D324" s="21" t="s">
        <v>3882</v>
      </c>
      <c r="E324" s="494">
        <v>1</v>
      </c>
      <c r="F324" s="22">
        <f t="shared" ref="F324:F325" si="53">H324</f>
        <v>21741</v>
      </c>
      <c r="G324" s="22">
        <f t="shared" ref="G324:G325" si="54">ROUND(F324*E324,2)</f>
        <v>21741</v>
      </c>
      <c r="H324" s="479">
        <f>AVERAGE(J324:K324)</f>
        <v>21741</v>
      </c>
      <c r="I324" s="479"/>
      <c r="J324" s="479">
        <v>20200</v>
      </c>
      <c r="K324" s="479">
        <v>23282</v>
      </c>
    </row>
    <row r="325" spans="1:11" ht="60">
      <c r="A325" s="20">
        <v>88279</v>
      </c>
      <c r="B325" s="19" t="s">
        <v>4043</v>
      </c>
      <c r="C325" s="21" t="s">
        <v>12</v>
      </c>
      <c r="D325" s="21" t="s">
        <v>19</v>
      </c>
      <c r="E325" s="494">
        <v>2</v>
      </c>
      <c r="F325" s="22">
        <f t="shared" si="53"/>
        <v>25.74</v>
      </c>
      <c r="G325" s="22">
        <f t="shared" si="54"/>
        <v>51.48</v>
      </c>
      <c r="H325" s="379">
        <v>25.74</v>
      </c>
      <c r="I325" s="379"/>
    </row>
    <row r="326" spans="1:11" ht="30">
      <c r="A326" s="20">
        <v>88264</v>
      </c>
      <c r="B326" s="70" t="s">
        <v>379</v>
      </c>
      <c r="C326" s="21" t="s">
        <v>12</v>
      </c>
      <c r="D326" s="21" t="s">
        <v>19</v>
      </c>
      <c r="E326" s="22">
        <v>2</v>
      </c>
      <c r="F326" s="22">
        <f>H326</f>
        <v>17.940000000000001</v>
      </c>
      <c r="G326" s="22">
        <f>ROUND(F326*E326,2)</f>
        <v>35.880000000000003</v>
      </c>
      <c r="H326">
        <v>17.940000000000001</v>
      </c>
      <c r="I326" s="379"/>
    </row>
    <row r="327" spans="1:11">
      <c r="A327" s="615" t="s">
        <v>1893</v>
      </c>
      <c r="B327" s="615"/>
      <c r="C327" s="615"/>
      <c r="D327" s="615"/>
      <c r="E327" s="615"/>
      <c r="F327" s="615"/>
      <c r="G327" s="88">
        <f>SUM(G324:G326)</f>
        <v>21828.36</v>
      </c>
    </row>
    <row r="329" spans="1:11" ht="28.5">
      <c r="A329" s="612" t="s">
        <v>4069</v>
      </c>
      <c r="B329" s="613"/>
      <c r="C329" s="613"/>
      <c r="D329" s="613"/>
      <c r="E329" s="614"/>
      <c r="F329" s="69" t="s">
        <v>3896</v>
      </c>
      <c r="G329" s="87" t="s">
        <v>4105</v>
      </c>
    </row>
    <row r="330" spans="1:11" ht="28.5">
      <c r="A330" s="69" t="s">
        <v>1915</v>
      </c>
      <c r="B330" s="69" t="s">
        <v>2</v>
      </c>
      <c r="C330" s="69" t="s">
        <v>3</v>
      </c>
      <c r="D330" s="69" t="s">
        <v>4</v>
      </c>
      <c r="E330" s="69" t="s">
        <v>1826</v>
      </c>
      <c r="F330" s="69" t="s">
        <v>367</v>
      </c>
      <c r="G330" s="69" t="s">
        <v>368</v>
      </c>
    </row>
    <row r="331" spans="1:11" ht="30">
      <c r="A331" s="20" t="s">
        <v>1919</v>
      </c>
      <c r="B331" s="70" t="s">
        <v>4104</v>
      </c>
      <c r="C331" s="21" t="s">
        <v>3907</v>
      </c>
      <c r="D331" s="21" t="s">
        <v>3882</v>
      </c>
      <c r="E331" s="494">
        <v>1</v>
      </c>
      <c r="F331" s="22">
        <f t="shared" ref="F331" si="55">H331</f>
        <v>4663.4399999999996</v>
      </c>
      <c r="G331" s="22">
        <f t="shared" ref="G331" si="56">ROUND(F331*E331,2)</f>
        <v>4663.4399999999996</v>
      </c>
      <c r="H331" s="479">
        <f>AVERAGE(J331:K331)</f>
        <v>4663.4399999999996</v>
      </c>
      <c r="I331" s="479"/>
      <c r="J331" s="479">
        <f>320.04+4343.4</f>
        <v>4663.4399999999996</v>
      </c>
    </row>
    <row r="332" spans="1:11">
      <c r="A332" s="615" t="s">
        <v>1893</v>
      </c>
      <c r="B332" s="615"/>
      <c r="C332" s="615"/>
      <c r="D332" s="615"/>
      <c r="E332" s="615"/>
      <c r="F332" s="615"/>
      <c r="G332" s="88">
        <f>SUM(G331:G331)</f>
        <v>4663.4399999999996</v>
      </c>
    </row>
    <row r="334" spans="1:11" ht="28.5">
      <c r="A334" s="612" t="s">
        <v>4107</v>
      </c>
      <c r="B334" s="613"/>
      <c r="C334" s="613"/>
      <c r="D334" s="613"/>
      <c r="E334" s="614"/>
      <c r="F334" s="69" t="s">
        <v>3896</v>
      </c>
      <c r="G334" s="87" t="s">
        <v>4106</v>
      </c>
    </row>
    <row r="335" spans="1:11" ht="28.5">
      <c r="A335" s="69" t="s">
        <v>1915</v>
      </c>
      <c r="B335" s="69" t="s">
        <v>2</v>
      </c>
      <c r="C335" s="69" t="s">
        <v>3</v>
      </c>
      <c r="D335" s="69" t="s">
        <v>4</v>
      </c>
      <c r="E335" s="69" t="s">
        <v>1826</v>
      </c>
      <c r="F335" s="69" t="s">
        <v>367</v>
      </c>
      <c r="G335" s="69" t="s">
        <v>368</v>
      </c>
    </row>
    <row r="336" spans="1:11" ht="30">
      <c r="A336" s="20" t="s">
        <v>1919</v>
      </c>
      <c r="B336" s="70" t="s">
        <v>4108</v>
      </c>
      <c r="C336" s="21" t="s">
        <v>3907</v>
      </c>
      <c r="D336" s="21" t="s">
        <v>3882</v>
      </c>
      <c r="E336" s="494">
        <v>1</v>
      </c>
      <c r="F336" s="22">
        <f t="shared" ref="F336" si="57">H336</f>
        <v>4663.4399999999996</v>
      </c>
      <c r="G336" s="22">
        <f t="shared" ref="G336" si="58">ROUND(F336*E336,2)</f>
        <v>4663.4399999999996</v>
      </c>
      <c r="H336" s="479">
        <f>AVERAGE(J336:K336)</f>
        <v>4663.4399999999996</v>
      </c>
      <c r="I336" s="479"/>
      <c r="J336" s="479">
        <f>320.04+4343.4</f>
        <v>4663.4399999999996</v>
      </c>
    </row>
    <row r="337" spans="1:11">
      <c r="A337" s="615" t="s">
        <v>1893</v>
      </c>
      <c r="B337" s="615"/>
      <c r="C337" s="615"/>
      <c r="D337" s="615"/>
      <c r="E337" s="615"/>
      <c r="F337" s="615"/>
      <c r="G337" s="88">
        <f>SUM(G336:G336)</f>
        <v>4663.4399999999996</v>
      </c>
    </row>
    <row r="339" spans="1:11" ht="28.5">
      <c r="A339" s="612" t="s">
        <v>4066</v>
      </c>
      <c r="B339" s="613"/>
      <c r="C339" s="613"/>
      <c r="D339" s="613"/>
      <c r="E339" s="614"/>
      <c r="F339" s="69" t="s">
        <v>3896</v>
      </c>
      <c r="G339" s="87" t="s">
        <v>4110</v>
      </c>
    </row>
    <row r="340" spans="1:11" ht="28.5">
      <c r="A340" s="69" t="s">
        <v>1915</v>
      </c>
      <c r="B340" s="69" t="s">
        <v>2</v>
      </c>
      <c r="C340" s="69" t="s">
        <v>3</v>
      </c>
      <c r="D340" s="69" t="s">
        <v>4</v>
      </c>
      <c r="E340" s="69" t="s">
        <v>1826</v>
      </c>
      <c r="F340" s="69" t="s">
        <v>367</v>
      </c>
      <c r="G340" s="69" t="s">
        <v>368</v>
      </c>
    </row>
    <row r="341" spans="1:11" ht="30">
      <c r="A341" s="20" t="s">
        <v>1919</v>
      </c>
      <c r="B341" s="70" t="s">
        <v>4109</v>
      </c>
      <c r="C341" s="21" t="s">
        <v>3907</v>
      </c>
      <c r="D341" s="21" t="s">
        <v>3882</v>
      </c>
      <c r="E341" s="494">
        <v>1</v>
      </c>
      <c r="F341" s="22">
        <f t="shared" ref="F341" si="59">H341</f>
        <v>3286.25</v>
      </c>
      <c r="G341" s="22">
        <f t="shared" ref="G341" si="60">ROUND(F341*E341,2)</f>
        <v>3286.25</v>
      </c>
      <c r="H341" s="479">
        <f>AVERAGE(J341:K341)</f>
        <v>3286.25</v>
      </c>
      <c r="I341" s="479"/>
      <c r="J341" s="479">
        <v>3322.5</v>
      </c>
      <c r="K341">
        <f>3250</f>
        <v>3250</v>
      </c>
    </row>
    <row r="342" spans="1:11">
      <c r="A342" s="615" t="s">
        <v>1893</v>
      </c>
      <c r="B342" s="615"/>
      <c r="C342" s="615"/>
      <c r="D342" s="615"/>
      <c r="E342" s="615"/>
      <c r="F342" s="615"/>
      <c r="G342" s="88">
        <f>SUM(G341:G341)</f>
        <v>3286.25</v>
      </c>
    </row>
    <row r="344" spans="1:11" ht="28.5">
      <c r="A344" s="612" t="s">
        <v>4067</v>
      </c>
      <c r="B344" s="613"/>
      <c r="C344" s="613"/>
      <c r="D344" s="613"/>
      <c r="E344" s="614"/>
      <c r="F344" s="69" t="s">
        <v>3896</v>
      </c>
      <c r="G344" s="87" t="s">
        <v>4111</v>
      </c>
    </row>
    <row r="345" spans="1:11" ht="28.5">
      <c r="A345" s="69" t="s">
        <v>1915</v>
      </c>
      <c r="B345" s="69" t="s">
        <v>2</v>
      </c>
      <c r="C345" s="69" t="s">
        <v>3</v>
      </c>
      <c r="D345" s="69" t="s">
        <v>4</v>
      </c>
      <c r="E345" s="69" t="s">
        <v>1826</v>
      </c>
      <c r="F345" s="69" t="s">
        <v>367</v>
      </c>
      <c r="G345" s="69" t="s">
        <v>368</v>
      </c>
    </row>
    <row r="346" spans="1:11" ht="30">
      <c r="A346" s="20" t="s">
        <v>1919</v>
      </c>
      <c r="B346" s="70" t="s">
        <v>4112</v>
      </c>
      <c r="C346" s="21" t="s">
        <v>3907</v>
      </c>
      <c r="D346" s="21" t="s">
        <v>3882</v>
      </c>
      <c r="E346" s="494">
        <v>1</v>
      </c>
      <c r="F346" s="22">
        <f t="shared" ref="F346" si="61">H346</f>
        <v>3375.6099999999997</v>
      </c>
      <c r="G346" s="22">
        <f t="shared" ref="G346" si="62">ROUND(F346*E346,2)</f>
        <v>3375.61</v>
      </c>
      <c r="H346" s="479">
        <f>AVERAGE(J346:K346)</f>
        <v>3375.6099999999997</v>
      </c>
      <c r="I346" s="479"/>
      <c r="J346" s="479">
        <v>3401.22</v>
      </c>
      <c r="K346">
        <f>3350</f>
        <v>3350</v>
      </c>
    </row>
    <row r="347" spans="1:11">
      <c r="A347" s="615" t="s">
        <v>1893</v>
      </c>
      <c r="B347" s="615"/>
      <c r="C347" s="615"/>
      <c r="D347" s="615"/>
      <c r="E347" s="615"/>
      <c r="F347" s="615"/>
      <c r="G347" s="88">
        <f>SUM(G346:G346)</f>
        <v>3375.61</v>
      </c>
    </row>
    <row r="349" spans="1:11" ht="28.5">
      <c r="A349" s="612" t="s">
        <v>4068</v>
      </c>
      <c r="B349" s="613"/>
      <c r="C349" s="613"/>
      <c r="D349" s="613"/>
      <c r="E349" s="614"/>
      <c r="F349" s="69" t="s">
        <v>3896</v>
      </c>
      <c r="G349" s="87" t="s">
        <v>4113</v>
      </c>
    </row>
    <row r="350" spans="1:11" ht="28.5">
      <c r="A350" s="69" t="s">
        <v>1915</v>
      </c>
      <c r="B350" s="69" t="s">
        <v>2</v>
      </c>
      <c r="C350" s="69" t="s">
        <v>3</v>
      </c>
      <c r="D350" s="69" t="s">
        <v>4</v>
      </c>
      <c r="E350" s="69" t="s">
        <v>1826</v>
      </c>
      <c r="F350" s="69" t="s">
        <v>367</v>
      </c>
      <c r="G350" s="69" t="s">
        <v>368</v>
      </c>
    </row>
    <row r="351" spans="1:11" ht="30">
      <c r="A351" s="20" t="s">
        <v>1919</v>
      </c>
      <c r="B351" s="70" t="s">
        <v>4114</v>
      </c>
      <c r="C351" s="21" t="s">
        <v>3907</v>
      </c>
      <c r="D351" s="21" t="s">
        <v>3882</v>
      </c>
      <c r="E351" s="494">
        <v>1</v>
      </c>
      <c r="F351" s="22">
        <f t="shared" ref="F351" si="63">H351</f>
        <v>3441.165</v>
      </c>
      <c r="G351" s="22">
        <f t="shared" ref="G351" si="64">ROUND(F351*E351,2)</f>
        <v>3441.17</v>
      </c>
      <c r="H351" s="479">
        <f>AVERAGE(J351:K351)</f>
        <v>3441.165</v>
      </c>
      <c r="I351" s="479"/>
      <c r="J351" s="479">
        <v>3492.33</v>
      </c>
      <c r="K351">
        <f>3390</f>
        <v>3390</v>
      </c>
    </row>
    <row r="352" spans="1:11">
      <c r="A352" s="615" t="s">
        <v>1893</v>
      </c>
      <c r="B352" s="615"/>
      <c r="C352" s="615"/>
      <c r="D352" s="615"/>
      <c r="E352" s="615"/>
      <c r="F352" s="615"/>
      <c r="G352" s="88">
        <f>SUM(G351:G351)</f>
        <v>3441.17</v>
      </c>
    </row>
    <row r="353" spans="1:8" ht="21.75" customHeight="1"/>
    <row r="354" spans="1:8" ht="32.25" customHeight="1">
      <c r="A354" s="612" t="s">
        <v>4119</v>
      </c>
      <c r="B354" s="613"/>
      <c r="C354" s="613"/>
      <c r="D354" s="613"/>
      <c r="E354" s="614"/>
      <c r="F354" s="69" t="s">
        <v>44</v>
      </c>
      <c r="G354" s="87">
        <v>9842</v>
      </c>
    </row>
    <row r="355" spans="1:8" ht="28.5">
      <c r="A355" s="69" t="s">
        <v>1915</v>
      </c>
      <c r="B355" s="69" t="s">
        <v>2</v>
      </c>
      <c r="C355" s="69" t="s">
        <v>3</v>
      </c>
      <c r="D355" s="69" t="s">
        <v>4</v>
      </c>
      <c r="E355" s="69" t="s">
        <v>1826</v>
      </c>
      <c r="F355" s="69" t="s">
        <v>367</v>
      </c>
      <c r="G355" s="69" t="s">
        <v>368</v>
      </c>
    </row>
    <row r="356" spans="1:8" ht="30">
      <c r="A356" s="20">
        <v>11051</v>
      </c>
      <c r="B356" s="70" t="s">
        <v>4120</v>
      </c>
      <c r="C356" s="21" t="s">
        <v>12</v>
      </c>
      <c r="D356" s="21" t="s">
        <v>3432</v>
      </c>
      <c r="E356" s="22">
        <v>2</v>
      </c>
      <c r="F356" s="22">
        <f t="shared" ref="F356:F364" si="65">H356</f>
        <v>15.58</v>
      </c>
      <c r="G356" s="22">
        <f t="shared" ref="G356:G364" si="66">ROUND(F356*E356,2)</f>
        <v>31.16</v>
      </c>
      <c r="H356" s="479">
        <v>15.58</v>
      </c>
    </row>
    <row r="357" spans="1:8" ht="30">
      <c r="A357" s="20">
        <v>10267</v>
      </c>
      <c r="B357" s="70" t="s">
        <v>4121</v>
      </c>
      <c r="C357" s="21" t="s">
        <v>44</v>
      </c>
      <c r="D357" s="21" t="s">
        <v>3882</v>
      </c>
      <c r="E357" s="22">
        <v>1</v>
      </c>
      <c r="F357" s="22">
        <f t="shared" si="65"/>
        <v>12.05</v>
      </c>
      <c r="G357" s="22">
        <f t="shared" si="66"/>
        <v>12.05</v>
      </c>
      <c r="H357" s="487">
        <v>12.05</v>
      </c>
    </row>
    <row r="358" spans="1:8">
      <c r="A358" s="20">
        <v>40547</v>
      </c>
      <c r="B358" s="70" t="s">
        <v>3878</v>
      </c>
      <c r="C358" s="21" t="s">
        <v>12</v>
      </c>
      <c r="D358" s="21" t="s">
        <v>3906</v>
      </c>
      <c r="E358" s="22">
        <v>0.1</v>
      </c>
      <c r="F358" s="22">
        <f t="shared" ref="F358" si="67">H358</f>
        <v>15.15</v>
      </c>
      <c r="G358" s="22">
        <f t="shared" ref="G358" si="68">ROUND(F358*E358,2)</f>
        <v>1.52</v>
      </c>
      <c r="H358" s="487">
        <v>15.15</v>
      </c>
    </row>
    <row r="359" spans="1:8">
      <c r="A359" s="20">
        <v>13294</v>
      </c>
      <c r="B359" s="70" t="s">
        <v>3879</v>
      </c>
      <c r="C359" s="21" t="s">
        <v>12</v>
      </c>
      <c r="D359" s="21" t="s">
        <v>3882</v>
      </c>
      <c r="E359" s="22">
        <v>4</v>
      </c>
      <c r="F359" s="22">
        <f t="shared" si="65"/>
        <v>0.83</v>
      </c>
      <c r="G359" s="22">
        <f t="shared" si="66"/>
        <v>3.32</v>
      </c>
      <c r="H359" s="487">
        <v>0.83</v>
      </c>
    </row>
    <row r="360" spans="1:8">
      <c r="A360" s="20">
        <v>404</v>
      </c>
      <c r="B360" s="19" t="s">
        <v>3880</v>
      </c>
      <c r="C360" s="21" t="s">
        <v>12</v>
      </c>
      <c r="D360" s="21" t="s">
        <v>3885</v>
      </c>
      <c r="E360" s="22">
        <v>1</v>
      </c>
      <c r="F360" s="22">
        <f t="shared" ref="F360:F361" si="69">H360</f>
        <v>1.67</v>
      </c>
      <c r="G360" s="22">
        <f t="shared" ref="G360:G361" si="70">ROUND(F360*E360,2)</f>
        <v>1.67</v>
      </c>
      <c r="H360" s="487">
        <v>1.67</v>
      </c>
    </row>
    <row r="361" spans="1:8">
      <c r="A361" s="20">
        <v>39961</v>
      </c>
      <c r="B361" s="19" t="s">
        <v>3881</v>
      </c>
      <c r="C361" s="21" t="s">
        <v>12</v>
      </c>
      <c r="D361" s="21" t="s">
        <v>3882</v>
      </c>
      <c r="E361" s="22">
        <v>0.2</v>
      </c>
      <c r="F361" s="22">
        <f t="shared" si="69"/>
        <v>21.86</v>
      </c>
      <c r="G361" s="22">
        <f t="shared" si="70"/>
        <v>4.37</v>
      </c>
      <c r="H361" s="487">
        <v>21.86</v>
      </c>
    </row>
    <row r="362" spans="1:8" ht="30">
      <c r="A362" s="20" t="s">
        <v>1919</v>
      </c>
      <c r="B362" s="70" t="s">
        <v>4136</v>
      </c>
      <c r="C362" s="21" t="s">
        <v>3907</v>
      </c>
      <c r="D362" s="21" t="s">
        <v>3882</v>
      </c>
      <c r="E362" s="22">
        <v>8</v>
      </c>
      <c r="F362" s="22">
        <f t="shared" si="65"/>
        <v>0.81</v>
      </c>
      <c r="G362" s="22">
        <f t="shared" si="66"/>
        <v>6.48</v>
      </c>
      <c r="H362" s="487">
        <v>0.81</v>
      </c>
    </row>
    <row r="363" spans="1:8" ht="45">
      <c r="A363" s="20">
        <v>88315</v>
      </c>
      <c r="B363" s="70" t="s">
        <v>420</v>
      </c>
      <c r="C363" s="21" t="s">
        <v>12</v>
      </c>
      <c r="D363" s="21" t="s">
        <v>19</v>
      </c>
      <c r="E363" s="22">
        <v>1</v>
      </c>
      <c r="F363" s="22">
        <f t="shared" si="65"/>
        <v>17.7</v>
      </c>
      <c r="G363" s="22">
        <f t="shared" si="66"/>
        <v>17.7</v>
      </c>
      <c r="H363" s="487">
        <v>17.7</v>
      </c>
    </row>
    <row r="364" spans="1:8" ht="30">
      <c r="A364" s="20">
        <v>88316</v>
      </c>
      <c r="B364" s="70" t="s">
        <v>377</v>
      </c>
      <c r="C364" s="21" t="s">
        <v>12</v>
      </c>
      <c r="D364" s="21" t="s">
        <v>19</v>
      </c>
      <c r="E364" s="22">
        <v>1</v>
      </c>
      <c r="F364" s="22">
        <f t="shared" si="65"/>
        <v>13.88</v>
      </c>
      <c r="G364" s="22">
        <f t="shared" si="66"/>
        <v>13.88</v>
      </c>
      <c r="H364">
        <v>13.88</v>
      </c>
    </row>
    <row r="365" spans="1:8">
      <c r="A365" s="615" t="s">
        <v>1893</v>
      </c>
      <c r="B365" s="615"/>
      <c r="C365" s="615"/>
      <c r="D365" s="615"/>
      <c r="E365" s="615"/>
      <c r="F365" s="615"/>
      <c r="G365" s="88">
        <f>ROUND(SUM(G356:G364),2)</f>
        <v>92.15</v>
      </c>
    </row>
    <row r="366" spans="1:8" ht="18.75" customHeight="1"/>
    <row r="367" spans="1:8" ht="28.5">
      <c r="A367" s="612" t="s">
        <v>4125</v>
      </c>
      <c r="B367" s="613"/>
      <c r="C367" s="613"/>
      <c r="D367" s="613"/>
      <c r="E367" s="614"/>
      <c r="F367" s="69" t="s">
        <v>3896</v>
      </c>
      <c r="G367" s="87" t="s">
        <v>4124</v>
      </c>
    </row>
    <row r="368" spans="1:8" ht="28.5">
      <c r="A368" s="69" t="s">
        <v>1915</v>
      </c>
      <c r="B368" s="69" t="s">
        <v>2</v>
      </c>
      <c r="C368" s="69" t="s">
        <v>3</v>
      </c>
      <c r="D368" s="69" t="s">
        <v>4</v>
      </c>
      <c r="E368" s="69" t="s">
        <v>1826</v>
      </c>
      <c r="F368" s="69" t="s">
        <v>367</v>
      </c>
      <c r="G368" s="69" t="s">
        <v>368</v>
      </c>
    </row>
    <row r="369" spans="1:8" ht="45">
      <c r="A369" s="20" t="s">
        <v>1919</v>
      </c>
      <c r="B369" s="70" t="s">
        <v>4125</v>
      </c>
      <c r="C369" s="21" t="s">
        <v>3907</v>
      </c>
      <c r="D369" s="21" t="s">
        <v>3882</v>
      </c>
      <c r="E369" s="494">
        <v>1</v>
      </c>
      <c r="F369" s="22">
        <f t="shared" ref="F369" si="71">H369</f>
        <v>1389</v>
      </c>
      <c r="G369" s="22">
        <f t="shared" ref="G369" si="72">ROUND(F369*E369,2)</f>
        <v>1389</v>
      </c>
      <c r="H369" s="479">
        <v>1389</v>
      </c>
    </row>
    <row r="370" spans="1:8">
      <c r="A370" s="615" t="s">
        <v>1893</v>
      </c>
      <c r="B370" s="615"/>
      <c r="C370" s="615"/>
      <c r="D370" s="615"/>
      <c r="E370" s="615"/>
      <c r="F370" s="615"/>
      <c r="G370" s="88">
        <f>SUM(G369:G369)</f>
        <v>1389</v>
      </c>
    </row>
    <row r="372" spans="1:8">
      <c r="A372" s="612" t="s">
        <v>4134</v>
      </c>
      <c r="B372" s="613"/>
      <c r="C372" s="613"/>
      <c r="D372" s="613"/>
      <c r="E372" s="614"/>
      <c r="F372" s="69" t="s">
        <v>44</v>
      </c>
      <c r="G372" s="87" t="s">
        <v>4168</v>
      </c>
    </row>
    <row r="373" spans="1:8" ht="28.5">
      <c r="A373" s="69" t="s">
        <v>1915</v>
      </c>
      <c r="B373" s="69" t="s">
        <v>2</v>
      </c>
      <c r="C373" s="69" t="s">
        <v>3</v>
      </c>
      <c r="D373" s="69" t="s">
        <v>4</v>
      </c>
      <c r="E373" s="69" t="s">
        <v>1826</v>
      </c>
      <c r="F373" s="69" t="s">
        <v>367</v>
      </c>
      <c r="G373" s="69" t="s">
        <v>368</v>
      </c>
    </row>
    <row r="374" spans="1:8">
      <c r="A374" s="20">
        <v>12181</v>
      </c>
      <c r="B374" s="70" t="s">
        <v>3883</v>
      </c>
      <c r="C374" s="21" t="s">
        <v>44</v>
      </c>
      <c r="D374" s="21" t="s">
        <v>3885</v>
      </c>
      <c r="E374" s="22">
        <v>1</v>
      </c>
      <c r="F374" s="22">
        <f>H374</f>
        <v>20.86</v>
      </c>
      <c r="G374" s="22">
        <f>ROUND(F374*E374,2)</f>
        <v>20.86</v>
      </c>
      <c r="H374" s="479">
        <v>20.86</v>
      </c>
    </row>
    <row r="375" spans="1:8" ht="30">
      <c r="A375" s="20">
        <v>88264</v>
      </c>
      <c r="B375" s="70" t="s">
        <v>379</v>
      </c>
      <c r="C375" s="21" t="s">
        <v>12</v>
      </c>
      <c r="D375" s="21" t="s">
        <v>19</v>
      </c>
      <c r="E375" s="22">
        <v>0.1</v>
      </c>
      <c r="F375" s="22">
        <f>H375</f>
        <v>17.940000000000001</v>
      </c>
      <c r="G375" s="22">
        <f>ROUND(F375*E375,2)</f>
        <v>1.79</v>
      </c>
      <c r="H375">
        <v>17.940000000000001</v>
      </c>
    </row>
    <row r="376" spans="1:8" ht="30">
      <c r="A376" s="20">
        <v>88316</v>
      </c>
      <c r="B376" s="70" t="s">
        <v>377</v>
      </c>
      <c r="C376" s="21" t="s">
        <v>12</v>
      </c>
      <c r="D376" s="21" t="s">
        <v>19</v>
      </c>
      <c r="E376" s="22">
        <v>0.1</v>
      </c>
      <c r="F376" s="22">
        <f>H376</f>
        <v>13.88</v>
      </c>
      <c r="G376" s="22">
        <f>ROUND(F376*E376,2)</f>
        <v>1.39</v>
      </c>
      <c r="H376">
        <v>13.88</v>
      </c>
    </row>
    <row r="377" spans="1:8">
      <c r="A377" s="615" t="s">
        <v>1893</v>
      </c>
      <c r="B377" s="615"/>
      <c r="C377" s="615"/>
      <c r="D377" s="615"/>
      <c r="E377" s="615"/>
      <c r="F377" s="615"/>
      <c r="G377" s="88">
        <f>ROUND(SUM(G374:G376),2)</f>
        <v>24.04</v>
      </c>
    </row>
    <row r="378" spans="1:8" ht="20.25" customHeight="1"/>
    <row r="379" spans="1:8">
      <c r="A379" s="612" t="s">
        <v>4135</v>
      </c>
      <c r="B379" s="613"/>
      <c r="C379" s="613"/>
      <c r="D379" s="613"/>
      <c r="E379" s="614"/>
      <c r="F379" s="69" t="s">
        <v>44</v>
      </c>
      <c r="G379" s="87" t="s">
        <v>4167</v>
      </c>
    </row>
    <row r="380" spans="1:8" ht="28.5">
      <c r="A380" s="69" t="s">
        <v>1915</v>
      </c>
      <c r="B380" s="69" t="s">
        <v>2</v>
      </c>
      <c r="C380" s="69" t="s">
        <v>3</v>
      </c>
      <c r="D380" s="69" t="s">
        <v>4</v>
      </c>
      <c r="E380" s="69" t="s">
        <v>1826</v>
      </c>
      <c r="F380" s="69" t="s">
        <v>367</v>
      </c>
      <c r="G380" s="69" t="s">
        <v>368</v>
      </c>
    </row>
    <row r="381" spans="1:8">
      <c r="A381" s="20">
        <v>12180</v>
      </c>
      <c r="B381" s="70" t="s">
        <v>3884</v>
      </c>
      <c r="C381" s="21" t="s">
        <v>44</v>
      </c>
      <c r="D381" s="21" t="s">
        <v>3885</v>
      </c>
      <c r="E381" s="22">
        <v>1</v>
      </c>
      <c r="F381" s="22">
        <f>H381</f>
        <v>17.37</v>
      </c>
      <c r="G381" s="22">
        <f>ROUND(F381*E381,2)</f>
        <v>17.37</v>
      </c>
      <c r="H381" s="479">
        <v>17.37</v>
      </c>
    </row>
    <row r="382" spans="1:8" ht="30">
      <c r="A382" s="20">
        <v>88264</v>
      </c>
      <c r="B382" s="70" t="s">
        <v>379</v>
      </c>
      <c r="C382" s="21" t="s">
        <v>12</v>
      </c>
      <c r="D382" s="21" t="s">
        <v>19</v>
      </c>
      <c r="E382" s="22">
        <v>0.1</v>
      </c>
      <c r="F382" s="22">
        <f>H382</f>
        <v>17.940000000000001</v>
      </c>
      <c r="G382" s="22">
        <f>ROUND(F382*E382,2)</f>
        <v>1.79</v>
      </c>
      <c r="H382">
        <v>17.940000000000001</v>
      </c>
    </row>
    <row r="383" spans="1:8" ht="30">
      <c r="A383" s="20">
        <v>88316</v>
      </c>
      <c r="B383" s="70" t="s">
        <v>377</v>
      </c>
      <c r="C383" s="21" t="s">
        <v>12</v>
      </c>
      <c r="D383" s="21" t="s">
        <v>19</v>
      </c>
      <c r="E383" s="22">
        <v>0.1</v>
      </c>
      <c r="F383" s="22">
        <f>H383</f>
        <v>13.88</v>
      </c>
      <c r="G383" s="22">
        <f>ROUND(F383*E383,2)</f>
        <v>1.39</v>
      </c>
      <c r="H383">
        <v>13.88</v>
      </c>
    </row>
    <row r="384" spans="1:8">
      <c r="A384" s="615" t="s">
        <v>1893</v>
      </c>
      <c r="B384" s="615"/>
      <c r="C384" s="615"/>
      <c r="D384" s="615"/>
      <c r="E384" s="615"/>
      <c r="F384" s="615"/>
      <c r="G384" s="88">
        <f>ROUND(SUM(G381:G383),2)</f>
        <v>20.55</v>
      </c>
    </row>
    <row r="385" spans="1:8" ht="19.5" customHeight="1"/>
    <row r="386" spans="1:8" ht="51.75" customHeight="1">
      <c r="A386" s="612" t="s">
        <v>4152</v>
      </c>
      <c r="B386" s="613"/>
      <c r="C386" s="613"/>
      <c r="D386" s="613"/>
      <c r="E386" s="613"/>
      <c r="F386" s="69" t="s">
        <v>70</v>
      </c>
      <c r="G386" s="321" t="s">
        <v>4153</v>
      </c>
    </row>
    <row r="387" spans="1:8" ht="28.5">
      <c r="A387" s="623" t="s">
        <v>364</v>
      </c>
      <c r="B387" s="624"/>
      <c r="C387" s="69" t="s">
        <v>3</v>
      </c>
      <c r="D387" s="69" t="s">
        <v>4</v>
      </c>
      <c r="E387" s="69" t="s">
        <v>1826</v>
      </c>
      <c r="F387" s="69" t="s">
        <v>367</v>
      </c>
      <c r="G387" s="69" t="s">
        <v>368</v>
      </c>
    </row>
    <row r="388" spans="1:8" ht="30">
      <c r="A388" s="21" t="s">
        <v>610</v>
      </c>
      <c r="B388" s="70" t="s">
        <v>611</v>
      </c>
      <c r="C388" s="21" t="s">
        <v>70</v>
      </c>
      <c r="D388" s="21" t="s">
        <v>52</v>
      </c>
      <c r="E388" s="22">
        <v>1.5</v>
      </c>
      <c r="F388" s="22">
        <f t="shared" ref="F388:F395" si="73">H388</f>
        <v>3</v>
      </c>
      <c r="G388" s="22">
        <f t="shared" ref="G388:G395" si="74">ROUND(F388*E388,2)</f>
        <v>4.5</v>
      </c>
      <c r="H388">
        <v>3</v>
      </c>
    </row>
    <row r="389" spans="1:8" ht="30">
      <c r="A389" s="92">
        <v>25862</v>
      </c>
      <c r="B389" s="70" t="s">
        <v>612</v>
      </c>
      <c r="C389" s="21" t="s">
        <v>12</v>
      </c>
      <c r="D389" s="21" t="s">
        <v>26</v>
      </c>
      <c r="E389" s="22">
        <v>0.1207</v>
      </c>
      <c r="F389" s="22">
        <f t="shared" si="73"/>
        <v>16.82</v>
      </c>
      <c r="G389" s="22">
        <f t="shared" si="74"/>
        <v>2.0299999999999998</v>
      </c>
      <c r="H389">
        <v>16.82</v>
      </c>
    </row>
    <row r="390" spans="1:8">
      <c r="A390" s="92">
        <v>39897</v>
      </c>
      <c r="B390" s="70" t="s">
        <v>613</v>
      </c>
      <c r="C390" s="21" t="s">
        <v>12</v>
      </c>
      <c r="D390" s="21" t="s">
        <v>17</v>
      </c>
      <c r="E390" s="22">
        <v>1.6000000000000001E-3</v>
      </c>
      <c r="F390" s="22">
        <f t="shared" si="73"/>
        <v>51.77</v>
      </c>
      <c r="G390" s="22">
        <f t="shared" si="74"/>
        <v>0.08</v>
      </c>
      <c r="H390">
        <v>51.77</v>
      </c>
    </row>
    <row r="391" spans="1:8" ht="30">
      <c r="A391" s="21" t="s">
        <v>614</v>
      </c>
      <c r="B391" s="70" t="s">
        <v>615</v>
      </c>
      <c r="C391" s="21" t="s">
        <v>70</v>
      </c>
      <c r="D391" s="21" t="s">
        <v>45</v>
      </c>
      <c r="E391" s="22">
        <v>1.15E-2</v>
      </c>
      <c r="F391" s="22">
        <f t="shared" si="73"/>
        <v>82.73</v>
      </c>
      <c r="G391" s="22">
        <f t="shared" si="74"/>
        <v>0.95</v>
      </c>
      <c r="H391">
        <v>82.73</v>
      </c>
    </row>
    <row r="392" spans="1:8" ht="30">
      <c r="A392" s="20" t="s">
        <v>4164</v>
      </c>
      <c r="B392" s="70" t="s">
        <v>4163</v>
      </c>
      <c r="C392" s="21" t="s">
        <v>70</v>
      </c>
      <c r="D392" s="21" t="s">
        <v>52</v>
      </c>
      <c r="E392" s="22">
        <v>1.1000000000000001</v>
      </c>
      <c r="F392" s="22">
        <f t="shared" si="73"/>
        <v>103.96</v>
      </c>
      <c r="G392" s="22">
        <f t="shared" si="74"/>
        <v>114.36</v>
      </c>
      <c r="H392">
        <v>103.96</v>
      </c>
    </row>
    <row r="393" spans="1:8" ht="45">
      <c r="A393" s="20">
        <v>88267</v>
      </c>
      <c r="B393" s="70" t="s">
        <v>472</v>
      </c>
      <c r="C393" s="21" t="s">
        <v>12</v>
      </c>
      <c r="D393" s="21" t="s">
        <v>19</v>
      </c>
      <c r="E393" s="22">
        <v>0.53</v>
      </c>
      <c r="F393" s="22">
        <f t="shared" si="73"/>
        <v>17.309999999999999</v>
      </c>
      <c r="G393" s="22">
        <f t="shared" si="74"/>
        <v>9.17</v>
      </c>
      <c r="H393">
        <v>17.309999999999999</v>
      </c>
    </row>
    <row r="394" spans="1:8" ht="60">
      <c r="A394" s="20">
        <v>88248</v>
      </c>
      <c r="B394" s="70" t="s">
        <v>473</v>
      </c>
      <c r="C394" s="21" t="s">
        <v>12</v>
      </c>
      <c r="D394" s="21" t="s">
        <v>19</v>
      </c>
      <c r="E394" s="22">
        <v>0.53</v>
      </c>
      <c r="F394" s="22">
        <f t="shared" si="73"/>
        <v>13.51</v>
      </c>
      <c r="G394" s="22">
        <f t="shared" si="74"/>
        <v>7.16</v>
      </c>
      <c r="H394">
        <v>13.51</v>
      </c>
    </row>
    <row r="395" spans="1:8" ht="45">
      <c r="A395" s="20">
        <v>7583</v>
      </c>
      <c r="B395" s="70" t="s">
        <v>4154</v>
      </c>
      <c r="C395" s="21" t="s">
        <v>44</v>
      </c>
      <c r="D395" s="21" t="s">
        <v>52</v>
      </c>
      <c r="E395" s="22">
        <v>1</v>
      </c>
      <c r="F395" s="22">
        <f t="shared" si="73"/>
        <v>3.52</v>
      </c>
      <c r="G395" s="22">
        <f t="shared" si="74"/>
        <v>3.52</v>
      </c>
      <c r="H395">
        <v>3.52</v>
      </c>
    </row>
    <row r="396" spans="1:8">
      <c r="A396" s="620" t="s">
        <v>1893</v>
      </c>
      <c r="B396" s="621"/>
      <c r="C396" s="621"/>
      <c r="D396" s="621"/>
      <c r="E396" s="621"/>
      <c r="F396" s="622"/>
      <c r="G396" s="71">
        <f>ROUND(SUM(G388:G395),2)</f>
        <v>141.77000000000001</v>
      </c>
    </row>
    <row r="397" spans="1:8" ht="21.75" customHeight="1"/>
    <row r="398" spans="1:8" ht="58.5" customHeight="1">
      <c r="A398" s="612" t="s">
        <v>4158</v>
      </c>
      <c r="B398" s="613"/>
      <c r="C398" s="613"/>
      <c r="D398" s="613"/>
      <c r="E398" s="613"/>
      <c r="F398" s="69" t="s">
        <v>70</v>
      </c>
      <c r="G398" s="321" t="s">
        <v>4159</v>
      </c>
    </row>
    <row r="399" spans="1:8" ht="28.5">
      <c r="A399" s="623" t="s">
        <v>364</v>
      </c>
      <c r="B399" s="624"/>
      <c r="C399" s="69" t="s">
        <v>3</v>
      </c>
      <c r="D399" s="69" t="s">
        <v>4</v>
      </c>
      <c r="E399" s="69" t="s">
        <v>1826</v>
      </c>
      <c r="F399" s="69" t="s">
        <v>367</v>
      </c>
      <c r="G399" s="69" t="s">
        <v>368</v>
      </c>
    </row>
    <row r="400" spans="1:8" ht="30">
      <c r="A400" s="21" t="s">
        <v>610</v>
      </c>
      <c r="B400" s="70" t="s">
        <v>611</v>
      </c>
      <c r="C400" s="21" t="s">
        <v>70</v>
      </c>
      <c r="D400" s="21" t="s">
        <v>52</v>
      </c>
      <c r="E400" s="22">
        <v>1.5</v>
      </c>
      <c r="F400" s="22">
        <f t="shared" ref="F400:F407" si="75">H400</f>
        <v>3</v>
      </c>
      <c r="G400" s="22">
        <f t="shared" ref="G400:G407" si="76">ROUND(F400*E400,2)</f>
        <v>4.5</v>
      </c>
      <c r="H400">
        <v>3</v>
      </c>
    </row>
    <row r="401" spans="1:8" ht="30">
      <c r="A401" s="92">
        <v>25862</v>
      </c>
      <c r="B401" s="70" t="s">
        <v>612</v>
      </c>
      <c r="C401" s="21" t="s">
        <v>12</v>
      </c>
      <c r="D401" s="21" t="s">
        <v>26</v>
      </c>
      <c r="E401" s="22">
        <v>0.1426</v>
      </c>
      <c r="F401" s="22">
        <f t="shared" si="75"/>
        <v>16.82</v>
      </c>
      <c r="G401" s="22">
        <f t="shared" si="76"/>
        <v>2.4</v>
      </c>
      <c r="H401">
        <v>16.82</v>
      </c>
    </row>
    <row r="402" spans="1:8">
      <c r="A402" s="92">
        <v>39897</v>
      </c>
      <c r="B402" s="70" t="s">
        <v>613</v>
      </c>
      <c r="C402" s="21" t="s">
        <v>12</v>
      </c>
      <c r="D402" s="21" t="s">
        <v>17</v>
      </c>
      <c r="E402" s="22">
        <v>1.9E-3</v>
      </c>
      <c r="F402" s="22">
        <f t="shared" si="75"/>
        <v>51.77</v>
      </c>
      <c r="G402" s="22">
        <f t="shared" si="76"/>
        <v>0.1</v>
      </c>
      <c r="H402">
        <v>51.77</v>
      </c>
    </row>
    <row r="403" spans="1:8" ht="30">
      <c r="A403" s="21" t="s">
        <v>614</v>
      </c>
      <c r="B403" s="70" t="s">
        <v>615</v>
      </c>
      <c r="C403" s="21" t="s">
        <v>70</v>
      </c>
      <c r="D403" s="21" t="s">
        <v>45</v>
      </c>
      <c r="E403" s="22">
        <v>1.3599999999999999E-2</v>
      </c>
      <c r="F403" s="22">
        <f t="shared" si="75"/>
        <v>82.73</v>
      </c>
      <c r="G403" s="22">
        <f t="shared" si="76"/>
        <v>1.1299999999999999</v>
      </c>
      <c r="H403">
        <v>82.73</v>
      </c>
    </row>
    <row r="404" spans="1:8" ht="30">
      <c r="A404" s="20" t="s">
        <v>4166</v>
      </c>
      <c r="B404" s="70" t="s">
        <v>4165</v>
      </c>
      <c r="C404" s="21" t="s">
        <v>70</v>
      </c>
      <c r="D404" s="21" t="s">
        <v>52</v>
      </c>
      <c r="E404" s="22">
        <v>1.1000000000000001</v>
      </c>
      <c r="F404" s="22">
        <f t="shared" si="75"/>
        <v>125.08</v>
      </c>
      <c r="G404" s="22">
        <f t="shared" si="76"/>
        <v>137.59</v>
      </c>
      <c r="H404">
        <v>125.08</v>
      </c>
    </row>
    <row r="405" spans="1:8" ht="45">
      <c r="A405" s="20">
        <v>88267</v>
      </c>
      <c r="B405" s="70" t="s">
        <v>472</v>
      </c>
      <c r="C405" s="21" t="s">
        <v>12</v>
      </c>
      <c r="D405" s="21" t="s">
        <v>19</v>
      </c>
      <c r="E405" s="22">
        <v>0.6</v>
      </c>
      <c r="F405" s="22">
        <f t="shared" si="75"/>
        <v>17.309999999999999</v>
      </c>
      <c r="G405" s="22">
        <f t="shared" si="76"/>
        <v>10.39</v>
      </c>
      <c r="H405">
        <v>17.309999999999999</v>
      </c>
    </row>
    <row r="406" spans="1:8" ht="60">
      <c r="A406" s="20">
        <v>88248</v>
      </c>
      <c r="B406" s="70" t="s">
        <v>473</v>
      </c>
      <c r="C406" s="21" t="s">
        <v>12</v>
      </c>
      <c r="D406" s="21" t="s">
        <v>19</v>
      </c>
      <c r="E406" s="22">
        <v>0.6</v>
      </c>
      <c r="F406" s="22">
        <f t="shared" si="75"/>
        <v>13.51</v>
      </c>
      <c r="G406" s="22">
        <f t="shared" si="76"/>
        <v>8.11</v>
      </c>
      <c r="H406">
        <v>13.51</v>
      </c>
    </row>
    <row r="407" spans="1:8" ht="45">
      <c r="A407" s="20">
        <v>7583</v>
      </c>
      <c r="B407" s="70" t="s">
        <v>4162</v>
      </c>
      <c r="C407" s="21" t="s">
        <v>44</v>
      </c>
      <c r="D407" s="21" t="s">
        <v>52</v>
      </c>
      <c r="E407" s="22">
        <v>1</v>
      </c>
      <c r="F407" s="22">
        <f t="shared" si="75"/>
        <v>3.52</v>
      </c>
      <c r="G407" s="22">
        <f t="shared" si="76"/>
        <v>3.52</v>
      </c>
      <c r="H407">
        <v>3.52</v>
      </c>
    </row>
    <row r="408" spans="1:8">
      <c r="A408" s="620" t="s">
        <v>1893</v>
      </c>
      <c r="B408" s="621"/>
      <c r="C408" s="621"/>
      <c r="D408" s="621"/>
      <c r="E408" s="621"/>
      <c r="F408" s="622"/>
      <c r="G408" s="71">
        <f>ROUND(SUM(G400:G407),2)</f>
        <v>167.74</v>
      </c>
    </row>
    <row r="410" spans="1:8">
      <c r="A410" s="612" t="s">
        <v>4187</v>
      </c>
      <c r="B410" s="613"/>
      <c r="C410" s="613"/>
      <c r="D410" s="613"/>
      <c r="E410" s="614"/>
      <c r="F410" s="69" t="s">
        <v>12</v>
      </c>
      <c r="G410" s="87">
        <v>750</v>
      </c>
    </row>
    <row r="411" spans="1:8" ht="28.5">
      <c r="A411" s="69" t="s">
        <v>1915</v>
      </c>
      <c r="B411" s="69" t="s">
        <v>2</v>
      </c>
      <c r="C411" s="69" t="s">
        <v>3</v>
      </c>
      <c r="D411" s="69" t="s">
        <v>4</v>
      </c>
      <c r="E411" s="69" t="s">
        <v>1826</v>
      </c>
      <c r="F411" s="69" t="s">
        <v>367</v>
      </c>
      <c r="G411" s="69" t="s">
        <v>368</v>
      </c>
    </row>
    <row r="412" spans="1:8" ht="105">
      <c r="A412" s="20">
        <v>750</v>
      </c>
      <c r="B412" s="70" t="s">
        <v>4185</v>
      </c>
      <c r="C412" s="21" t="s">
        <v>12</v>
      </c>
      <c r="D412" s="21" t="s">
        <v>4</v>
      </c>
      <c r="E412" s="22">
        <v>1</v>
      </c>
      <c r="F412" s="22">
        <f>H412</f>
        <v>6920.07</v>
      </c>
      <c r="G412" s="22">
        <f>ROUND(F412*E412,2)</f>
        <v>6920.07</v>
      </c>
      <c r="H412" s="479">
        <f>6920.07</f>
        <v>6920.07</v>
      </c>
    </row>
    <row r="413" spans="1:8" ht="30">
      <c r="A413" s="20">
        <v>88264</v>
      </c>
      <c r="B413" s="70" t="s">
        <v>379</v>
      </c>
      <c r="C413" s="21" t="s">
        <v>12</v>
      </c>
      <c r="D413" s="21" t="s">
        <v>19</v>
      </c>
      <c r="E413" s="22">
        <v>1</v>
      </c>
      <c r="F413" s="22">
        <f>H413</f>
        <v>17.940000000000001</v>
      </c>
      <c r="G413" s="22">
        <f>ROUND(F413*E413,2)</f>
        <v>17.940000000000001</v>
      </c>
      <c r="H413">
        <v>17.940000000000001</v>
      </c>
    </row>
    <row r="414" spans="1:8" ht="30">
      <c r="A414" s="20">
        <v>88316</v>
      </c>
      <c r="B414" s="70" t="s">
        <v>377</v>
      </c>
      <c r="C414" s="21" t="s">
        <v>12</v>
      </c>
      <c r="D414" s="21" t="s">
        <v>19</v>
      </c>
      <c r="E414" s="22">
        <v>1</v>
      </c>
      <c r="F414" s="22">
        <f>H414</f>
        <v>13.88</v>
      </c>
      <c r="G414" s="22">
        <f>ROUND(F414*E414,2)</f>
        <v>13.88</v>
      </c>
      <c r="H414">
        <v>13.88</v>
      </c>
    </row>
    <row r="415" spans="1:8">
      <c r="A415" s="615" t="s">
        <v>1893</v>
      </c>
      <c r="B415" s="615"/>
      <c r="C415" s="615"/>
      <c r="D415" s="615"/>
      <c r="E415" s="615"/>
      <c r="F415" s="615"/>
      <c r="G415" s="88">
        <f>ROUND(SUM(G412:G414),2)</f>
        <v>6951.89</v>
      </c>
    </row>
  </sheetData>
  <mergeCells count="105">
    <mergeCell ref="A410:E410"/>
    <mergeCell ref="A415:F415"/>
    <mergeCell ref="A377:F377"/>
    <mergeCell ref="A379:E379"/>
    <mergeCell ref="A384:F384"/>
    <mergeCell ref="A293:F293"/>
    <mergeCell ref="A367:E367"/>
    <mergeCell ref="A370:F370"/>
    <mergeCell ref="A334:E334"/>
    <mergeCell ref="A337:F337"/>
    <mergeCell ref="A339:E339"/>
    <mergeCell ref="A354:E354"/>
    <mergeCell ref="A365:F365"/>
    <mergeCell ref="A352:F352"/>
    <mergeCell ref="A342:F342"/>
    <mergeCell ref="A344:E344"/>
    <mergeCell ref="A347:F347"/>
    <mergeCell ref="A408:F408"/>
    <mergeCell ref="A386:E386"/>
    <mergeCell ref="A387:B387"/>
    <mergeCell ref="A396:F396"/>
    <mergeCell ref="A398:E398"/>
    <mergeCell ref="A399:B399"/>
    <mergeCell ref="A349:E349"/>
    <mergeCell ref="A93:F93"/>
    <mergeCell ref="A95:E95"/>
    <mergeCell ref="A107:F107"/>
    <mergeCell ref="A109:E109"/>
    <mergeCell ref="A126:F126"/>
    <mergeCell ref="A128:E128"/>
    <mergeCell ref="A169:F169"/>
    <mergeCell ref="A144:E144"/>
    <mergeCell ref="A372:E372"/>
    <mergeCell ref="A282:F282"/>
    <mergeCell ref="A284:E284"/>
    <mergeCell ref="A240:E240"/>
    <mergeCell ref="A245:F245"/>
    <mergeCell ref="A247:E247"/>
    <mergeCell ref="A248:B248"/>
    <mergeCell ref="A252:F252"/>
    <mergeCell ref="A266:E266"/>
    <mergeCell ref="A267:B267"/>
    <mergeCell ref="A269:F269"/>
    <mergeCell ref="A271:E271"/>
    <mergeCell ref="A254:E254"/>
    <mergeCell ref="A262:B262"/>
    <mergeCell ref="A264:F264"/>
    <mergeCell ref="A261:E261"/>
    <mergeCell ref="A2:G2"/>
    <mergeCell ref="A17:F17"/>
    <mergeCell ref="A4:E4"/>
    <mergeCell ref="A8:F8"/>
    <mergeCell ref="A11:E11"/>
    <mergeCell ref="A33:F33"/>
    <mergeCell ref="A35:E35"/>
    <mergeCell ref="A40:F40"/>
    <mergeCell ref="A19:E19"/>
    <mergeCell ref="A26:F26"/>
    <mergeCell ref="A28:E28"/>
    <mergeCell ref="A49:E49"/>
    <mergeCell ref="A42:E42"/>
    <mergeCell ref="A47:F47"/>
    <mergeCell ref="A54:F54"/>
    <mergeCell ref="A56:E56"/>
    <mergeCell ref="A88:E88"/>
    <mergeCell ref="A73:F73"/>
    <mergeCell ref="A61:F61"/>
    <mergeCell ref="A63:E63"/>
    <mergeCell ref="A66:F66"/>
    <mergeCell ref="A68:E68"/>
    <mergeCell ref="A75:E75"/>
    <mergeCell ref="A86:F86"/>
    <mergeCell ref="A155:F155"/>
    <mergeCell ref="A157:E157"/>
    <mergeCell ref="A142:F142"/>
    <mergeCell ref="A231:F231"/>
    <mergeCell ref="A233:E233"/>
    <mergeCell ref="A238:F238"/>
    <mergeCell ref="A203:F203"/>
    <mergeCell ref="A205:E205"/>
    <mergeCell ref="A210:F210"/>
    <mergeCell ref="A212:E212"/>
    <mergeCell ref="A217:F217"/>
    <mergeCell ref="A171:E171"/>
    <mergeCell ref="A185:F185"/>
    <mergeCell ref="A187:E187"/>
    <mergeCell ref="A196:F196"/>
    <mergeCell ref="A198:E198"/>
    <mergeCell ref="A219:E219"/>
    <mergeCell ref="A295:E295"/>
    <mergeCell ref="A298:F298"/>
    <mergeCell ref="A255:B255"/>
    <mergeCell ref="A259:F259"/>
    <mergeCell ref="A224:F224"/>
    <mergeCell ref="A226:E226"/>
    <mergeCell ref="A327:F327"/>
    <mergeCell ref="A329:E329"/>
    <mergeCell ref="A332:F332"/>
    <mergeCell ref="A313:F313"/>
    <mergeCell ref="A315:E315"/>
    <mergeCell ref="A320:F320"/>
    <mergeCell ref="A322:E322"/>
    <mergeCell ref="A300:E300"/>
    <mergeCell ref="A305:F305"/>
    <mergeCell ref="A308:E308"/>
  </mergeCells>
  <pageMargins left="0.7" right="0.7" top="0.75" bottom="0.75" header="0.3" footer="0.3"/>
  <pageSetup scale="89" orientation="portrait" horizontalDpi="300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9">
    <outlinePr summaryBelow="0"/>
  </sheetPr>
  <dimension ref="A1:AC80"/>
  <sheetViews>
    <sheetView tabSelected="1" view="pageBreakPreview" zoomScale="70" zoomScaleSheetLayoutView="70" workbookViewId="0">
      <selection activeCell="P53" sqref="P53:Q53"/>
    </sheetView>
  </sheetViews>
  <sheetFormatPr defaultColWidth="9.140625" defaultRowHeight="15"/>
  <cols>
    <col min="1" max="1" width="6.7109375" style="2" customWidth="1"/>
    <col min="2" max="2" width="36.140625" style="2" customWidth="1"/>
    <col min="3" max="3" width="13.5703125" style="2" bestFit="1" customWidth="1"/>
    <col min="4" max="4" width="13.140625" style="2" customWidth="1"/>
    <col min="5" max="5" width="12.5703125" style="2" customWidth="1"/>
    <col min="6" max="6" width="14" style="2" customWidth="1"/>
    <col min="7" max="7" width="12.85546875" style="2" bestFit="1" customWidth="1"/>
    <col min="8" max="8" width="14.42578125" style="2" customWidth="1"/>
    <col min="9" max="9" width="13.28515625" style="2" customWidth="1"/>
    <col min="10" max="10" width="14.140625" style="2" customWidth="1"/>
    <col min="11" max="11" width="14" style="2" customWidth="1"/>
    <col min="12" max="12" width="15.42578125" style="2" customWidth="1"/>
    <col min="13" max="13" width="14.7109375" style="2" customWidth="1"/>
    <col min="14" max="14" width="14.85546875" style="2" customWidth="1"/>
    <col min="15" max="15" width="13.28515625" style="2" bestFit="1" customWidth="1"/>
    <col min="16" max="23" width="13.28515625" style="2" customWidth="1"/>
    <col min="24" max="24" width="17.85546875" style="2" customWidth="1"/>
    <col min="25" max="25" width="14.7109375" style="2" hidden="1" customWidth="1"/>
    <col min="26" max="26" width="12.7109375" style="2" hidden="1" customWidth="1"/>
    <col min="27" max="27" width="0" style="2" hidden="1" customWidth="1"/>
    <col min="28" max="28" width="16" style="2" customWidth="1"/>
    <col min="29" max="29" width="12.7109375" style="2" customWidth="1"/>
    <col min="30" max="16384" width="9.140625" style="2"/>
  </cols>
  <sheetData>
    <row r="1" spans="1:29" ht="49.9" customHeight="1">
      <c r="A1" s="638" t="s">
        <v>3867</v>
      </c>
      <c r="B1" s="639"/>
      <c r="C1" s="639"/>
      <c r="D1" s="639"/>
      <c r="E1" s="639"/>
      <c r="F1" s="639"/>
      <c r="G1" s="639"/>
      <c r="H1" s="639"/>
      <c r="I1" s="639"/>
      <c r="J1" s="639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</row>
    <row r="2" spans="1:29">
      <c r="A2" s="642" t="s">
        <v>1829</v>
      </c>
      <c r="B2" s="643"/>
      <c r="C2" s="646" t="s">
        <v>2968</v>
      </c>
      <c r="D2" s="647"/>
      <c r="E2" s="647"/>
      <c r="F2" s="647"/>
      <c r="G2" s="647"/>
      <c r="H2" s="647"/>
      <c r="I2" s="647"/>
      <c r="J2" s="648"/>
      <c r="K2" s="652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4"/>
    </row>
    <row r="3" spans="1:29">
      <c r="A3" s="644"/>
      <c r="B3" s="645"/>
      <c r="C3" s="649"/>
      <c r="D3" s="650"/>
      <c r="E3" s="650"/>
      <c r="F3" s="650"/>
      <c r="G3" s="650"/>
      <c r="H3" s="650"/>
      <c r="I3" s="650"/>
      <c r="J3" s="651"/>
      <c r="K3" s="655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7"/>
    </row>
    <row r="4" spans="1:29">
      <c r="A4" s="644" t="s">
        <v>1830</v>
      </c>
      <c r="B4" s="645"/>
      <c r="C4" s="649" t="s">
        <v>3019</v>
      </c>
      <c r="D4" s="650"/>
      <c r="E4" s="650"/>
      <c r="F4" s="650"/>
      <c r="G4" s="650"/>
      <c r="H4" s="650"/>
      <c r="I4" s="650"/>
      <c r="J4" s="651"/>
      <c r="K4" s="655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7"/>
    </row>
    <row r="5" spans="1:29">
      <c r="A5" s="644"/>
      <c r="B5" s="645"/>
      <c r="C5" s="649"/>
      <c r="D5" s="650"/>
      <c r="E5" s="650"/>
      <c r="F5" s="650"/>
      <c r="G5" s="650"/>
      <c r="H5" s="650"/>
      <c r="I5" s="650"/>
      <c r="J5" s="651"/>
      <c r="K5" s="658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60"/>
    </row>
    <row r="6" spans="1:29" ht="4.9000000000000004" customHeight="1"/>
    <row r="7" spans="1:29" ht="30">
      <c r="A7" s="10" t="s">
        <v>0</v>
      </c>
      <c r="B7" s="10" t="s">
        <v>2</v>
      </c>
      <c r="C7" s="10" t="s">
        <v>635</v>
      </c>
      <c r="D7" s="10" t="s">
        <v>636</v>
      </c>
      <c r="E7" s="10" t="s">
        <v>637</v>
      </c>
      <c r="F7" s="10" t="s">
        <v>638</v>
      </c>
      <c r="G7" s="10" t="s">
        <v>639</v>
      </c>
      <c r="H7" s="10" t="s">
        <v>640</v>
      </c>
      <c r="I7" s="10" t="s">
        <v>641</v>
      </c>
      <c r="J7" s="10" t="s">
        <v>642</v>
      </c>
      <c r="K7" s="10" t="s">
        <v>643</v>
      </c>
      <c r="L7" s="10" t="s">
        <v>644</v>
      </c>
      <c r="M7" s="10" t="s">
        <v>645</v>
      </c>
      <c r="N7" s="10" t="s">
        <v>646</v>
      </c>
      <c r="O7" s="10" t="s">
        <v>647</v>
      </c>
      <c r="P7" s="10" t="s">
        <v>4126</v>
      </c>
      <c r="Q7" s="10" t="s">
        <v>4127</v>
      </c>
      <c r="R7" s="10" t="s">
        <v>4128</v>
      </c>
      <c r="S7" s="10" t="s">
        <v>4129</v>
      </c>
      <c r="T7" s="10" t="s">
        <v>4130</v>
      </c>
      <c r="U7" s="10" t="s">
        <v>4131</v>
      </c>
      <c r="V7" s="10" t="s">
        <v>4132</v>
      </c>
      <c r="W7" s="10" t="s">
        <v>4133</v>
      </c>
      <c r="X7" s="10" t="s">
        <v>648</v>
      </c>
    </row>
    <row r="8" spans="1:29">
      <c r="A8" s="628" t="s">
        <v>1495</v>
      </c>
      <c r="B8" s="630" t="s">
        <v>10</v>
      </c>
      <c r="C8" s="632">
        <f>'PLANILHA ORÇA - CORREGEDORIA'!U22</f>
        <v>952136.73</v>
      </c>
      <c r="D8" s="539">
        <f>D9/$C$8*100</f>
        <v>7.6069496237163348</v>
      </c>
      <c r="E8" s="539">
        <f t="shared" ref="E8:L8" si="0">E9/$C$8*100</f>
        <v>4.6811997684408215</v>
      </c>
      <c r="F8" s="539">
        <f t="shared" si="0"/>
        <v>4.6811997684408215</v>
      </c>
      <c r="G8" s="539">
        <f t="shared" si="0"/>
        <v>4.6811997684408215</v>
      </c>
      <c r="H8" s="539">
        <f t="shared" si="0"/>
        <v>4.6811997684408215</v>
      </c>
      <c r="I8" s="539">
        <f t="shared" si="0"/>
        <v>4.6811997684408215</v>
      </c>
      <c r="J8" s="539">
        <f t="shared" si="0"/>
        <v>4.6811997684408215</v>
      </c>
      <c r="K8" s="539">
        <f t="shared" si="0"/>
        <v>4.6811997684408215</v>
      </c>
      <c r="L8" s="539">
        <f t="shared" si="0"/>
        <v>4.6811997684408215</v>
      </c>
      <c r="M8" s="539">
        <f t="shared" ref="M8" si="1">M9/$C$8*100</f>
        <v>4.9948592935233727</v>
      </c>
      <c r="N8" s="539">
        <f t="shared" ref="N8" si="2">N9/$C$8*100</f>
        <v>4.9948592935233727</v>
      </c>
      <c r="O8" s="539">
        <f t="shared" ref="O8" si="3">O9/$C$8*100</f>
        <v>4.9948592935233727</v>
      </c>
      <c r="P8" s="539">
        <f t="shared" ref="P8" si="4">P9/$C$8*100</f>
        <v>4.9948592935233727</v>
      </c>
      <c r="Q8" s="539">
        <f t="shared" ref="Q8" si="5">Q9/$C$8*100</f>
        <v>4.9948592935233727</v>
      </c>
      <c r="R8" s="539">
        <f t="shared" ref="R8" si="6">R9/$C$8*100</f>
        <v>4.9948592935233727</v>
      </c>
      <c r="S8" s="539">
        <f t="shared" ref="S8" si="7">S9/$C$8*100</f>
        <v>4.9948592935233727</v>
      </c>
      <c r="T8" s="539">
        <f t="shared" ref="T8" si="8">T9/$C$8*100</f>
        <v>4.9948592935233727</v>
      </c>
      <c r="U8" s="539">
        <f t="shared" ref="U8" si="9">U9/$C$8*100</f>
        <v>4.9948592935233727</v>
      </c>
      <c r="V8" s="539">
        <f t="shared" ref="V8" si="10">V9/$C$8*100</f>
        <v>4.9948592935233727</v>
      </c>
      <c r="W8" s="539">
        <f t="shared" ref="W8" si="11">W9/$C$8*100</f>
        <v>4.9948592935233727</v>
      </c>
      <c r="X8" s="6">
        <f>SUM(D8:W8)</f>
        <v>100.00000000000003</v>
      </c>
    </row>
    <row r="9" spans="1:29">
      <c r="A9" s="629"/>
      <c r="B9" s="631"/>
      <c r="C9" s="633"/>
      <c r="D9" s="540">
        <v>72428.561400000006</v>
      </c>
      <c r="E9" s="540">
        <v>44571.422400000003</v>
      </c>
      <c r="F9" s="540">
        <v>44571.422400000003</v>
      </c>
      <c r="G9" s="540">
        <v>44571.422400000003</v>
      </c>
      <c r="H9" s="540">
        <v>44571.422400000003</v>
      </c>
      <c r="I9" s="540">
        <v>44571.422400000003</v>
      </c>
      <c r="J9" s="540">
        <v>44571.422400000003</v>
      </c>
      <c r="K9" s="540">
        <v>44571.422400000003</v>
      </c>
      <c r="L9" s="540">
        <v>44571.422400000003</v>
      </c>
      <c r="M9" s="7">
        <f>AB9/11</f>
        <v>47557.889945454546</v>
      </c>
      <c r="N9" s="7">
        <f t="shared" ref="N9:W9" si="12">M9</f>
        <v>47557.889945454546</v>
      </c>
      <c r="O9" s="7">
        <f t="shared" si="12"/>
        <v>47557.889945454546</v>
      </c>
      <c r="P9" s="7">
        <f t="shared" si="12"/>
        <v>47557.889945454546</v>
      </c>
      <c r="Q9" s="7">
        <f t="shared" si="12"/>
        <v>47557.889945454546</v>
      </c>
      <c r="R9" s="7">
        <f t="shared" si="12"/>
        <v>47557.889945454546</v>
      </c>
      <c r="S9" s="7">
        <f t="shared" si="12"/>
        <v>47557.889945454546</v>
      </c>
      <c r="T9" s="7">
        <f t="shared" si="12"/>
        <v>47557.889945454546</v>
      </c>
      <c r="U9" s="7">
        <f t="shared" si="12"/>
        <v>47557.889945454546</v>
      </c>
      <c r="V9" s="7">
        <f t="shared" si="12"/>
        <v>47557.889945454546</v>
      </c>
      <c r="W9" s="7">
        <f t="shared" si="12"/>
        <v>47557.889945454546</v>
      </c>
      <c r="X9" s="6">
        <f>SUM(D9:W9)</f>
        <v>952136.73</v>
      </c>
      <c r="Y9" s="8">
        <v>558577.59</v>
      </c>
      <c r="Z9" s="2">
        <f>X9-Y9</f>
        <v>393559.14</v>
      </c>
      <c r="AA9" s="2">
        <f>X9-C8</f>
        <v>0</v>
      </c>
      <c r="AB9" s="2">
        <f>C8-SUM(D9:L9)</f>
        <v>523136.78940000001</v>
      </c>
      <c r="AC9" s="2">
        <f>X9-C8</f>
        <v>0</v>
      </c>
    </row>
    <row r="10" spans="1:29">
      <c r="A10" s="628" t="s">
        <v>1496</v>
      </c>
      <c r="B10" s="630" t="s">
        <v>23</v>
      </c>
      <c r="C10" s="632">
        <f>'PLANILHA ORÇA - CORREGEDORIA'!U35+'PLANILHA ORÇA - EJUD'!U17</f>
        <v>576165.60000000009</v>
      </c>
      <c r="D10" s="539">
        <f>D11/$C$10*100</f>
        <v>23.158349786936252</v>
      </c>
      <c r="E10" s="539">
        <f>E11/$C$10*100</f>
        <v>23.158349786936252</v>
      </c>
      <c r="F10" s="539"/>
      <c r="G10" s="539"/>
      <c r="H10" s="539"/>
      <c r="I10" s="539"/>
      <c r="J10" s="539"/>
      <c r="K10" s="539"/>
      <c r="L10" s="539"/>
      <c r="M10" s="539">
        <f>M11/$C$10*100</f>
        <v>17.894433475375831</v>
      </c>
      <c r="N10" s="539">
        <f>N11/$C$10*100</f>
        <v>17.894433475375831</v>
      </c>
      <c r="O10" s="539">
        <f>O11/$C$10*100</f>
        <v>17.894433475375831</v>
      </c>
      <c r="P10" s="5"/>
      <c r="Q10" s="5"/>
      <c r="R10" s="5"/>
      <c r="S10" s="5"/>
      <c r="T10" s="5"/>
      <c r="U10" s="5"/>
      <c r="V10" s="5"/>
      <c r="W10" s="5"/>
      <c r="X10" s="6">
        <f>SUM(D10:W10)</f>
        <v>100</v>
      </c>
      <c r="Y10" s="6">
        <v>100</v>
      </c>
      <c r="Z10" s="2">
        <f t="shared" ref="Z10:Z50" si="13">X10-Y10</f>
        <v>0</v>
      </c>
    </row>
    <row r="11" spans="1:29">
      <c r="A11" s="629"/>
      <c r="B11" s="631"/>
      <c r="C11" s="633"/>
      <c r="D11" s="540">
        <v>133430.44500000001</v>
      </c>
      <c r="E11" s="540">
        <v>133430.44500000001</v>
      </c>
      <c r="F11" s="541"/>
      <c r="G11" s="541"/>
      <c r="H11" s="541"/>
      <c r="I11" s="541"/>
      <c r="J11" s="541"/>
      <c r="K11" s="541"/>
      <c r="L11" s="541"/>
      <c r="M11" s="7">
        <f>AB11/3</f>
        <v>103101.57000000002</v>
      </c>
      <c r="N11" s="7">
        <f>M11</f>
        <v>103101.57000000002</v>
      </c>
      <c r="O11" s="7">
        <f>N11</f>
        <v>103101.57000000002</v>
      </c>
      <c r="P11" s="538"/>
      <c r="Q11" s="538"/>
      <c r="R11" s="538"/>
      <c r="S11" s="538"/>
      <c r="T11" s="538"/>
      <c r="U11" s="538"/>
      <c r="V11" s="538"/>
      <c r="W11" s="538"/>
      <c r="X11" s="6">
        <f>SUM(D11:W11)</f>
        <v>576165.60000000009</v>
      </c>
      <c r="Y11" s="8">
        <v>208823.6</v>
      </c>
      <c r="Z11" s="2">
        <f t="shared" si="13"/>
        <v>367342.00000000012</v>
      </c>
      <c r="AA11" s="2">
        <f>X11-C10</f>
        <v>0</v>
      </c>
      <c r="AB11" s="2">
        <f>C10-SUM(D11:L11)</f>
        <v>309304.71000000008</v>
      </c>
      <c r="AC11" s="2">
        <f>X11-C10</f>
        <v>0</v>
      </c>
    </row>
    <row r="12" spans="1:29">
      <c r="A12" s="628" t="s">
        <v>1497</v>
      </c>
      <c r="B12" s="630" t="s">
        <v>30</v>
      </c>
      <c r="C12" s="632">
        <f>'PLANILHA ORÇA - CORREGEDORIA'!U53+'PLANILHA ORÇA - EJUD'!U21</f>
        <v>201652.08000000002</v>
      </c>
      <c r="D12" s="539">
        <f>D13/$C$12*100</f>
        <v>7.7618262107685663</v>
      </c>
      <c r="E12" s="539">
        <f>E13/$C$12*100</f>
        <v>11.64273931615285</v>
      </c>
      <c r="F12" s="539">
        <f>F13/$C$12*100</f>
        <v>19.404565526921417</v>
      </c>
      <c r="G12" s="542"/>
      <c r="H12" s="543"/>
      <c r="I12" s="542"/>
      <c r="J12" s="542"/>
      <c r="K12" s="542"/>
      <c r="L12" s="542"/>
      <c r="M12" s="539">
        <f>M13/$C$12*100</f>
        <v>30.59543447307858</v>
      </c>
      <c r="N12" s="539">
        <f>N13/$C$12*100</f>
        <v>30.59543447307858</v>
      </c>
      <c r="O12" s="11"/>
      <c r="P12" s="11"/>
      <c r="Q12" s="11"/>
      <c r="R12" s="11"/>
      <c r="S12" s="11"/>
      <c r="T12" s="11"/>
      <c r="U12" s="11"/>
      <c r="V12" s="11"/>
      <c r="W12" s="11"/>
      <c r="X12" s="6">
        <f t="shared" ref="X12:X49" si="14">SUM(D12:W12)</f>
        <v>100</v>
      </c>
      <c r="Y12" s="6">
        <v>100</v>
      </c>
      <c r="Z12" s="2">
        <f t="shared" si="13"/>
        <v>0</v>
      </c>
    </row>
    <row r="13" spans="1:29">
      <c r="A13" s="629"/>
      <c r="B13" s="631"/>
      <c r="C13" s="633"/>
      <c r="D13" s="540">
        <v>15651.883999999998</v>
      </c>
      <c r="E13" s="540">
        <v>23477.826000000001</v>
      </c>
      <c r="F13" s="540">
        <v>39129.71</v>
      </c>
      <c r="G13" s="541"/>
      <c r="H13" s="544"/>
      <c r="I13" s="541"/>
      <c r="J13" s="541"/>
      <c r="K13" s="541"/>
      <c r="L13" s="541"/>
      <c r="M13" s="7">
        <f>AB13/2</f>
        <v>61696.330000000009</v>
      </c>
      <c r="N13" s="7">
        <f>M13</f>
        <v>61696.330000000009</v>
      </c>
      <c r="O13" s="12"/>
      <c r="P13" s="538"/>
      <c r="Q13" s="538"/>
      <c r="R13" s="538"/>
      <c r="S13" s="538"/>
      <c r="T13" s="538"/>
      <c r="U13" s="538"/>
      <c r="V13" s="538"/>
      <c r="W13" s="538"/>
      <c r="X13" s="6">
        <f t="shared" si="14"/>
        <v>201652.08000000002</v>
      </c>
      <c r="Y13" s="8">
        <v>41822.129999999997</v>
      </c>
      <c r="Z13" s="2">
        <f t="shared" si="13"/>
        <v>159829.95000000001</v>
      </c>
      <c r="AA13" s="2">
        <f>X13-C12</f>
        <v>0</v>
      </c>
      <c r="AB13" s="2">
        <f>C12-SUM(D13:L13)</f>
        <v>123392.66000000002</v>
      </c>
      <c r="AC13" s="2">
        <f>X13-C12</f>
        <v>0</v>
      </c>
    </row>
    <row r="14" spans="1:29">
      <c r="A14" s="628" t="s">
        <v>1498</v>
      </c>
      <c r="B14" s="630" t="s">
        <v>40</v>
      </c>
      <c r="C14" s="632">
        <f>'PLANILHA ORÇA - CORREGEDORIA'!U66+'PLANILHA ORÇA - EJUD'!U34</f>
        <v>1072767.1000000001</v>
      </c>
      <c r="D14" s="539">
        <f>D15/$C$14*100</f>
        <v>7.7581324967926415</v>
      </c>
      <c r="E14" s="539">
        <f>E15/$C$14*100</f>
        <v>15.516264993585283</v>
      </c>
      <c r="F14" s="539">
        <f>F15/$C$14*100</f>
        <v>54.306927477548484</v>
      </c>
      <c r="G14" s="539"/>
      <c r="H14" s="539"/>
      <c r="I14" s="542"/>
      <c r="J14" s="542"/>
      <c r="K14" s="542"/>
      <c r="L14" s="542"/>
      <c r="M14" s="539">
        <f>M15/$C$14*100</f>
        <v>7.4728916773578664</v>
      </c>
      <c r="N14" s="539">
        <f>N15/$C$14*100</f>
        <v>7.4728916773578664</v>
      </c>
      <c r="O14" s="539">
        <f>O15/$C$14*100</f>
        <v>7.4728916773578664</v>
      </c>
      <c r="P14" s="11"/>
      <c r="Q14" s="11"/>
      <c r="R14" s="11"/>
      <c r="S14" s="11"/>
      <c r="T14" s="11"/>
      <c r="U14" s="11"/>
      <c r="V14" s="11"/>
      <c r="W14" s="11"/>
      <c r="X14" s="6">
        <f t="shared" si="14"/>
        <v>100</v>
      </c>
      <c r="Y14" s="6">
        <v>100</v>
      </c>
      <c r="Z14" s="2">
        <f t="shared" si="13"/>
        <v>0</v>
      </c>
    </row>
    <row r="15" spans="1:29">
      <c r="A15" s="629"/>
      <c r="B15" s="631"/>
      <c r="C15" s="633"/>
      <c r="D15" s="540">
        <v>83226.693000000014</v>
      </c>
      <c r="E15" s="540">
        <v>166453.38600000003</v>
      </c>
      <c r="F15" s="540">
        <v>582586.85100000002</v>
      </c>
      <c r="G15" s="545"/>
      <c r="H15" s="545"/>
      <c r="I15" s="541"/>
      <c r="J15" s="541"/>
      <c r="K15" s="541"/>
      <c r="L15" s="541"/>
      <c r="M15" s="7">
        <f>AB15/3</f>
        <v>80166.723333333342</v>
      </c>
      <c r="N15" s="7">
        <f>M15</f>
        <v>80166.723333333342</v>
      </c>
      <c r="O15" s="7">
        <f>N15</f>
        <v>80166.723333333342</v>
      </c>
      <c r="P15" s="538"/>
      <c r="Q15" s="538"/>
      <c r="R15" s="538"/>
      <c r="S15" s="538"/>
      <c r="T15" s="538"/>
      <c r="U15" s="538"/>
      <c r="V15" s="538"/>
      <c r="W15" s="538"/>
      <c r="X15" s="6">
        <f t="shared" si="14"/>
        <v>1072767.1000000001</v>
      </c>
      <c r="Y15" s="8">
        <v>514536.39</v>
      </c>
      <c r="Z15" s="2">
        <f t="shared" si="13"/>
        <v>558230.71000000008</v>
      </c>
      <c r="AA15" s="2">
        <f>X15-C14</f>
        <v>0</v>
      </c>
      <c r="AB15" s="2">
        <f>C14-SUM(D15:L15)</f>
        <v>240500.17000000004</v>
      </c>
      <c r="AC15" s="2">
        <f>X15-C14</f>
        <v>0</v>
      </c>
    </row>
    <row r="16" spans="1:29">
      <c r="A16" s="628" t="s">
        <v>1499</v>
      </c>
      <c r="B16" s="630" t="s">
        <v>51</v>
      </c>
      <c r="C16" s="632">
        <f>'PLANILHA ORÇA - CORREGEDORIA'!U135+'PLANILHA ORÇA - EJUD'!U66</f>
        <v>681774.72999999986</v>
      </c>
      <c r="D16" s="542"/>
      <c r="E16" s="542"/>
      <c r="F16" s="539">
        <f>F17/$C$16*100</f>
        <v>11.797267992024286</v>
      </c>
      <c r="G16" s="539">
        <f>G17/$C$16*100</f>
        <v>47.189071968097146</v>
      </c>
      <c r="H16" s="539">
        <f>H17/$C$16*100</f>
        <v>35.391803976072865</v>
      </c>
      <c r="I16" s="539">
        <f>I17/$C$16*100</f>
        <v>2.4552177227219918</v>
      </c>
      <c r="J16" s="542"/>
      <c r="K16" s="542"/>
      <c r="L16" s="542">
        <v>3.17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6">
        <f t="shared" si="14"/>
        <v>100.0033616589163</v>
      </c>
      <c r="Y16" s="6">
        <v>100</v>
      </c>
      <c r="Z16" s="2">
        <f t="shared" si="13"/>
        <v>3.3616589163045774E-3</v>
      </c>
    </row>
    <row r="17" spans="1:29">
      <c r="A17" s="629"/>
      <c r="B17" s="631"/>
      <c r="C17" s="633"/>
      <c r="D17" s="541"/>
      <c r="E17" s="541"/>
      <c r="F17" s="540">
        <v>80430.791999999987</v>
      </c>
      <c r="G17" s="540">
        <v>321723.16799999995</v>
      </c>
      <c r="H17" s="540">
        <f>241292.376</f>
        <v>241292.37599999999</v>
      </c>
      <c r="I17" s="540">
        <f>160861.584-144122.53</f>
        <v>16739.054000000004</v>
      </c>
      <c r="J17" s="541"/>
      <c r="K17" s="541"/>
      <c r="L17" s="540">
        <v>21589.34</v>
      </c>
      <c r="M17" s="12"/>
      <c r="N17" s="12"/>
      <c r="O17" s="12"/>
      <c r="P17" s="538"/>
      <c r="Q17" s="538"/>
      <c r="R17" s="538"/>
      <c r="S17" s="538"/>
      <c r="T17" s="538"/>
      <c r="U17" s="538"/>
      <c r="V17" s="538"/>
      <c r="W17" s="538"/>
      <c r="X17" s="6">
        <f t="shared" si="14"/>
        <v>681774.72999999986</v>
      </c>
      <c r="Y17" s="8">
        <v>310093.03000000003</v>
      </c>
      <c r="Z17" s="2">
        <f t="shared" si="13"/>
        <v>371681.69999999984</v>
      </c>
      <c r="AA17" s="2">
        <f>X17-C16</f>
        <v>0</v>
      </c>
      <c r="AB17" s="2">
        <f>C16-SUM(D17:L17)</f>
        <v>0</v>
      </c>
      <c r="AC17" s="2">
        <f>X17-C16</f>
        <v>0</v>
      </c>
    </row>
    <row r="18" spans="1:29">
      <c r="A18" s="628" t="s">
        <v>1500</v>
      </c>
      <c r="B18" s="630" t="s">
        <v>56</v>
      </c>
      <c r="C18" s="632">
        <f>'PLANILHA ORÇA - CORREGEDORIA'!U150+'PLANILHA ORÇA - EJUD'!U82</f>
        <v>3198868.57</v>
      </c>
      <c r="D18" s="542"/>
      <c r="E18" s="539">
        <f>E19/$C$18*100</f>
        <v>7.6720246121271565</v>
      </c>
      <c r="F18" s="539">
        <f>F19/$C$18*100</f>
        <v>15.344049224254313</v>
      </c>
      <c r="G18" s="539">
        <f>G19/$C$18*100</f>
        <v>23.016073836381466</v>
      </c>
      <c r="H18" s="539">
        <f>H19/$C$18*100</f>
        <v>23.016073836381466</v>
      </c>
      <c r="I18" s="539">
        <f>I19/$C$18*100</f>
        <v>7.6720246121271565</v>
      </c>
      <c r="J18" s="542"/>
      <c r="K18" s="542"/>
      <c r="L18" s="542"/>
      <c r="M18" s="539">
        <f t="shared" ref="M18:R18" si="15">M19/$C$18*100</f>
        <v>3.8799589797880714</v>
      </c>
      <c r="N18" s="539">
        <f t="shared" si="15"/>
        <v>3.8799589797880714</v>
      </c>
      <c r="O18" s="539">
        <f t="shared" si="15"/>
        <v>3.8799589797880714</v>
      </c>
      <c r="P18" s="539">
        <f t="shared" si="15"/>
        <v>3.8799589797880714</v>
      </c>
      <c r="Q18" s="539">
        <f t="shared" si="15"/>
        <v>3.8799589797880714</v>
      </c>
      <c r="R18" s="539">
        <f t="shared" si="15"/>
        <v>3.8799589797880714</v>
      </c>
      <c r="S18" s="11"/>
      <c r="T18" s="11"/>
      <c r="U18" s="11"/>
      <c r="V18" s="11"/>
      <c r="W18" s="11"/>
      <c r="X18" s="6">
        <f t="shared" si="14"/>
        <v>99.999999999999986</v>
      </c>
      <c r="Y18" s="6">
        <v>100</v>
      </c>
      <c r="Z18" s="2">
        <f t="shared" si="13"/>
        <v>0</v>
      </c>
    </row>
    <row r="19" spans="1:29">
      <c r="A19" s="629"/>
      <c r="B19" s="631"/>
      <c r="C19" s="633"/>
      <c r="D19" s="541"/>
      <c r="E19" s="540">
        <v>245417.984</v>
      </c>
      <c r="F19" s="540">
        <v>490835.96799999999</v>
      </c>
      <c r="G19" s="540">
        <v>736253.95199999993</v>
      </c>
      <c r="H19" s="540">
        <v>736253.95199999993</v>
      </c>
      <c r="I19" s="540">
        <v>245417.984</v>
      </c>
      <c r="J19" s="541"/>
      <c r="K19" s="541"/>
      <c r="L19" s="541"/>
      <c r="M19" s="7">
        <f>AB19/6</f>
        <v>124114.78833333326</v>
      </c>
      <c r="N19" s="7">
        <f>M19</f>
        <v>124114.78833333326</v>
      </c>
      <c r="O19" s="7">
        <f>N19</f>
        <v>124114.78833333326</v>
      </c>
      <c r="P19" s="7">
        <f>O19</f>
        <v>124114.78833333326</v>
      </c>
      <c r="Q19" s="7">
        <f>P19</f>
        <v>124114.78833333326</v>
      </c>
      <c r="R19" s="7">
        <f>Q19</f>
        <v>124114.78833333326</v>
      </c>
      <c r="S19" s="538"/>
      <c r="T19" s="538"/>
      <c r="U19" s="538"/>
      <c r="V19" s="538"/>
      <c r="W19" s="538"/>
      <c r="X19" s="6">
        <f t="shared" si="14"/>
        <v>3198868.5699999989</v>
      </c>
      <c r="Y19" s="8">
        <v>1497432.78</v>
      </c>
      <c r="Z19" s="2">
        <f t="shared" si="13"/>
        <v>1701435.7899999989</v>
      </c>
      <c r="AA19" s="2">
        <f>X19-C18</f>
        <v>0</v>
      </c>
      <c r="AB19" s="2">
        <f>C18-SUM(D19:L19)</f>
        <v>744688.72999999952</v>
      </c>
      <c r="AC19" s="2">
        <f>X19-C18</f>
        <v>0</v>
      </c>
    </row>
    <row r="20" spans="1:29">
      <c r="A20" s="628" t="s">
        <v>1501</v>
      </c>
      <c r="B20" s="630" t="s">
        <v>71</v>
      </c>
      <c r="C20" s="632">
        <f>'PLANILHA ORÇA - CORREGEDORIA'!U212+'PLANILHA ORÇA - EJUD'!U141</f>
        <v>132176.76</v>
      </c>
      <c r="D20" s="542"/>
      <c r="E20" s="542"/>
      <c r="F20" s="542"/>
      <c r="G20" s="539"/>
      <c r="H20" s="539"/>
      <c r="I20" s="539"/>
      <c r="J20" s="539">
        <f>J21/$C$20*100</f>
        <v>30.000000000000004</v>
      </c>
      <c r="K20" s="539">
        <f>K21/$C$20*100</f>
        <v>40</v>
      </c>
      <c r="L20" s="539">
        <f>L21/$C$20*100</f>
        <v>10</v>
      </c>
      <c r="M20" s="539">
        <f>M21/$C$20*100</f>
        <v>9.9999999999999929</v>
      </c>
      <c r="N20" s="539">
        <f>N21/$C$20*100</f>
        <v>9.9999999999999929</v>
      </c>
      <c r="O20" s="11"/>
      <c r="P20" s="11"/>
      <c r="Q20" s="11"/>
      <c r="R20" s="11"/>
      <c r="S20" s="11"/>
      <c r="T20" s="11"/>
      <c r="U20" s="11"/>
      <c r="V20" s="11"/>
      <c r="W20" s="11"/>
      <c r="X20" s="6">
        <f t="shared" si="14"/>
        <v>100</v>
      </c>
      <c r="Y20" s="6">
        <v>100</v>
      </c>
      <c r="Z20" s="2">
        <f t="shared" si="13"/>
        <v>0</v>
      </c>
    </row>
    <row r="21" spans="1:29">
      <c r="A21" s="629"/>
      <c r="B21" s="631"/>
      <c r="C21" s="633"/>
      <c r="D21" s="541"/>
      <c r="E21" s="541"/>
      <c r="F21" s="541"/>
      <c r="G21" s="545"/>
      <c r="H21" s="545"/>
      <c r="I21" s="545"/>
      <c r="J21" s="540">
        <v>39653.028000000006</v>
      </c>
      <c r="K21" s="540">
        <v>52870.704000000005</v>
      </c>
      <c r="L21" s="540">
        <v>13217.676000000001</v>
      </c>
      <c r="M21" s="7">
        <f>AB21/2</f>
        <v>13217.675999999992</v>
      </c>
      <c r="N21" s="7">
        <f>M21</f>
        <v>13217.675999999992</v>
      </c>
      <c r="O21" s="12"/>
      <c r="P21" s="538"/>
      <c r="Q21" s="538"/>
      <c r="R21" s="538"/>
      <c r="S21" s="538"/>
      <c r="T21" s="538"/>
      <c r="U21" s="538"/>
      <c r="V21" s="538"/>
      <c r="W21" s="538"/>
      <c r="X21" s="6">
        <f t="shared" si="14"/>
        <v>132176.76</v>
      </c>
      <c r="Y21" s="8">
        <v>111219.14</v>
      </c>
      <c r="Z21" s="2">
        <f t="shared" si="13"/>
        <v>20957.62000000001</v>
      </c>
      <c r="AA21" s="2">
        <f>X21-C20</f>
        <v>0</v>
      </c>
      <c r="AB21" s="2">
        <f>C20-SUM(D21:L21)</f>
        <v>26435.351999999984</v>
      </c>
      <c r="AC21" s="2">
        <f>X21-C20</f>
        <v>0</v>
      </c>
    </row>
    <row r="22" spans="1:29">
      <c r="A22" s="628" t="s">
        <v>1502</v>
      </c>
      <c r="B22" s="630" t="s">
        <v>74</v>
      </c>
      <c r="C22" s="632">
        <f>'PLANILHA ORÇA - CORREGEDORIA'!U216+'PLANILHA ORÇA - EJUD'!U146</f>
        <v>530683.89</v>
      </c>
      <c r="D22" s="542"/>
      <c r="E22" s="542"/>
      <c r="F22" s="542"/>
      <c r="G22" s="539"/>
      <c r="H22" s="539"/>
      <c r="I22" s="539">
        <f>I23/$C$22*100</f>
        <v>13.529479950861143</v>
      </c>
      <c r="J22" s="539">
        <f>J23/$C$22*100</f>
        <v>13.529479950861143</v>
      </c>
      <c r="K22" s="539">
        <f>K23/$C$22*100</f>
        <v>18.039306601148187</v>
      </c>
      <c r="L22" s="539">
        <f>L23/$C$22*100</f>
        <v>18.039306601148187</v>
      </c>
      <c r="M22" s="11"/>
      <c r="N22" s="11"/>
      <c r="O22" s="11"/>
      <c r="P22" s="11"/>
      <c r="Q22" s="539">
        <f>Q23/$C$22*100</f>
        <v>12.287475631993779</v>
      </c>
      <c r="R22" s="539">
        <f>R23/$C$22*100</f>
        <v>12.287475631993779</v>
      </c>
      <c r="S22" s="539">
        <f>S23/$C$22*100</f>
        <v>12.287475631993779</v>
      </c>
      <c r="T22" s="11"/>
      <c r="U22" s="11"/>
      <c r="V22" s="11"/>
      <c r="W22" s="11"/>
      <c r="X22" s="6">
        <f t="shared" si="14"/>
        <v>99.999999999999972</v>
      </c>
      <c r="Y22" s="6">
        <v>100</v>
      </c>
      <c r="Z22" s="2">
        <f t="shared" si="13"/>
        <v>0</v>
      </c>
    </row>
    <row r="23" spans="1:29">
      <c r="A23" s="629"/>
      <c r="B23" s="631"/>
      <c r="C23" s="633"/>
      <c r="D23" s="541"/>
      <c r="E23" s="541"/>
      <c r="F23" s="541"/>
      <c r="G23" s="545"/>
      <c r="H23" s="545"/>
      <c r="I23" s="540">
        <v>71798.770499999999</v>
      </c>
      <c r="J23" s="540">
        <v>71798.770499999999</v>
      </c>
      <c r="K23" s="540">
        <v>95731.693999999989</v>
      </c>
      <c r="L23" s="540">
        <v>95731.693999999989</v>
      </c>
      <c r="M23" s="149"/>
      <c r="N23" s="149"/>
      <c r="O23" s="149"/>
      <c r="P23" s="538"/>
      <c r="Q23" s="540">
        <f>AB23/3</f>
        <v>65207.653666666673</v>
      </c>
      <c r="R23" s="540">
        <f>Q23</f>
        <v>65207.653666666673</v>
      </c>
      <c r="S23" s="540">
        <f>R23</f>
        <v>65207.653666666673</v>
      </c>
      <c r="T23" s="538"/>
      <c r="U23" s="538"/>
      <c r="V23" s="538"/>
      <c r="W23" s="538"/>
      <c r="X23" s="6">
        <f t="shared" si="14"/>
        <v>530683.89</v>
      </c>
      <c r="Y23" s="8">
        <v>204560.16</v>
      </c>
      <c r="Z23" s="2">
        <f t="shared" si="13"/>
        <v>326123.73</v>
      </c>
      <c r="AA23" s="2">
        <f>X23-C22</f>
        <v>0</v>
      </c>
      <c r="AB23" s="2">
        <f>C22-SUM(D23:L23)</f>
        <v>195622.96100000001</v>
      </c>
      <c r="AC23" s="2">
        <f>X23-C22</f>
        <v>0</v>
      </c>
    </row>
    <row r="24" spans="1:29">
      <c r="A24" s="628" t="s">
        <v>1503</v>
      </c>
      <c r="B24" s="630" t="s">
        <v>84</v>
      </c>
      <c r="C24" s="632">
        <f>'PLANILHA ORÇA - CORREGEDORIA'!U232+'PLANILHA ORÇA - EJUD'!U158</f>
        <v>1351024.21</v>
      </c>
      <c r="D24" s="542"/>
      <c r="E24" s="542"/>
      <c r="F24" s="542"/>
      <c r="G24" s="542"/>
      <c r="H24" s="539"/>
      <c r="I24" s="539">
        <f t="shared" ref="I24:T24" si="16">I25/$C$24*100</f>
        <v>5.1369711946168604</v>
      </c>
      <c r="J24" s="539">
        <f t="shared" si="16"/>
        <v>15.410913583850583</v>
      </c>
      <c r="K24" s="539">
        <f t="shared" si="16"/>
        <v>15.410913583850583</v>
      </c>
      <c r="L24" s="539">
        <f t="shared" si="16"/>
        <v>7.1156890708535538</v>
      </c>
      <c r="M24" s="539">
        <f t="shared" si="16"/>
        <v>7.1156890708535538</v>
      </c>
      <c r="N24" s="539">
        <f t="shared" si="16"/>
        <v>7.1156890708535538</v>
      </c>
      <c r="O24" s="539">
        <f t="shared" si="16"/>
        <v>7.1156890708535538</v>
      </c>
      <c r="P24" s="539">
        <f t="shared" si="16"/>
        <v>7.1156890708535538</v>
      </c>
      <c r="Q24" s="539">
        <f t="shared" si="16"/>
        <v>7.1156890708535538</v>
      </c>
      <c r="R24" s="539">
        <f t="shared" si="16"/>
        <v>7.1156890708535538</v>
      </c>
      <c r="S24" s="539">
        <f t="shared" si="16"/>
        <v>7.1156890708535538</v>
      </c>
      <c r="T24" s="539">
        <f t="shared" si="16"/>
        <v>7.1156890708535538</v>
      </c>
      <c r="U24" s="11"/>
      <c r="V24" s="11"/>
      <c r="W24" s="11"/>
      <c r="X24" s="6">
        <f t="shared" si="14"/>
        <v>99.999999999999986</v>
      </c>
      <c r="Y24" s="6">
        <v>100</v>
      </c>
      <c r="Z24" s="2">
        <f t="shared" si="13"/>
        <v>0</v>
      </c>
    </row>
    <row r="25" spans="1:29">
      <c r="A25" s="629"/>
      <c r="B25" s="631"/>
      <c r="C25" s="633"/>
      <c r="D25" s="541"/>
      <c r="E25" s="541"/>
      <c r="F25" s="541"/>
      <c r="G25" s="541"/>
      <c r="H25" s="545"/>
      <c r="I25" s="540">
        <v>69401.724499999997</v>
      </c>
      <c r="J25" s="540">
        <v>208205.1735</v>
      </c>
      <c r="K25" s="540">
        <v>208205.1735</v>
      </c>
      <c r="L25" s="540">
        <f>AB25/9</f>
        <v>96134.682055555561</v>
      </c>
      <c r="M25" s="540">
        <f>AB25/9</f>
        <v>96134.682055555561</v>
      </c>
      <c r="N25" s="540">
        <f t="shared" ref="N25:T25" si="17">M25</f>
        <v>96134.682055555561</v>
      </c>
      <c r="O25" s="540">
        <f t="shared" si="17"/>
        <v>96134.682055555561</v>
      </c>
      <c r="P25" s="540">
        <f t="shared" si="17"/>
        <v>96134.682055555561</v>
      </c>
      <c r="Q25" s="540">
        <f t="shared" si="17"/>
        <v>96134.682055555561</v>
      </c>
      <c r="R25" s="540">
        <f t="shared" si="17"/>
        <v>96134.682055555561</v>
      </c>
      <c r="S25" s="540">
        <f t="shared" si="17"/>
        <v>96134.682055555561</v>
      </c>
      <c r="T25" s="540">
        <f t="shared" si="17"/>
        <v>96134.682055555561</v>
      </c>
      <c r="U25" s="7"/>
      <c r="V25" s="538"/>
      <c r="W25" s="538"/>
      <c r="X25" s="6">
        <f t="shared" si="14"/>
        <v>1351024.2099999997</v>
      </c>
      <c r="Y25" s="8">
        <v>530973.52</v>
      </c>
      <c r="Z25" s="2">
        <f t="shared" si="13"/>
        <v>820050.68999999971</v>
      </c>
      <c r="AA25" s="2">
        <f>X25-C24</f>
        <v>0</v>
      </c>
      <c r="AB25" s="2">
        <f>C24-SUM(D25:K25)</f>
        <v>865212.1385</v>
      </c>
      <c r="AC25" s="2">
        <f>X25-C24</f>
        <v>0</v>
      </c>
    </row>
    <row r="26" spans="1:29">
      <c r="A26" s="628" t="s">
        <v>1504</v>
      </c>
      <c r="B26" s="630" t="s">
        <v>90</v>
      </c>
      <c r="C26" s="632">
        <f>'PLANILHA ORÇA - CORREGEDORIA'!U239+'PLANILHA ORÇA - EJUD'!U161</f>
        <v>75546.09</v>
      </c>
      <c r="D26" s="542"/>
      <c r="E26" s="542"/>
      <c r="F26" s="542"/>
      <c r="G26" s="542"/>
      <c r="H26" s="543"/>
      <c r="I26" s="542"/>
      <c r="J26" s="539">
        <f>J27/$C$26*100</f>
        <v>20</v>
      </c>
      <c r="K26" s="539">
        <f>K27/$C$26*100</f>
        <v>20</v>
      </c>
      <c r="L26" s="539">
        <f>L27/$C$26*100</f>
        <v>20</v>
      </c>
      <c r="M26" s="539"/>
      <c r="N26" s="5"/>
      <c r="O26" s="539">
        <f>O27/$C$26*100</f>
        <v>20</v>
      </c>
      <c r="P26" s="539">
        <f>P27/$C$26*100</f>
        <v>20</v>
      </c>
      <c r="Q26" s="11"/>
      <c r="R26" s="11"/>
      <c r="S26" s="11"/>
      <c r="T26" s="11"/>
      <c r="U26" s="11"/>
      <c r="V26" s="11"/>
      <c r="W26" s="11"/>
      <c r="X26" s="6">
        <f t="shared" si="14"/>
        <v>100</v>
      </c>
      <c r="Y26" s="6">
        <v>100</v>
      </c>
      <c r="Z26" s="2">
        <f t="shared" si="13"/>
        <v>0</v>
      </c>
    </row>
    <row r="27" spans="1:29">
      <c r="A27" s="629"/>
      <c r="B27" s="631"/>
      <c r="C27" s="633"/>
      <c r="D27" s="541"/>
      <c r="E27" s="541"/>
      <c r="F27" s="541"/>
      <c r="G27" s="541"/>
      <c r="H27" s="544"/>
      <c r="I27" s="541"/>
      <c r="J27" s="540">
        <v>15109.217999999999</v>
      </c>
      <c r="K27" s="540">
        <v>15109.217999999999</v>
      </c>
      <c r="L27" s="540">
        <v>15109.217999999999</v>
      </c>
      <c r="M27" s="149"/>
      <c r="N27" s="149"/>
      <c r="O27" s="540">
        <f>AB27/2</f>
        <v>15109.218000000001</v>
      </c>
      <c r="P27" s="540">
        <f>O27</f>
        <v>15109.218000000001</v>
      </c>
      <c r="Q27" s="538"/>
      <c r="R27" s="538"/>
      <c r="S27" s="538"/>
      <c r="T27" s="538"/>
      <c r="U27" s="538"/>
      <c r="V27" s="538"/>
      <c r="W27" s="538"/>
      <c r="X27" s="6">
        <f t="shared" si="14"/>
        <v>75546.09</v>
      </c>
      <c r="Y27" s="8">
        <v>430754.87</v>
      </c>
      <c r="Z27" s="2">
        <f t="shared" si="13"/>
        <v>-355208.78</v>
      </c>
      <c r="AA27" s="2">
        <f>X27-C26</f>
        <v>0</v>
      </c>
      <c r="AB27" s="2">
        <f>C26-SUM(D27:L27)</f>
        <v>30218.436000000002</v>
      </c>
      <c r="AC27" s="2">
        <f>X27-C26</f>
        <v>0</v>
      </c>
    </row>
    <row r="28" spans="1:29">
      <c r="A28" s="628" t="s">
        <v>1505</v>
      </c>
      <c r="B28" s="630" t="s">
        <v>92</v>
      </c>
      <c r="C28" s="632">
        <f>'PLANILHA ORÇA - CORREGEDORIA'!U242+'PLANILHA ORÇA - EJUD'!U164</f>
        <v>522390.93999999994</v>
      </c>
      <c r="D28" s="542"/>
      <c r="E28" s="542"/>
      <c r="F28" s="542"/>
      <c r="G28" s="542"/>
      <c r="H28" s="539"/>
      <c r="I28" s="539">
        <f>I29/$C$28*100</f>
        <v>25</v>
      </c>
      <c r="J28" s="539">
        <f>J29/$C$28*100</f>
        <v>40</v>
      </c>
      <c r="K28" s="539">
        <f>K29/$C$28*100</f>
        <v>20</v>
      </c>
      <c r="L28" s="539">
        <f>L29/$C$28*100</f>
        <v>15.000000000000002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6">
        <f t="shared" si="14"/>
        <v>100</v>
      </c>
      <c r="Y28" s="6">
        <v>100</v>
      </c>
      <c r="Z28" s="2">
        <f t="shared" si="13"/>
        <v>0</v>
      </c>
    </row>
    <row r="29" spans="1:29">
      <c r="A29" s="629"/>
      <c r="B29" s="631"/>
      <c r="C29" s="633"/>
      <c r="D29" s="541"/>
      <c r="E29" s="541"/>
      <c r="F29" s="541"/>
      <c r="G29" s="541"/>
      <c r="H29" s="545"/>
      <c r="I29" s="540">
        <v>130597.73499999999</v>
      </c>
      <c r="J29" s="540">
        <v>208956.37599999999</v>
      </c>
      <c r="K29" s="540">
        <v>104478.18799999999</v>
      </c>
      <c r="L29" s="540">
        <v>78358.641000000003</v>
      </c>
      <c r="M29" s="12"/>
      <c r="N29" s="12"/>
      <c r="O29" s="12"/>
      <c r="P29" s="538"/>
      <c r="Q29" s="538"/>
      <c r="R29" s="538"/>
      <c r="S29" s="538"/>
      <c r="T29" s="538"/>
      <c r="U29" s="538"/>
      <c r="V29" s="538"/>
      <c r="W29" s="538"/>
      <c r="X29" s="6">
        <f t="shared" si="14"/>
        <v>522390.94</v>
      </c>
      <c r="Y29" s="8">
        <v>136480.72</v>
      </c>
      <c r="Z29" s="2">
        <f t="shared" si="13"/>
        <v>385910.22</v>
      </c>
      <c r="AA29" s="2">
        <f>X29-C28</f>
        <v>0</v>
      </c>
      <c r="AB29" s="2">
        <f>C28-SUM(D29:L29)</f>
        <v>0</v>
      </c>
      <c r="AC29" s="2">
        <f>X29-C28</f>
        <v>0</v>
      </c>
    </row>
    <row r="30" spans="1:29">
      <c r="A30" s="628" t="s">
        <v>1506</v>
      </c>
      <c r="B30" s="630" t="s">
        <v>96</v>
      </c>
      <c r="C30" s="632">
        <f>'PLANILHA ORÇA - CORREGEDORIA'!U250+'PLANILHA ORÇA - EJUD'!U172</f>
        <v>237873.29</v>
      </c>
      <c r="D30" s="542"/>
      <c r="E30" s="542"/>
      <c r="F30" s="542"/>
      <c r="G30" s="539"/>
      <c r="H30" s="539"/>
      <c r="I30" s="539"/>
      <c r="J30" s="539">
        <f t="shared" ref="J30:Q30" si="18">J31/$C$30*100</f>
        <v>30.000000000000004</v>
      </c>
      <c r="K30" s="539">
        <f t="shared" si="18"/>
        <v>20</v>
      </c>
      <c r="L30" s="539">
        <f t="shared" si="18"/>
        <v>8.3333333333333321</v>
      </c>
      <c r="M30" s="539">
        <f t="shared" si="18"/>
        <v>8.3333333333333321</v>
      </c>
      <c r="N30" s="539">
        <f t="shared" si="18"/>
        <v>8.3333333333333321</v>
      </c>
      <c r="O30" s="539">
        <f t="shared" si="18"/>
        <v>8.3333333333333321</v>
      </c>
      <c r="P30" s="539">
        <f t="shared" si="18"/>
        <v>8.3333333333333321</v>
      </c>
      <c r="Q30" s="539">
        <f t="shared" si="18"/>
        <v>8.3333333333333321</v>
      </c>
      <c r="R30" s="11"/>
      <c r="S30" s="11"/>
      <c r="T30" s="11"/>
      <c r="U30" s="11"/>
      <c r="V30" s="11"/>
      <c r="W30" s="11"/>
      <c r="X30" s="6">
        <f t="shared" si="14"/>
        <v>99.999999999999972</v>
      </c>
      <c r="Y30" s="6">
        <v>100</v>
      </c>
      <c r="Z30" s="2">
        <f t="shared" si="13"/>
        <v>0</v>
      </c>
    </row>
    <row r="31" spans="1:29">
      <c r="A31" s="629"/>
      <c r="B31" s="631"/>
      <c r="C31" s="633"/>
      <c r="D31" s="541"/>
      <c r="E31" s="541"/>
      <c r="F31" s="541"/>
      <c r="G31" s="545"/>
      <c r="H31" s="545"/>
      <c r="I31" s="545"/>
      <c r="J31" s="540">
        <v>71361.987000000008</v>
      </c>
      <c r="K31" s="540">
        <v>47574.657999999996</v>
      </c>
      <c r="L31" s="551">
        <f>AB31/6</f>
        <v>19822.774166666666</v>
      </c>
      <c r="M31" s="550">
        <f>L31</f>
        <v>19822.774166666666</v>
      </c>
      <c r="N31" s="550">
        <f>M31</f>
        <v>19822.774166666666</v>
      </c>
      <c r="O31" s="550">
        <f>N31</f>
        <v>19822.774166666666</v>
      </c>
      <c r="P31" s="550">
        <f>O31</f>
        <v>19822.774166666666</v>
      </c>
      <c r="Q31" s="550">
        <f>P31</f>
        <v>19822.774166666666</v>
      </c>
      <c r="R31" s="538"/>
      <c r="S31" s="538"/>
      <c r="T31" s="538"/>
      <c r="U31" s="538"/>
      <c r="V31" s="538"/>
      <c r="W31" s="538"/>
      <c r="X31" s="6">
        <f t="shared" si="14"/>
        <v>237873.29</v>
      </c>
      <c r="Y31" s="8">
        <v>216857.65</v>
      </c>
      <c r="Z31" s="2">
        <f t="shared" si="13"/>
        <v>21015.640000000014</v>
      </c>
      <c r="AA31" s="2">
        <f>X31-C30</f>
        <v>0</v>
      </c>
      <c r="AB31" s="2">
        <f>C30-SUM(D31:K31)</f>
        <v>118936.645</v>
      </c>
      <c r="AC31" s="2">
        <f>X31-C30</f>
        <v>0</v>
      </c>
    </row>
    <row r="32" spans="1:29">
      <c r="A32" s="628" t="s">
        <v>1507</v>
      </c>
      <c r="B32" s="630" t="s">
        <v>98</v>
      </c>
      <c r="C32" s="632">
        <f>'PLANILHA ORÇA - CORREGEDORIA'!U253+'PLANILHA ORÇA - EJUD'!U176</f>
        <v>1092917.0299999998</v>
      </c>
      <c r="D32" s="542"/>
      <c r="E32" s="542"/>
      <c r="F32" s="542"/>
      <c r="G32" s="542"/>
      <c r="H32" s="543"/>
      <c r="I32" s="542"/>
      <c r="J32" s="542"/>
      <c r="K32" s="539">
        <f>K33/$C$32*100</f>
        <v>32.223155631493825</v>
      </c>
      <c r="L32" s="539">
        <f>L33/$C$32*100</f>
        <v>7.5307604853895747</v>
      </c>
      <c r="M32" s="539">
        <f t="shared" ref="M32:T32" si="19">M33/$C$32*100</f>
        <v>7.5307604853895747</v>
      </c>
      <c r="N32" s="539">
        <f t="shared" si="19"/>
        <v>7.5307604853895747</v>
      </c>
      <c r="O32" s="539">
        <f t="shared" si="19"/>
        <v>7.5307604853895747</v>
      </c>
      <c r="P32" s="539">
        <f t="shared" si="19"/>
        <v>7.5307604853895747</v>
      </c>
      <c r="Q32" s="539">
        <f t="shared" si="19"/>
        <v>7.5307604853895747</v>
      </c>
      <c r="R32" s="539">
        <f t="shared" si="19"/>
        <v>7.5307604853895747</v>
      </c>
      <c r="S32" s="539">
        <f t="shared" si="19"/>
        <v>7.5307604853895747</v>
      </c>
      <c r="T32" s="539">
        <f t="shared" si="19"/>
        <v>7.5307604853895747</v>
      </c>
      <c r="U32" s="11"/>
      <c r="V32" s="11"/>
      <c r="W32" s="11"/>
      <c r="X32" s="6">
        <f t="shared" si="14"/>
        <v>100.00000000000003</v>
      </c>
      <c r="Y32" s="6">
        <v>100</v>
      </c>
      <c r="Z32" s="2">
        <f t="shared" si="13"/>
        <v>0</v>
      </c>
    </row>
    <row r="33" spans="1:29">
      <c r="A33" s="629"/>
      <c r="B33" s="631"/>
      <c r="C33" s="633"/>
      <c r="D33" s="541"/>
      <c r="E33" s="541"/>
      <c r="F33" s="541"/>
      <c r="G33" s="541"/>
      <c r="H33" s="544"/>
      <c r="I33" s="541"/>
      <c r="J33" s="541"/>
      <c r="K33" s="540">
        <v>352172.35549999995</v>
      </c>
      <c r="L33" s="540">
        <f>AB33/9</f>
        <v>82304.963833333313</v>
      </c>
      <c r="M33" s="540">
        <f t="shared" ref="M33:T33" si="20">L33</f>
        <v>82304.963833333313</v>
      </c>
      <c r="N33" s="540">
        <f t="shared" si="20"/>
        <v>82304.963833333313</v>
      </c>
      <c r="O33" s="540">
        <f t="shared" si="20"/>
        <v>82304.963833333313</v>
      </c>
      <c r="P33" s="540">
        <f t="shared" si="20"/>
        <v>82304.963833333313</v>
      </c>
      <c r="Q33" s="540">
        <f t="shared" si="20"/>
        <v>82304.963833333313</v>
      </c>
      <c r="R33" s="540">
        <f t="shared" si="20"/>
        <v>82304.963833333313</v>
      </c>
      <c r="S33" s="540">
        <f t="shared" si="20"/>
        <v>82304.963833333313</v>
      </c>
      <c r="T33" s="540">
        <f t="shared" si="20"/>
        <v>82304.963833333313</v>
      </c>
      <c r="U33" s="538"/>
      <c r="V33" s="538"/>
      <c r="W33" s="538"/>
      <c r="X33" s="6">
        <f t="shared" si="14"/>
        <v>1092917.03</v>
      </c>
      <c r="Y33" s="8">
        <v>940072.86</v>
      </c>
      <c r="Z33" s="2">
        <f t="shared" si="13"/>
        <v>152844.17000000004</v>
      </c>
      <c r="AA33" s="2">
        <f>X33-C32</f>
        <v>0</v>
      </c>
      <c r="AB33" s="2">
        <f>C32-SUM(D33:K33)</f>
        <v>740744.67449999985</v>
      </c>
      <c r="AC33" s="2">
        <f>X33-C32</f>
        <v>0</v>
      </c>
    </row>
    <row r="34" spans="1:29">
      <c r="A34" s="628" t="s">
        <v>1508</v>
      </c>
      <c r="B34" s="630" t="s">
        <v>108</v>
      </c>
      <c r="C34" s="632">
        <f>'PLANILHA ORÇA - CORREGEDORIA'!U270+'PLANILHA ORÇA - EJUD'!U188</f>
        <v>736064.86</v>
      </c>
      <c r="D34" s="542"/>
      <c r="E34" s="542"/>
      <c r="F34" s="542"/>
      <c r="G34" s="542"/>
      <c r="H34" s="543"/>
      <c r="I34" s="542"/>
      <c r="J34" s="539">
        <f>J35/$C$34*100</f>
        <v>24.581938336249337</v>
      </c>
      <c r="K34" s="539">
        <f>K35/$C$34*100</f>
        <v>24.581938336249337</v>
      </c>
      <c r="L34" s="539">
        <f>L35/$C$34*100</f>
        <v>5.648458147500147</v>
      </c>
      <c r="M34" s="539">
        <f t="shared" ref="M34:T34" si="21">M35/$C$34*100</f>
        <v>5.648458147500147</v>
      </c>
      <c r="N34" s="539">
        <f t="shared" si="21"/>
        <v>5.648458147500147</v>
      </c>
      <c r="O34" s="539">
        <f t="shared" si="21"/>
        <v>5.648458147500147</v>
      </c>
      <c r="P34" s="539">
        <f t="shared" si="21"/>
        <v>5.648458147500147</v>
      </c>
      <c r="Q34" s="539">
        <f t="shared" si="21"/>
        <v>5.648458147500147</v>
      </c>
      <c r="R34" s="539">
        <f t="shared" si="21"/>
        <v>5.648458147500147</v>
      </c>
      <c r="S34" s="539">
        <f t="shared" si="21"/>
        <v>5.648458147500147</v>
      </c>
      <c r="T34" s="539">
        <f t="shared" si="21"/>
        <v>5.648458147500147</v>
      </c>
      <c r="U34" s="11"/>
      <c r="V34" s="11"/>
      <c r="W34" s="11"/>
      <c r="X34" s="6">
        <f t="shared" si="14"/>
        <v>100.00000000000003</v>
      </c>
      <c r="Y34" s="6">
        <v>100</v>
      </c>
      <c r="Z34" s="2">
        <f t="shared" si="13"/>
        <v>0</v>
      </c>
    </row>
    <row r="35" spans="1:29">
      <c r="A35" s="629"/>
      <c r="B35" s="631"/>
      <c r="C35" s="633"/>
      <c r="D35" s="541"/>
      <c r="E35" s="541"/>
      <c r="F35" s="541"/>
      <c r="G35" s="541"/>
      <c r="H35" s="544"/>
      <c r="I35" s="541"/>
      <c r="J35" s="540">
        <v>180939.01</v>
      </c>
      <c r="K35" s="540">
        <v>180939.01</v>
      </c>
      <c r="L35" s="540">
        <f>AB35/9</f>
        <v>41576.31555555555</v>
      </c>
      <c r="M35" s="540">
        <f t="shared" ref="M35:T35" si="22">L35</f>
        <v>41576.31555555555</v>
      </c>
      <c r="N35" s="540">
        <f t="shared" si="22"/>
        <v>41576.31555555555</v>
      </c>
      <c r="O35" s="540">
        <f t="shared" si="22"/>
        <v>41576.31555555555</v>
      </c>
      <c r="P35" s="540">
        <f t="shared" si="22"/>
        <v>41576.31555555555</v>
      </c>
      <c r="Q35" s="540">
        <f t="shared" si="22"/>
        <v>41576.31555555555</v>
      </c>
      <c r="R35" s="540">
        <f t="shared" si="22"/>
        <v>41576.31555555555</v>
      </c>
      <c r="S35" s="540">
        <f t="shared" si="22"/>
        <v>41576.31555555555</v>
      </c>
      <c r="T35" s="540">
        <f t="shared" si="22"/>
        <v>41576.31555555555</v>
      </c>
      <c r="U35" s="538"/>
      <c r="V35" s="538"/>
      <c r="W35" s="538"/>
      <c r="X35" s="6">
        <f t="shared" si="14"/>
        <v>736064.85999999987</v>
      </c>
      <c r="Y35" s="8">
        <v>481936.44</v>
      </c>
      <c r="Z35" s="2">
        <f t="shared" si="13"/>
        <v>254128.41999999987</v>
      </c>
      <c r="AA35" s="2">
        <f>X35-C34</f>
        <v>0</v>
      </c>
      <c r="AB35" s="2">
        <f>C34-SUM(D35:K35)</f>
        <v>374186.83999999997</v>
      </c>
      <c r="AC35" s="2">
        <f>X35-C34</f>
        <v>0</v>
      </c>
    </row>
    <row r="36" spans="1:29">
      <c r="A36" s="628" t="s">
        <v>1509</v>
      </c>
      <c r="B36" s="630" t="s">
        <v>110</v>
      </c>
      <c r="C36" s="632">
        <f>'PLANILHA ORÇA - CORREGEDORIA'!U280+'PLANILHA ORÇA - EJUD'!U198</f>
        <v>322371.17000000004</v>
      </c>
      <c r="D36" s="542"/>
      <c r="E36" s="542"/>
      <c r="F36" s="542"/>
      <c r="G36" s="542"/>
      <c r="H36" s="539"/>
      <c r="I36" s="539"/>
      <c r="J36" s="539">
        <f>J37/$C$36*100</f>
        <v>40</v>
      </c>
      <c r="K36" s="539">
        <f>K37/$C$36*100</f>
        <v>10</v>
      </c>
      <c r="L36" s="539">
        <f>L37/$C$36*100</f>
        <v>25</v>
      </c>
      <c r="M36" s="552"/>
      <c r="N36" s="11"/>
      <c r="O36" s="11"/>
      <c r="P36" s="11"/>
      <c r="Q36" s="11"/>
      <c r="R36" s="11"/>
      <c r="S36" s="539">
        <f>S37/$C$36*100</f>
        <v>12.5</v>
      </c>
      <c r="T36" s="539">
        <f>T37/$C$36*100</f>
        <v>12.5</v>
      </c>
      <c r="U36" s="11"/>
      <c r="V36" s="11"/>
      <c r="W36" s="11"/>
      <c r="X36" s="6">
        <f t="shared" si="14"/>
        <v>100</v>
      </c>
      <c r="Y36" s="6">
        <v>100</v>
      </c>
      <c r="Z36" s="2">
        <f t="shared" si="13"/>
        <v>0</v>
      </c>
    </row>
    <row r="37" spans="1:29">
      <c r="A37" s="629"/>
      <c r="B37" s="631"/>
      <c r="C37" s="633"/>
      <c r="D37" s="541"/>
      <c r="E37" s="541"/>
      <c r="F37" s="541"/>
      <c r="G37" s="541"/>
      <c r="H37" s="545"/>
      <c r="I37" s="545"/>
      <c r="J37" s="540">
        <v>128948.46800000001</v>
      </c>
      <c r="K37" s="540">
        <v>32237.117000000002</v>
      </c>
      <c r="L37" s="540">
        <v>80592.79250000001</v>
      </c>
      <c r="M37" s="12"/>
      <c r="N37" s="12"/>
      <c r="O37" s="12"/>
      <c r="P37" s="538"/>
      <c r="Q37" s="538"/>
      <c r="R37" s="548"/>
      <c r="S37" s="550">
        <f>AB37/2</f>
        <v>40296.396250000005</v>
      </c>
      <c r="T37" s="550">
        <f>S37</f>
        <v>40296.396250000005</v>
      </c>
      <c r="U37" s="549"/>
      <c r="V37" s="538"/>
      <c r="W37" s="538"/>
      <c r="X37" s="6">
        <f t="shared" si="14"/>
        <v>322371.17000000004</v>
      </c>
      <c r="Y37" s="8">
        <v>123202.09</v>
      </c>
      <c r="Z37" s="2">
        <f t="shared" si="13"/>
        <v>199169.08000000005</v>
      </c>
      <c r="AA37" s="2">
        <f>X37-C36</f>
        <v>0</v>
      </c>
      <c r="AB37" s="2">
        <f>C36-SUM(D37:L37)</f>
        <v>80592.79250000001</v>
      </c>
      <c r="AC37" s="2">
        <f>X37-C36</f>
        <v>0</v>
      </c>
    </row>
    <row r="38" spans="1:29">
      <c r="A38" s="628" t="s">
        <v>1510</v>
      </c>
      <c r="B38" s="630" t="s">
        <v>114</v>
      </c>
      <c r="C38" s="632">
        <f>'PLANILHA ORÇA - CORREGEDORIA'!U287+'PLANILHA ORÇA - EJUD'!U205</f>
        <v>10693693.85</v>
      </c>
      <c r="D38" s="542"/>
      <c r="E38" s="539">
        <f>E39/$C$38*100</f>
        <v>1.9361498851961239</v>
      </c>
      <c r="F38" s="539"/>
      <c r="G38" s="539">
        <f t="shared" ref="G38:L38" si="23">G39/$C$38*100</f>
        <v>1.9361498851961239</v>
      </c>
      <c r="H38" s="539">
        <f t="shared" si="23"/>
        <v>12.584974253774806</v>
      </c>
      <c r="I38" s="539">
        <f t="shared" si="23"/>
        <v>20.709232684831349</v>
      </c>
      <c r="J38" s="539">
        <f t="shared" si="23"/>
        <v>14.521124138970928</v>
      </c>
      <c r="K38" s="539">
        <f t="shared" si="23"/>
        <v>13.553049196372868</v>
      </c>
      <c r="L38" s="539">
        <f t="shared" si="23"/>
        <v>2.8966099963048166</v>
      </c>
      <c r="M38" s="539">
        <f t="shared" ref="M38:W38" si="24">M39/$C$38*100</f>
        <v>2.8966099963048166</v>
      </c>
      <c r="N38" s="539">
        <f t="shared" si="24"/>
        <v>2.8966099963048166</v>
      </c>
      <c r="O38" s="539">
        <f t="shared" si="24"/>
        <v>2.8966099963048166</v>
      </c>
      <c r="P38" s="539">
        <f t="shared" si="24"/>
        <v>2.8966099963048166</v>
      </c>
      <c r="Q38" s="539">
        <f t="shared" si="24"/>
        <v>2.8966099963048166</v>
      </c>
      <c r="R38" s="539">
        <f t="shared" si="24"/>
        <v>2.8966099963048166</v>
      </c>
      <c r="S38" s="539">
        <f t="shared" si="24"/>
        <v>2.8966099963048166</v>
      </c>
      <c r="T38" s="539">
        <f t="shared" si="24"/>
        <v>2.8966099963048166</v>
      </c>
      <c r="U38" s="539">
        <f t="shared" si="24"/>
        <v>2.8966099963048166</v>
      </c>
      <c r="V38" s="539">
        <f t="shared" si="24"/>
        <v>2.8966099963048166</v>
      </c>
      <c r="W38" s="539">
        <f t="shared" si="24"/>
        <v>2.8966099963048166</v>
      </c>
      <c r="X38" s="6">
        <f t="shared" si="14"/>
        <v>100.00000000000001</v>
      </c>
      <c r="Y38" s="6">
        <v>100</v>
      </c>
      <c r="Z38" s="2">
        <f t="shared" si="13"/>
        <v>0</v>
      </c>
    </row>
    <row r="39" spans="1:29">
      <c r="A39" s="629"/>
      <c r="B39" s="631"/>
      <c r="C39" s="633"/>
      <c r="D39" s="541"/>
      <c r="E39" s="540">
        <v>207045.94119999997</v>
      </c>
      <c r="F39" s="546"/>
      <c r="G39" s="540">
        <v>207045.94119999997</v>
      </c>
      <c r="H39" s="540">
        <v>1345798.6177999997</v>
      </c>
      <c r="I39" s="540">
        <f>2070459.412+144122.53</f>
        <v>2214581.9419999998</v>
      </c>
      <c r="J39" s="540">
        <v>1552844.5589999997</v>
      </c>
      <c r="K39" s="540">
        <v>1449321.5883999998</v>
      </c>
      <c r="L39" s="540">
        <f>AB39/12</f>
        <v>309754.60503333341</v>
      </c>
      <c r="M39" s="7">
        <f t="shared" ref="M39:W39" si="25">L39</f>
        <v>309754.60503333341</v>
      </c>
      <c r="N39" s="7">
        <f t="shared" si="25"/>
        <v>309754.60503333341</v>
      </c>
      <c r="O39" s="7">
        <f t="shared" si="25"/>
        <v>309754.60503333341</v>
      </c>
      <c r="P39" s="7">
        <f t="shared" si="25"/>
        <v>309754.60503333341</v>
      </c>
      <c r="Q39" s="7">
        <f t="shared" si="25"/>
        <v>309754.60503333341</v>
      </c>
      <c r="R39" s="7">
        <f t="shared" si="25"/>
        <v>309754.60503333341</v>
      </c>
      <c r="S39" s="7">
        <f t="shared" si="25"/>
        <v>309754.60503333341</v>
      </c>
      <c r="T39" s="7">
        <f t="shared" si="25"/>
        <v>309754.60503333341</v>
      </c>
      <c r="U39" s="7">
        <f t="shared" si="25"/>
        <v>309754.60503333341</v>
      </c>
      <c r="V39" s="7">
        <f t="shared" si="25"/>
        <v>309754.60503333341</v>
      </c>
      <c r="W39" s="7">
        <f t="shared" si="25"/>
        <v>309754.60503333341</v>
      </c>
      <c r="X39" s="6">
        <f t="shared" si="14"/>
        <v>10693693.850000005</v>
      </c>
      <c r="Y39" s="8">
        <v>5812186.7699999996</v>
      </c>
      <c r="Z39" s="2">
        <f t="shared" si="13"/>
        <v>4881507.0800000057</v>
      </c>
      <c r="AA39" s="2">
        <f>X39-C38</f>
        <v>0</v>
      </c>
      <c r="AB39" s="2">
        <f>C38-SUM(D39:K39)</f>
        <v>3717055.260400001</v>
      </c>
      <c r="AC39" s="2">
        <f>X39-C38</f>
        <v>0</v>
      </c>
    </row>
    <row r="40" spans="1:29">
      <c r="A40" s="628" t="s">
        <v>1511</v>
      </c>
      <c r="B40" s="630" t="s">
        <v>338</v>
      </c>
      <c r="C40" s="632">
        <f>'PLANILHA ORÇA - CORREGEDORIA'!U1227+'PLANILHA ORÇA - EJUD'!U958</f>
        <v>270671.66000000003</v>
      </c>
      <c r="D40" s="542"/>
      <c r="E40" s="542"/>
      <c r="F40" s="542"/>
      <c r="G40" s="542"/>
      <c r="H40" s="543"/>
      <c r="I40" s="542"/>
      <c r="J40" s="542"/>
      <c r="K40" s="542"/>
      <c r="L40" s="539">
        <f>L41/$C$40*100</f>
        <v>24.618825073892108</v>
      </c>
      <c r="M40" s="539">
        <f t="shared" ref="M40:R40" si="26">M41/$C$40*100</f>
        <v>12.563529154351317</v>
      </c>
      <c r="N40" s="539">
        <f t="shared" si="26"/>
        <v>12.563529154351317</v>
      </c>
      <c r="O40" s="539">
        <f t="shared" si="26"/>
        <v>12.563529154351317</v>
      </c>
      <c r="P40" s="539">
        <f t="shared" si="26"/>
        <v>12.563529154351317</v>
      </c>
      <c r="Q40" s="539">
        <f t="shared" si="26"/>
        <v>12.563529154351317</v>
      </c>
      <c r="R40" s="539">
        <f t="shared" si="26"/>
        <v>12.563529154351317</v>
      </c>
      <c r="S40" s="5"/>
      <c r="T40" s="5"/>
      <c r="U40" s="5"/>
      <c r="V40" s="5"/>
      <c r="W40" s="5"/>
      <c r="X40" s="6">
        <f t="shared" si="14"/>
        <v>100</v>
      </c>
      <c r="Y40" s="6">
        <v>100</v>
      </c>
      <c r="Z40" s="2">
        <f t="shared" si="13"/>
        <v>0</v>
      </c>
    </row>
    <row r="41" spans="1:29">
      <c r="A41" s="629"/>
      <c r="B41" s="631"/>
      <c r="C41" s="633"/>
      <c r="D41" s="541"/>
      <c r="E41" s="541"/>
      <c r="F41" s="541"/>
      <c r="G41" s="541"/>
      <c r="H41" s="544"/>
      <c r="I41" s="541"/>
      <c r="J41" s="541"/>
      <c r="K41" s="541"/>
      <c r="L41" s="540">
        <v>66636.182499999995</v>
      </c>
      <c r="M41" s="7">
        <f>AB41/6</f>
        <v>34005.912916666675</v>
      </c>
      <c r="N41" s="7">
        <f>M41</f>
        <v>34005.912916666675</v>
      </c>
      <c r="O41" s="7">
        <f>N41</f>
        <v>34005.912916666675</v>
      </c>
      <c r="P41" s="7">
        <f>O41</f>
        <v>34005.912916666675</v>
      </c>
      <c r="Q41" s="7">
        <f>P41</f>
        <v>34005.912916666675</v>
      </c>
      <c r="R41" s="7">
        <f>Q41</f>
        <v>34005.912916666675</v>
      </c>
      <c r="S41" s="22"/>
      <c r="T41" s="145"/>
      <c r="U41" s="145"/>
      <c r="V41" s="145"/>
      <c r="W41" s="145"/>
      <c r="X41" s="6">
        <f t="shared" si="14"/>
        <v>270671.66000000009</v>
      </c>
      <c r="Y41" s="8">
        <v>78176.5</v>
      </c>
      <c r="Z41" s="2">
        <f t="shared" si="13"/>
        <v>192495.16000000009</v>
      </c>
      <c r="AA41" s="2">
        <f>X41-C40</f>
        <v>0</v>
      </c>
      <c r="AB41" s="2">
        <f>C40-SUM(D41:L41)</f>
        <v>204035.47750000004</v>
      </c>
      <c r="AC41" s="2">
        <f>X41-C40</f>
        <v>0</v>
      </c>
    </row>
    <row r="42" spans="1:29">
      <c r="A42" s="628" t="s">
        <v>1512</v>
      </c>
      <c r="B42" s="630" t="s">
        <v>344</v>
      </c>
      <c r="C42" s="632">
        <f>'PLANILHA ORÇA - CORREGEDORIA'!U1241+'PLANILHA ORÇA - EJUD'!U972</f>
        <v>103868.39</v>
      </c>
      <c r="D42" s="542"/>
      <c r="E42" s="539">
        <f>E43/$C$42*100</f>
        <v>27.114629388209444</v>
      </c>
      <c r="F42" s="539"/>
      <c r="G42" s="539">
        <f t="shared" ref="G42:M42" si="27">G43/$C$42*100</f>
        <v>9.0382097960698147</v>
      </c>
      <c r="H42" s="539">
        <f t="shared" si="27"/>
        <v>4.5191048980349073</v>
      </c>
      <c r="I42" s="539">
        <f t="shared" si="27"/>
        <v>9.0382097960698147</v>
      </c>
      <c r="J42" s="539">
        <f t="shared" si="27"/>
        <v>4.5191048980349073</v>
      </c>
      <c r="K42" s="539">
        <f t="shared" si="27"/>
        <v>4.5191048980349073</v>
      </c>
      <c r="L42" s="539">
        <f t="shared" si="27"/>
        <v>13.557314694104722</v>
      </c>
      <c r="M42" s="539">
        <f t="shared" si="27"/>
        <v>27.694321631441486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6">
        <f t="shared" si="14"/>
        <v>100</v>
      </c>
      <c r="Y42" s="6">
        <v>100</v>
      </c>
      <c r="Z42" s="2">
        <f t="shared" si="13"/>
        <v>0</v>
      </c>
    </row>
    <row r="43" spans="1:29">
      <c r="A43" s="629"/>
      <c r="B43" s="631"/>
      <c r="C43" s="633"/>
      <c r="D43" s="541"/>
      <c r="E43" s="540">
        <v>28163.528999999999</v>
      </c>
      <c r="F43" s="545"/>
      <c r="G43" s="540">
        <v>9387.8429999999989</v>
      </c>
      <c r="H43" s="540">
        <v>4693.9214999999995</v>
      </c>
      <c r="I43" s="540">
        <v>9387.8429999999989</v>
      </c>
      <c r="J43" s="540">
        <v>4693.9214999999995</v>
      </c>
      <c r="K43" s="540">
        <v>4693.9214999999995</v>
      </c>
      <c r="L43" s="540">
        <v>14081.764499999999</v>
      </c>
      <c r="M43" s="7">
        <f>AB43</f>
        <v>28765.646000000008</v>
      </c>
      <c r="N43" s="12"/>
      <c r="O43" s="12"/>
      <c r="P43" s="538"/>
      <c r="Q43" s="538"/>
      <c r="R43" s="538"/>
      <c r="S43" s="538"/>
      <c r="T43" s="538"/>
      <c r="U43" s="538"/>
      <c r="V43" s="538"/>
      <c r="W43" s="538"/>
      <c r="X43" s="6">
        <f t="shared" si="14"/>
        <v>103868.39</v>
      </c>
      <c r="Y43" s="8">
        <v>33643.1</v>
      </c>
      <c r="Z43" s="2">
        <f t="shared" si="13"/>
        <v>70225.290000000008</v>
      </c>
      <c r="AA43" s="2">
        <f>X43-C42</f>
        <v>0</v>
      </c>
      <c r="AB43" s="2">
        <f>C42-SUM(D43:L43)</f>
        <v>28765.646000000008</v>
      </c>
      <c r="AC43" s="2">
        <f>X43-C42</f>
        <v>0</v>
      </c>
    </row>
    <row r="44" spans="1:29">
      <c r="A44" s="628" t="s">
        <v>1513</v>
      </c>
      <c r="B44" s="630" t="s">
        <v>348</v>
      </c>
      <c r="C44" s="632">
        <f>'PLANILHA ORÇA - CORREGEDORIA'!U1247+'PLANILHA ORÇA - EJUD'!U977</f>
        <v>114424.07</v>
      </c>
      <c r="D44" s="542"/>
      <c r="E44" s="542"/>
      <c r="F44" s="542"/>
      <c r="G44" s="542"/>
      <c r="H44" s="543"/>
      <c r="I44" s="542"/>
      <c r="J44" s="542"/>
      <c r="K44" s="539">
        <f>K45/$C$44*100</f>
        <v>21.307959068402308</v>
      </c>
      <c r="L44" s="539">
        <f>L45/$C$44*100</f>
        <v>21.307959068402308</v>
      </c>
      <c r="M44" s="5"/>
      <c r="N44" s="5"/>
      <c r="O44" s="5"/>
      <c r="P44" s="5"/>
      <c r="Q44" s="5"/>
      <c r="R44" s="5"/>
      <c r="S44" s="5"/>
      <c r="T44" s="5"/>
      <c r="U44" s="539">
        <f>U45/$C$44*100</f>
        <v>19.12802728773179</v>
      </c>
      <c r="V44" s="539">
        <f>V45/$C$44*100</f>
        <v>19.12802728773179</v>
      </c>
      <c r="W44" s="539">
        <f>W45/$C$44*100</f>
        <v>19.12802728773179</v>
      </c>
      <c r="X44" s="6">
        <f t="shared" si="14"/>
        <v>99.999999999999972</v>
      </c>
      <c r="Y44" s="6">
        <v>100</v>
      </c>
      <c r="Z44" s="2">
        <f t="shared" si="13"/>
        <v>0</v>
      </c>
    </row>
    <row r="45" spans="1:29">
      <c r="A45" s="629"/>
      <c r="B45" s="631"/>
      <c r="C45" s="633"/>
      <c r="D45" s="541"/>
      <c r="E45" s="541"/>
      <c r="F45" s="541"/>
      <c r="G45" s="541"/>
      <c r="H45" s="544"/>
      <c r="I45" s="541"/>
      <c r="J45" s="541"/>
      <c r="K45" s="540">
        <v>24381.434000000005</v>
      </c>
      <c r="L45" s="540">
        <v>24381.434000000005</v>
      </c>
      <c r="M45" s="149"/>
      <c r="N45" s="149"/>
      <c r="O45" s="149"/>
      <c r="P45" s="554"/>
      <c r="Q45" s="554"/>
      <c r="R45" s="554"/>
      <c r="S45" s="554"/>
      <c r="T45" s="554"/>
      <c r="U45" s="537">
        <f>AB45/3</f>
        <v>21887.067333333329</v>
      </c>
      <c r="V45" s="7">
        <f>U45</f>
        <v>21887.067333333329</v>
      </c>
      <c r="W45" s="7">
        <f>V45</f>
        <v>21887.067333333329</v>
      </c>
      <c r="X45" s="6">
        <f t="shared" si="14"/>
        <v>114424.06999999999</v>
      </c>
      <c r="Y45" s="8">
        <v>107014.39</v>
      </c>
      <c r="Z45" s="2">
        <f t="shared" si="13"/>
        <v>7409.679999999993</v>
      </c>
      <c r="AA45" s="2">
        <f>X45-C44</f>
        <v>0</v>
      </c>
      <c r="AB45" s="2">
        <f>C44-SUM(D45:L45)</f>
        <v>65661.20199999999</v>
      </c>
      <c r="AC45" s="2">
        <f>X45-C44</f>
        <v>0</v>
      </c>
    </row>
    <row r="46" spans="1:29">
      <c r="A46" s="628" t="s">
        <v>1514</v>
      </c>
      <c r="B46" s="630" t="s">
        <v>351</v>
      </c>
      <c r="C46" s="632">
        <f>'PLANILHA ORÇA - CORREGEDORIA'!U1251+'PLANILHA ORÇA - EJUD'!U982</f>
        <v>167578.31</v>
      </c>
      <c r="D46" s="542"/>
      <c r="E46" s="542"/>
      <c r="F46" s="542"/>
      <c r="G46" s="542"/>
      <c r="H46" s="543"/>
      <c r="I46" s="542"/>
      <c r="J46" s="539">
        <f>J47/$C$46*100</f>
        <v>2.5149898575776306</v>
      </c>
      <c r="K46" s="539">
        <f>K47/$C$46*100</f>
        <v>10.059959430310522</v>
      </c>
      <c r="L46" s="539">
        <f>L47/$C$46*100</f>
        <v>15.089939145465783</v>
      </c>
      <c r="M46" s="145"/>
      <c r="N46" s="145"/>
      <c r="O46" s="552"/>
      <c r="P46" s="552"/>
      <c r="Q46" s="552"/>
      <c r="R46" s="552"/>
      <c r="S46" s="552"/>
      <c r="T46" s="552"/>
      <c r="U46" s="539">
        <f>U47/$C$46*100</f>
        <v>24.11170385554869</v>
      </c>
      <c r="V46" s="539">
        <f>V47/$C$46*100</f>
        <v>24.11170385554869</v>
      </c>
      <c r="W46" s="539">
        <f>W47/$C$46*100</f>
        <v>24.11170385554869</v>
      </c>
      <c r="X46" s="6">
        <f t="shared" si="14"/>
        <v>100</v>
      </c>
      <c r="Y46" s="6">
        <v>100</v>
      </c>
      <c r="Z46" s="2">
        <f t="shared" si="13"/>
        <v>0</v>
      </c>
    </row>
    <row r="47" spans="1:29">
      <c r="A47" s="629"/>
      <c r="B47" s="631"/>
      <c r="C47" s="633"/>
      <c r="D47" s="541"/>
      <c r="E47" s="541"/>
      <c r="F47" s="541"/>
      <c r="G47" s="541"/>
      <c r="H47" s="544"/>
      <c r="I47" s="541"/>
      <c r="J47" s="540">
        <v>4214.5775000000003</v>
      </c>
      <c r="K47" s="540">
        <v>16858.310000000001</v>
      </c>
      <c r="L47" s="540">
        <v>25287.465</v>
      </c>
      <c r="M47" s="22"/>
      <c r="N47" s="22"/>
      <c r="O47" s="553"/>
      <c r="P47" s="547"/>
      <c r="Q47" s="547"/>
      <c r="R47" s="547"/>
      <c r="S47" s="547"/>
      <c r="T47" s="547"/>
      <c r="U47" s="7">
        <f>AB47/3</f>
        <v>40405.985833333332</v>
      </c>
      <c r="V47" s="7">
        <f>U47</f>
        <v>40405.985833333332</v>
      </c>
      <c r="W47" s="7">
        <f>V47</f>
        <v>40405.985833333332</v>
      </c>
      <c r="X47" s="6">
        <f t="shared" si="14"/>
        <v>167578.31</v>
      </c>
      <c r="Y47" s="8">
        <v>44181.25</v>
      </c>
      <c r="Z47" s="2">
        <f t="shared" si="13"/>
        <v>123397.06</v>
      </c>
      <c r="AA47" s="2">
        <f>X47-C46</f>
        <v>0</v>
      </c>
      <c r="AB47" s="2">
        <f>C46-SUM(D47:L47)</f>
        <v>121217.95749999999</v>
      </c>
      <c r="AC47" s="2">
        <f>X47-C46</f>
        <v>0</v>
      </c>
    </row>
    <row r="48" spans="1:29">
      <c r="A48" s="628" t="s">
        <v>1515</v>
      </c>
      <c r="B48" s="630" t="s">
        <v>360</v>
      </c>
      <c r="C48" s="632">
        <f>'PLANILHA ORÇA - CORREGEDORIA'!U1273+'PLANILHA ORÇA - EJUD'!U1006</f>
        <v>15285.07</v>
      </c>
      <c r="D48" s="542"/>
      <c r="E48" s="542"/>
      <c r="F48" s="542"/>
      <c r="G48" s="542"/>
      <c r="H48" s="543"/>
      <c r="I48" s="542"/>
      <c r="J48" s="539">
        <f>J49/$C$48*100</f>
        <v>20</v>
      </c>
      <c r="K48" s="539">
        <f>K49/$C$48*100</f>
        <v>20</v>
      </c>
      <c r="L48" s="539">
        <f>L49/$C$48*100</f>
        <v>20</v>
      </c>
      <c r="M48" s="5"/>
      <c r="N48" s="5"/>
      <c r="O48" s="5"/>
      <c r="P48" s="5"/>
      <c r="Q48" s="5"/>
      <c r="R48" s="5"/>
      <c r="S48" s="5"/>
      <c r="T48" s="5"/>
      <c r="U48" s="5"/>
      <c r="V48" s="539">
        <f>V49/$C$48*100</f>
        <v>19.999999999999996</v>
      </c>
      <c r="W48" s="539">
        <f>W49/$C$48*100</f>
        <v>19.999999999999996</v>
      </c>
      <c r="X48" s="6">
        <f t="shared" si="14"/>
        <v>100</v>
      </c>
      <c r="Y48" s="6">
        <v>100</v>
      </c>
      <c r="Z48" s="2">
        <f t="shared" si="13"/>
        <v>0</v>
      </c>
    </row>
    <row r="49" spans="1:29">
      <c r="A49" s="629"/>
      <c r="B49" s="631"/>
      <c r="C49" s="633"/>
      <c r="D49" s="541"/>
      <c r="E49" s="541"/>
      <c r="F49" s="541"/>
      <c r="G49" s="541"/>
      <c r="H49" s="544"/>
      <c r="I49" s="541"/>
      <c r="J49" s="540">
        <v>3057.0140000000001</v>
      </c>
      <c r="K49" s="540">
        <v>3057.0140000000001</v>
      </c>
      <c r="L49" s="540">
        <v>3057.0140000000001</v>
      </c>
      <c r="M49" s="22"/>
      <c r="N49" s="22"/>
      <c r="O49" s="22"/>
      <c r="P49" s="145"/>
      <c r="Q49" s="145"/>
      <c r="R49" s="145"/>
      <c r="S49" s="145"/>
      <c r="T49" s="145"/>
      <c r="U49" s="145"/>
      <c r="V49" s="537">
        <f>AB49/2</f>
        <v>3057.0139999999992</v>
      </c>
      <c r="W49" s="537">
        <f>V49</f>
        <v>3057.0139999999992</v>
      </c>
      <c r="X49" s="6">
        <f t="shared" si="14"/>
        <v>15285.07</v>
      </c>
      <c r="Y49" s="8">
        <v>8898.26</v>
      </c>
      <c r="Z49" s="2">
        <f t="shared" si="13"/>
        <v>6386.8099999999995</v>
      </c>
      <c r="AA49" s="2">
        <f>X49-C48</f>
        <v>0</v>
      </c>
      <c r="AB49" s="2">
        <f>C48-SUM(D49:L49)</f>
        <v>6114.0279999999984</v>
      </c>
      <c r="AC49" s="2">
        <f>X49-C48</f>
        <v>0</v>
      </c>
    </row>
    <row r="50" spans="1:29">
      <c r="A50" s="13"/>
      <c r="B50" s="14"/>
      <c r="C50" s="636">
        <f>ROUND(SUM(C8:C49),2)</f>
        <v>23049934.399999999</v>
      </c>
      <c r="D50" s="9">
        <f>ROUND(D49+D47+D45+D43+D41+D39+D37+D35+D33+D31+D29+D27+D25+D23+D21+D19+D17+D15+D13+D11+D9,2)</f>
        <v>304737.58</v>
      </c>
      <c r="E50" s="9">
        <f>ROUND(E49+E47+E45+E43+E41+E39+E37+E35+E33+E31+E29+E27+E25+E23+E21+E19+E17+E15+E13+E11+E9,2)</f>
        <v>848560.53</v>
      </c>
      <c r="F50" s="9">
        <f t="shared" ref="F50:L50" si="28">ROUND(F49+F47+F45+F43+F41+F39+F37+F35+F33+F31+F29+F27+F25+F23+F21+F19+F17+F15+F13+F11+F9,2)</f>
        <v>1237554.74</v>
      </c>
      <c r="G50" s="9">
        <f t="shared" si="28"/>
        <v>1318982.33</v>
      </c>
      <c r="H50" s="9">
        <f t="shared" si="28"/>
        <v>2372610.29</v>
      </c>
      <c r="I50" s="9">
        <f t="shared" si="28"/>
        <v>2802496.48</v>
      </c>
      <c r="J50" s="9">
        <f t="shared" si="28"/>
        <v>2534353.5299999998</v>
      </c>
      <c r="K50" s="9">
        <f t="shared" si="28"/>
        <v>2632201.81</v>
      </c>
      <c r="L50" s="9">
        <f t="shared" si="28"/>
        <v>1032207.98</v>
      </c>
      <c r="M50" s="9">
        <f t="shared" ref="M50:U50" si="29">ROUND(M49+M47+M45+M43+M41+M39+M37+M35+M33+M31+M29+M27+M25+M23+M21+M19+M17+M15+M13+M11+M9,2)</f>
        <v>1042219.88</v>
      </c>
      <c r="N50" s="9">
        <f t="shared" si="29"/>
        <v>1013454.23</v>
      </c>
      <c r="O50" s="9">
        <f t="shared" si="29"/>
        <v>953649.44</v>
      </c>
      <c r="P50" s="9">
        <f t="shared" si="29"/>
        <v>770381.15</v>
      </c>
      <c r="Q50" s="9">
        <f t="shared" si="29"/>
        <v>820479.59</v>
      </c>
      <c r="R50" s="9">
        <f t="shared" si="29"/>
        <v>800656.81</v>
      </c>
      <c r="S50" s="9">
        <f t="shared" si="29"/>
        <v>682832.51</v>
      </c>
      <c r="T50" s="9">
        <f t="shared" si="29"/>
        <v>617624.85</v>
      </c>
      <c r="U50" s="9">
        <f t="shared" si="29"/>
        <v>419605.55</v>
      </c>
      <c r="V50" s="9">
        <f t="shared" ref="V50" si="30">ROUND(V49+V47+V45+V43+V41+V39+V37+V35+V33+V31+V29+V27+V25+V23+V21+V19+V17+V15+V13+V11+V9,2)</f>
        <v>422662.56</v>
      </c>
      <c r="W50" s="9">
        <f>ROUND(W49+W47+W45+W43+W41+W39+W37+W35+W33+W31+W29+W27+W25+W23+W21+W19+W17+W15+W13+W11+W9,2)</f>
        <v>422662.56</v>
      </c>
      <c r="X50" s="634">
        <f>X49+X47+X45+X43+X41+X39+X37+X35+X33+X31+X29+X27+X25+X23+X21+X19+X17+X15+X13+X11+X9</f>
        <v>23049934.400000002</v>
      </c>
      <c r="Y50" s="626">
        <v>12391443.24</v>
      </c>
      <c r="Z50" s="2">
        <f t="shared" si="13"/>
        <v>10658491.160000002</v>
      </c>
    </row>
    <row r="51" spans="1:29">
      <c r="A51" s="15"/>
      <c r="B51" s="16"/>
      <c r="C51" s="637"/>
      <c r="D51" s="7">
        <f>D50</f>
        <v>304737.58</v>
      </c>
      <c r="E51" s="7">
        <f>D51+E50</f>
        <v>1153298.1100000001</v>
      </c>
      <c r="F51" s="7">
        <f t="shared" ref="F51:N51" si="31">E51+F50</f>
        <v>2390852.85</v>
      </c>
      <c r="G51" s="7">
        <f t="shared" si="31"/>
        <v>3709835.18</v>
      </c>
      <c r="H51" s="7">
        <f t="shared" si="31"/>
        <v>6082445.4700000007</v>
      </c>
      <c r="I51" s="7">
        <f t="shared" si="31"/>
        <v>8884941.9500000011</v>
      </c>
      <c r="J51" s="7">
        <f t="shared" si="31"/>
        <v>11419295.48</v>
      </c>
      <c r="K51" s="7">
        <f t="shared" si="31"/>
        <v>14051497.290000001</v>
      </c>
      <c r="L51" s="7">
        <f t="shared" si="31"/>
        <v>15083705.270000001</v>
      </c>
      <c r="M51" s="7">
        <f t="shared" si="31"/>
        <v>16125925.150000002</v>
      </c>
      <c r="N51" s="7">
        <f t="shared" si="31"/>
        <v>17139379.380000003</v>
      </c>
      <c r="O51" s="7">
        <f>N51+O50</f>
        <v>18093028.820000004</v>
      </c>
      <c r="P51" s="7">
        <f t="shared" ref="P51:W51" si="32">O51+P50</f>
        <v>18863409.970000003</v>
      </c>
      <c r="Q51" s="7">
        <f t="shared" si="32"/>
        <v>19683889.560000002</v>
      </c>
      <c r="R51" s="7">
        <f t="shared" si="32"/>
        <v>20484546.370000001</v>
      </c>
      <c r="S51" s="7">
        <f t="shared" si="32"/>
        <v>21167378.880000003</v>
      </c>
      <c r="T51" s="7">
        <f t="shared" si="32"/>
        <v>21785003.730000004</v>
      </c>
      <c r="U51" s="7">
        <f t="shared" si="32"/>
        <v>22204609.280000005</v>
      </c>
      <c r="V51" s="7">
        <f t="shared" si="32"/>
        <v>22627271.840000004</v>
      </c>
      <c r="W51" s="7">
        <f t="shared" si="32"/>
        <v>23049934.400000002</v>
      </c>
      <c r="X51" s="635">
        <f>X50+X48+X46+X44+X42+X40+X38+X36+X34+X32+X30+X28+X26+X24+X22+X20+X18+X16+X14+X12+X10</f>
        <v>23051934.403361659</v>
      </c>
      <c r="Y51" s="627"/>
      <c r="Z51" s="2">
        <f>X50-Y50</f>
        <v>10658491.160000002</v>
      </c>
    </row>
    <row r="52" spans="1:29">
      <c r="A52" s="399"/>
      <c r="B52" s="399"/>
      <c r="C52" s="400"/>
      <c r="D52" s="569">
        <f>D50/$W$51</f>
        <v>1.3220756931958989E-2</v>
      </c>
      <c r="E52" s="569">
        <f t="shared" ref="E52:W52" si="33">E50/$W$51</f>
        <v>3.6814010629028081E-2</v>
      </c>
      <c r="F52" s="569">
        <f t="shared" si="33"/>
        <v>5.3690163213653219E-2</v>
      </c>
      <c r="G52" s="569">
        <f t="shared" si="33"/>
        <v>5.7222823592938295E-2</v>
      </c>
      <c r="H52" s="569">
        <f t="shared" si="33"/>
        <v>0.10293349424890337</v>
      </c>
      <c r="I52" s="569">
        <f t="shared" si="33"/>
        <v>0.12158370741393519</v>
      </c>
      <c r="J52" s="569">
        <f t="shared" si="33"/>
        <v>0.10995057452311012</v>
      </c>
      <c r="K52" s="569">
        <f t="shared" si="33"/>
        <v>0.11419563128995282</v>
      </c>
      <c r="L52" s="569">
        <f t="shared" si="33"/>
        <v>4.4781384714049334E-2</v>
      </c>
      <c r="M52" s="569">
        <f t="shared" si="33"/>
        <v>4.5215741698596761E-2</v>
      </c>
      <c r="N52" s="569">
        <f t="shared" si="33"/>
        <v>4.3967770684848452E-2</v>
      </c>
      <c r="O52" s="569">
        <f t="shared" si="33"/>
        <v>4.1373195404842446E-2</v>
      </c>
      <c r="P52" s="569">
        <f t="shared" si="33"/>
        <v>3.3422270824336922E-2</v>
      </c>
      <c r="Q52" s="569">
        <f t="shared" si="33"/>
        <v>3.559574512281475E-2</v>
      </c>
      <c r="R52" s="569">
        <f t="shared" si="33"/>
        <v>3.4735752219754688E-2</v>
      </c>
      <c r="S52" s="569">
        <f t="shared" si="33"/>
        <v>2.9624054374749107E-2</v>
      </c>
      <c r="T52" s="569">
        <f t="shared" si="33"/>
        <v>2.6795080596845426E-2</v>
      </c>
      <c r="U52" s="569">
        <f t="shared" si="33"/>
        <v>1.8204197145133737E-2</v>
      </c>
      <c r="V52" s="569">
        <f t="shared" si="33"/>
        <v>1.8336822685274104E-2</v>
      </c>
      <c r="W52" s="569">
        <f t="shared" si="33"/>
        <v>1.8336822685274104E-2</v>
      </c>
      <c r="X52" s="402"/>
      <c r="Y52" s="397"/>
    </row>
    <row r="53" spans="1:29">
      <c r="A53" s="399"/>
      <c r="B53" s="399"/>
      <c r="C53" s="400"/>
      <c r="D53" s="570">
        <f>D51/$W$51</f>
        <v>1.3220756931958989E-2</v>
      </c>
      <c r="E53" s="570">
        <f t="shared" ref="E53:W53" si="34">E51/$W$51</f>
        <v>5.003476756098707E-2</v>
      </c>
      <c r="F53" s="570">
        <f t="shared" si="34"/>
        <v>0.10372493077464029</v>
      </c>
      <c r="G53" s="570">
        <f t="shared" si="34"/>
        <v>0.16094775436757858</v>
      </c>
      <c r="H53" s="570">
        <f t="shared" si="34"/>
        <v>0.26388124861648199</v>
      </c>
      <c r="I53" s="570">
        <f t="shared" si="34"/>
        <v>0.38546495603041719</v>
      </c>
      <c r="J53" s="570">
        <f t="shared" si="34"/>
        <v>0.49541553055352727</v>
      </c>
      <c r="K53" s="570">
        <f t="shared" si="34"/>
        <v>0.60961116184348008</v>
      </c>
      <c r="L53" s="570">
        <f t="shared" si="34"/>
        <v>0.65439254655752943</v>
      </c>
      <c r="M53" s="570">
        <f t="shared" si="34"/>
        <v>0.69960828825612631</v>
      </c>
      <c r="N53" s="570">
        <f t="shared" si="34"/>
        <v>0.74357605894097478</v>
      </c>
      <c r="O53" s="570">
        <f t="shared" si="34"/>
        <v>0.78494925434581719</v>
      </c>
      <c r="P53" s="570">
        <f t="shared" si="34"/>
        <v>0.8183715251701541</v>
      </c>
      <c r="Q53" s="570">
        <f t="shared" si="34"/>
        <v>0.85396727029296882</v>
      </c>
      <c r="R53" s="569">
        <f t="shared" si="34"/>
        <v>0.88870302251272348</v>
      </c>
      <c r="S53" s="569">
        <f t="shared" si="34"/>
        <v>0.91832707688747262</v>
      </c>
      <c r="T53" s="569">
        <f t="shared" si="34"/>
        <v>0.94512215748431816</v>
      </c>
      <c r="U53" s="569">
        <f t="shared" si="34"/>
        <v>0.96332635462945193</v>
      </c>
      <c r="V53" s="569">
        <f t="shared" si="34"/>
        <v>0.98166317731472597</v>
      </c>
      <c r="W53" s="569">
        <f t="shared" si="34"/>
        <v>1</v>
      </c>
      <c r="X53" s="402"/>
      <c r="Y53" s="397"/>
    </row>
    <row r="54" spans="1:29">
      <c r="A54" s="399"/>
      <c r="B54" s="399"/>
      <c r="C54" s="400"/>
      <c r="D54" s="401"/>
      <c r="E54" s="401"/>
      <c r="F54" s="401"/>
      <c r="G54" s="401"/>
      <c r="H54" s="401"/>
      <c r="I54" s="401">
        <f>I50-614510.2</f>
        <v>2187986.2800000003</v>
      </c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555">
        <f>W50/W51</f>
        <v>1.8336822685274104E-2</v>
      </c>
      <c r="Y54" s="397"/>
    </row>
    <row r="55" spans="1:29">
      <c r="A55" s="399"/>
      <c r="B55" s="399"/>
      <c r="C55" s="400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2"/>
      <c r="Y55" s="397"/>
    </row>
    <row r="56" spans="1:29">
      <c r="A56" s="392"/>
      <c r="B56" s="393"/>
      <c r="C56" s="394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6"/>
      <c r="Y56" s="397"/>
    </row>
    <row r="57" spans="1:29" hidden="1">
      <c r="C57" s="2">
        <f>'PLANILHA ORÇA - CORREGEDORIA'!I1279+'PLANILHA ORÇA - EJUD'!X1011</f>
        <v>16031069.390000001</v>
      </c>
      <c r="O57" s="215">
        <f>O50/O51</f>
        <v>5.2708114793131672E-2</v>
      </c>
      <c r="P57" s="215"/>
      <c r="Q57" s="215"/>
      <c r="R57" s="215"/>
      <c r="S57" s="215"/>
      <c r="T57" s="215"/>
      <c r="U57" s="215"/>
      <c r="V57" s="215"/>
      <c r="W57" s="215"/>
    </row>
    <row r="58" spans="1:29" hidden="1">
      <c r="D58" s="2">
        <f>ROUND(D50,2)</f>
        <v>304737.58</v>
      </c>
      <c r="E58" s="2">
        <f t="shared" ref="E58:O58" si="35">ROUND(E50,2)</f>
        <v>848560.53</v>
      </c>
      <c r="F58" s="2">
        <f t="shared" si="35"/>
        <v>1237554.74</v>
      </c>
      <c r="G58" s="2">
        <f t="shared" si="35"/>
        <v>1318982.33</v>
      </c>
      <c r="H58" s="2">
        <f t="shared" si="35"/>
        <v>2372610.29</v>
      </c>
      <c r="I58" s="2">
        <f t="shared" si="35"/>
        <v>2802496.48</v>
      </c>
      <c r="J58" s="2">
        <f t="shared" si="35"/>
        <v>2534353.5299999998</v>
      </c>
      <c r="K58" s="2">
        <f t="shared" si="35"/>
        <v>2632201.81</v>
      </c>
      <c r="L58" s="2">
        <f t="shared" si="35"/>
        <v>1032207.98</v>
      </c>
      <c r="M58" s="2">
        <f t="shared" si="35"/>
        <v>1042219.88</v>
      </c>
      <c r="N58" s="2">
        <f t="shared" si="35"/>
        <v>1013454.23</v>
      </c>
      <c r="O58" s="2">
        <f t="shared" si="35"/>
        <v>953649.44</v>
      </c>
      <c r="X58" s="2">
        <f>SUM(D58:O58)</f>
        <v>18093028.820000004</v>
      </c>
    </row>
    <row r="59" spans="1:29">
      <c r="C59" s="100"/>
      <c r="D59" s="100"/>
      <c r="E59" s="625"/>
      <c r="F59" s="625"/>
    </row>
    <row r="60" spans="1:29">
      <c r="F60" s="35"/>
    </row>
    <row r="61" spans="1:29">
      <c r="F61" s="35"/>
    </row>
    <row r="62" spans="1:29">
      <c r="F62" s="35"/>
    </row>
    <row r="63" spans="1:29">
      <c r="B63" s="220"/>
      <c r="C63" s="220"/>
      <c r="D63" s="220"/>
      <c r="E63" s="220"/>
      <c r="F63" s="219"/>
    </row>
    <row r="64" spans="1:29">
      <c r="F64" s="35"/>
    </row>
    <row r="65" spans="2:6">
      <c r="B65" s="220"/>
      <c r="C65" s="220"/>
      <c r="D65" s="220"/>
      <c r="E65" s="220"/>
      <c r="F65" s="219"/>
    </row>
    <row r="66" spans="2:6">
      <c r="F66" s="35"/>
    </row>
    <row r="67" spans="2:6">
      <c r="B67" s="220"/>
      <c r="C67" s="220"/>
      <c r="D67" s="220"/>
      <c r="E67" s="220"/>
      <c r="F67" s="219"/>
    </row>
    <row r="68" spans="2:6">
      <c r="F68" s="35"/>
    </row>
    <row r="69" spans="2:6">
      <c r="F69" s="35"/>
    </row>
    <row r="70" spans="2:6">
      <c r="B70" s="220"/>
      <c r="C70" s="220"/>
      <c r="D70" s="220"/>
      <c r="E70" s="220"/>
      <c r="F70" s="219"/>
    </row>
    <row r="71" spans="2:6">
      <c r="F71" s="35"/>
    </row>
    <row r="72" spans="2:6">
      <c r="F72" s="35"/>
    </row>
    <row r="73" spans="2:6">
      <c r="F73" s="35"/>
    </row>
    <row r="74" spans="2:6">
      <c r="F74" s="35"/>
    </row>
    <row r="75" spans="2:6">
      <c r="F75" s="35"/>
    </row>
    <row r="76" spans="2:6">
      <c r="F76" s="35"/>
    </row>
    <row r="77" spans="2:6">
      <c r="F77" s="35"/>
    </row>
    <row r="78" spans="2:6">
      <c r="F78" s="35"/>
    </row>
    <row r="79" spans="2:6">
      <c r="F79" s="35"/>
    </row>
    <row r="80" spans="2:6">
      <c r="F80" s="35"/>
    </row>
  </sheetData>
  <mergeCells count="73">
    <mergeCell ref="A1:X1"/>
    <mergeCell ref="A2:B3"/>
    <mergeCell ref="C2:J3"/>
    <mergeCell ref="K2:X5"/>
    <mergeCell ref="A4:B5"/>
    <mergeCell ref="C4:J5"/>
    <mergeCell ref="X50:X51"/>
    <mergeCell ref="A48:A49"/>
    <mergeCell ref="B48:B49"/>
    <mergeCell ref="C48:C49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8:A39"/>
    <mergeCell ref="B38:B39"/>
    <mergeCell ref="C38:C39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C22:C23"/>
    <mergeCell ref="A30:A31"/>
    <mergeCell ref="B30:B31"/>
    <mergeCell ref="C30:C31"/>
    <mergeCell ref="A26:A27"/>
    <mergeCell ref="B26:B27"/>
    <mergeCell ref="C26:C27"/>
    <mergeCell ref="A28:A29"/>
    <mergeCell ref="B28:B29"/>
    <mergeCell ref="C28:C29"/>
    <mergeCell ref="A8:A9"/>
    <mergeCell ref="B8:B9"/>
    <mergeCell ref="C8:C9"/>
    <mergeCell ref="A16:A17"/>
    <mergeCell ref="B16:B17"/>
    <mergeCell ref="C16:C17"/>
    <mergeCell ref="A12:A13"/>
    <mergeCell ref="B12:B13"/>
    <mergeCell ref="C12:C13"/>
    <mergeCell ref="A14:A15"/>
    <mergeCell ref="B14:B15"/>
    <mergeCell ref="C14:C15"/>
    <mergeCell ref="E59:F59"/>
    <mergeCell ref="Y50:Y51"/>
    <mergeCell ref="A10:A11"/>
    <mergeCell ref="B10:B11"/>
    <mergeCell ref="C10:C11"/>
    <mergeCell ref="A20:A21"/>
    <mergeCell ref="B20:B21"/>
    <mergeCell ref="C20:C21"/>
    <mergeCell ref="A18:A19"/>
    <mergeCell ref="B18:B19"/>
    <mergeCell ref="C18:C19"/>
    <mergeCell ref="A24:A25"/>
    <mergeCell ref="B24:B25"/>
    <mergeCell ref="C24:C25"/>
    <mergeCell ref="A22:A23"/>
    <mergeCell ref="B22:B23"/>
  </mergeCells>
  <pageMargins left="2.3622047244094491" right="0.98425196850393704" top="0.39370078740157483" bottom="0.39370078740157483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Z119"/>
  <sheetViews>
    <sheetView view="pageBreakPreview" topLeftCell="A41" zoomScale="80" zoomScaleNormal="89" zoomScaleSheetLayoutView="80" workbookViewId="0">
      <selection activeCell="C14" sqref="C14"/>
    </sheetView>
  </sheetViews>
  <sheetFormatPr defaultRowHeight="15"/>
  <cols>
    <col min="1" max="1" width="5.7109375" style="272" customWidth="1"/>
    <col min="2" max="2" width="34.42578125" style="272" customWidth="1"/>
    <col min="3" max="3" width="53.140625" style="272" customWidth="1"/>
    <col min="4" max="4" width="26.140625" style="272" customWidth="1"/>
    <col min="5" max="5" width="6.7109375" style="272" customWidth="1"/>
    <col min="6" max="6" width="17.7109375" style="272" customWidth="1"/>
    <col min="7" max="7" width="6.7109375" style="272" customWidth="1"/>
    <col min="8" max="9" width="17.7109375" style="272" customWidth="1"/>
    <col min="10" max="16384" width="9.140625" style="272"/>
  </cols>
  <sheetData>
    <row r="6" spans="2:14">
      <c r="C6" s="220" t="s">
        <v>3454</v>
      </c>
    </row>
    <row r="7" spans="2:14">
      <c r="C7" s="220" t="s">
        <v>3455</v>
      </c>
    </row>
    <row r="8" spans="2:14">
      <c r="C8" s="220" t="s">
        <v>3456</v>
      </c>
    </row>
    <row r="9" spans="2:14">
      <c r="C9" s="220" t="s">
        <v>3457</v>
      </c>
    </row>
    <row r="10" spans="2:14">
      <c r="C10" s="220" t="s">
        <v>3458</v>
      </c>
    </row>
    <row r="11" spans="2:14">
      <c r="C11" s="583" t="s">
        <v>3465</v>
      </c>
      <c r="D11" s="583"/>
      <c r="E11" s="583"/>
    </row>
    <row r="12" spans="2:14" ht="28.5" customHeight="1">
      <c r="C12" s="583"/>
      <c r="D12" s="583"/>
      <c r="E12" s="583"/>
    </row>
    <row r="13" spans="2:14">
      <c r="C13" s="220" t="s">
        <v>3474</v>
      </c>
    </row>
    <row r="14" spans="2:14" ht="15.75" thickBot="1">
      <c r="B14" s="374"/>
      <c r="C14" s="375"/>
      <c r="D14" s="375"/>
      <c r="E14" s="375"/>
      <c r="F14" s="375"/>
      <c r="G14" s="375"/>
      <c r="H14" s="374"/>
      <c r="I14" s="273"/>
      <c r="J14" s="274"/>
      <c r="K14" s="273"/>
      <c r="L14" s="273"/>
      <c r="M14" s="275"/>
      <c r="N14" s="276"/>
    </row>
    <row r="15" spans="2:14" s="277" customFormat="1" ht="33" customHeight="1" thickBot="1">
      <c r="B15" s="665" t="s">
        <v>3389</v>
      </c>
      <c r="C15" s="666"/>
      <c r="D15" s="666"/>
      <c r="E15" s="666"/>
      <c r="F15" s="666"/>
      <c r="G15" s="666"/>
      <c r="H15" s="666"/>
      <c r="I15" s="667"/>
      <c r="J15" s="278"/>
      <c r="K15" s="278"/>
      <c r="L15" s="278"/>
      <c r="M15" s="278"/>
      <c r="N15" s="278"/>
    </row>
    <row r="16" spans="2:14" s="277" customFormat="1" ht="8.1" customHeight="1" thickBot="1">
      <c r="B16" s="279"/>
      <c r="C16" s="280"/>
      <c r="D16" s="280"/>
      <c r="E16" s="280"/>
      <c r="F16" s="280"/>
      <c r="G16" s="280"/>
      <c r="H16" s="281"/>
      <c r="I16" s="282"/>
      <c r="J16" s="283"/>
      <c r="K16" s="284"/>
      <c r="L16" s="284"/>
      <c r="M16" s="285"/>
      <c r="N16" s="286"/>
    </row>
    <row r="17" spans="1:26" s="288" customFormat="1" ht="39.950000000000003" customHeight="1" thickBot="1">
      <c r="A17" s="287"/>
      <c r="B17" s="668" t="s">
        <v>2</v>
      </c>
      <c r="C17" s="669"/>
      <c r="D17" s="670" t="s">
        <v>3375</v>
      </c>
      <c r="E17" s="671"/>
      <c r="F17" s="671"/>
      <c r="G17" s="671"/>
      <c r="H17" s="671"/>
      <c r="I17" s="672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1:26" s="277" customFormat="1" ht="18" customHeight="1">
      <c r="B18" s="661" t="s">
        <v>3376</v>
      </c>
      <c r="C18" s="662"/>
      <c r="D18" s="663">
        <v>0.03</v>
      </c>
      <c r="E18" s="663"/>
      <c r="F18" s="663"/>
      <c r="G18" s="663"/>
      <c r="H18" s="663"/>
      <c r="I18" s="664"/>
    </row>
    <row r="19" spans="1:26" s="277" customFormat="1" ht="18" customHeight="1">
      <c r="B19" s="661" t="s">
        <v>3377</v>
      </c>
      <c r="C19" s="662"/>
      <c r="D19" s="663">
        <v>8.0000000000000002E-3</v>
      </c>
      <c r="E19" s="663"/>
      <c r="F19" s="663"/>
      <c r="G19" s="663"/>
      <c r="H19" s="663"/>
      <c r="I19" s="664"/>
    </row>
    <row r="20" spans="1:26" s="277" customFormat="1" ht="18" customHeight="1">
      <c r="B20" s="661" t="s">
        <v>3378</v>
      </c>
      <c r="C20" s="662"/>
      <c r="D20" s="673">
        <v>1.26E-2</v>
      </c>
      <c r="E20" s="674"/>
      <c r="F20" s="674"/>
      <c r="G20" s="674"/>
      <c r="H20" s="674"/>
      <c r="I20" s="675"/>
    </row>
    <row r="21" spans="1:26" s="277" customFormat="1" ht="18" customHeight="1">
      <c r="B21" s="661" t="s">
        <v>3379</v>
      </c>
      <c r="C21" s="662"/>
      <c r="D21" s="676">
        <v>1.2E-2</v>
      </c>
      <c r="E21" s="676"/>
      <c r="F21" s="676"/>
      <c r="G21" s="676"/>
      <c r="H21" s="676"/>
      <c r="I21" s="677"/>
    </row>
    <row r="22" spans="1:26" s="277" customFormat="1" ht="18" customHeight="1">
      <c r="B22" s="678" t="s">
        <v>3380</v>
      </c>
      <c r="C22" s="679"/>
      <c r="D22" s="663">
        <v>7.3999999999999996E-2</v>
      </c>
      <c r="E22" s="663"/>
      <c r="F22" s="663"/>
      <c r="G22" s="663"/>
      <c r="H22" s="663"/>
      <c r="I22" s="664"/>
    </row>
    <row r="23" spans="1:26" s="277" customFormat="1" ht="18" customHeight="1">
      <c r="B23" s="661" t="s">
        <v>3381</v>
      </c>
      <c r="C23" s="662"/>
      <c r="D23" s="663"/>
      <c r="E23" s="663"/>
      <c r="F23" s="663"/>
      <c r="G23" s="663"/>
      <c r="H23" s="663"/>
      <c r="I23" s="664"/>
    </row>
    <row r="24" spans="1:26" s="277" customFormat="1" ht="18" customHeight="1">
      <c r="B24" s="661" t="s">
        <v>3382</v>
      </c>
      <c r="C24" s="662"/>
      <c r="D24" s="680">
        <v>1.7999999999999999E-2</v>
      </c>
      <c r="E24" s="680"/>
      <c r="F24" s="680"/>
      <c r="G24" s="680"/>
      <c r="H24" s="680"/>
      <c r="I24" s="681"/>
    </row>
    <row r="25" spans="1:26" s="277" customFormat="1" ht="18" customHeight="1">
      <c r="B25" s="661" t="s">
        <v>3383</v>
      </c>
      <c r="C25" s="662"/>
      <c r="D25" s="663">
        <v>6.4999999999999997E-3</v>
      </c>
      <c r="E25" s="663"/>
      <c r="F25" s="663"/>
      <c r="G25" s="663"/>
      <c r="H25" s="663"/>
      <c r="I25" s="664"/>
      <c r="K25" s="289"/>
    </row>
    <row r="26" spans="1:26" s="277" customFormat="1" ht="18" customHeight="1">
      <c r="B26" s="661" t="s">
        <v>3384</v>
      </c>
      <c r="C26" s="662"/>
      <c r="D26" s="663">
        <v>0.03</v>
      </c>
      <c r="E26" s="663"/>
      <c r="F26" s="663"/>
      <c r="G26" s="663"/>
      <c r="H26" s="663"/>
      <c r="I26" s="664"/>
      <c r="K26" s="289"/>
    </row>
    <row r="27" spans="1:26" s="277" customFormat="1" ht="18" customHeight="1">
      <c r="B27" s="661" t="s">
        <v>3385</v>
      </c>
      <c r="C27" s="662"/>
      <c r="D27" s="680">
        <v>4.4999999999999998E-2</v>
      </c>
      <c r="E27" s="680"/>
      <c r="F27" s="680"/>
      <c r="G27" s="680"/>
      <c r="H27" s="680"/>
      <c r="I27" s="681"/>
      <c r="K27" s="289"/>
    </row>
    <row r="28" spans="1:26" ht="20.100000000000001" customHeight="1">
      <c r="B28" s="682"/>
      <c r="C28" s="683"/>
      <c r="D28" s="684"/>
      <c r="E28" s="684"/>
      <c r="F28" s="684"/>
      <c r="G28" s="684"/>
      <c r="H28" s="684"/>
      <c r="I28" s="685"/>
      <c r="K28" s="290"/>
    </row>
    <row r="29" spans="1:26" s="277" customFormat="1" ht="18" customHeight="1" thickBot="1">
      <c r="B29" s="293"/>
      <c r="I29" s="294"/>
      <c r="J29" s="295"/>
    </row>
    <row r="30" spans="1:26" s="277" customFormat="1" ht="18" customHeight="1" thickBot="1">
      <c r="A30" s="296"/>
      <c r="B30" s="297"/>
      <c r="C30" s="298" t="s">
        <v>3386</v>
      </c>
      <c r="D30" s="299">
        <f>ROUND((((((1+D18+D19+D20)*(1+D21)*(1+D22))/(1-(D24+D25+D26+D27)))-1))*100,2)</f>
        <v>26.81</v>
      </c>
      <c r="E30" s="299"/>
      <c r="F30" s="300"/>
      <c r="G30" s="300"/>
      <c r="H30" s="300"/>
      <c r="I30" s="301"/>
      <c r="J30" s="295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</row>
    <row r="31" spans="1:26" s="277" customFormat="1" ht="24" customHeight="1" thickBot="1">
      <c r="A31" s="296"/>
      <c r="B31" s="293"/>
      <c r="C31" s="302"/>
      <c r="D31" s="303"/>
      <c r="E31" s="303"/>
      <c r="I31" s="294"/>
      <c r="J31" s="295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</row>
    <row r="32" spans="1:26" s="277" customFormat="1" ht="28.5" customHeight="1" thickBot="1">
      <c r="B32" s="686" t="s">
        <v>3387</v>
      </c>
      <c r="C32" s="687"/>
      <c r="D32" s="687"/>
      <c r="E32" s="687"/>
      <c r="F32" s="687"/>
      <c r="G32" s="687"/>
      <c r="H32" s="687"/>
      <c r="I32" s="688"/>
      <c r="J32" s="295"/>
    </row>
    <row r="33" spans="2:10" s="277" customFormat="1" ht="18" customHeight="1" thickBot="1">
      <c r="B33" s="668" t="s">
        <v>2</v>
      </c>
      <c r="C33" s="669"/>
      <c r="D33" s="670" t="s">
        <v>3375</v>
      </c>
      <c r="E33" s="671"/>
      <c r="F33" s="671"/>
      <c r="G33" s="671"/>
      <c r="H33" s="671"/>
      <c r="I33" s="672"/>
    </row>
    <row r="34" spans="2:10" s="277" customFormat="1" ht="18" customHeight="1">
      <c r="B34" s="661" t="s">
        <v>3376</v>
      </c>
      <c r="C34" s="662"/>
      <c r="D34" s="663">
        <v>1.4999999999999999E-2</v>
      </c>
      <c r="E34" s="663"/>
      <c r="F34" s="663"/>
      <c r="G34" s="663"/>
      <c r="H34" s="663"/>
      <c r="I34" s="664"/>
    </row>
    <row r="35" spans="2:10" s="277" customFormat="1" ht="17.25" customHeight="1">
      <c r="B35" s="661" t="s">
        <v>3377</v>
      </c>
      <c r="C35" s="662"/>
      <c r="D35" s="663">
        <v>4.7999999999999996E-3</v>
      </c>
      <c r="E35" s="663"/>
      <c r="F35" s="663"/>
      <c r="G35" s="663"/>
      <c r="H35" s="663"/>
      <c r="I35" s="664"/>
    </row>
    <row r="36" spans="2:10" s="277" customFormat="1" ht="18" customHeight="1">
      <c r="B36" s="661" t="s">
        <v>3378</v>
      </c>
      <c r="C36" s="662"/>
      <c r="D36" s="673">
        <v>8.5000000000000006E-3</v>
      </c>
      <c r="E36" s="674"/>
      <c r="F36" s="674"/>
      <c r="G36" s="674"/>
      <c r="H36" s="674"/>
      <c r="I36" s="675"/>
    </row>
    <row r="37" spans="2:10" s="277" customFormat="1" ht="18" customHeight="1">
      <c r="B37" s="661" t="s">
        <v>3379</v>
      </c>
      <c r="C37" s="662"/>
      <c r="D37" s="676">
        <v>8.5000000000000006E-3</v>
      </c>
      <c r="E37" s="676"/>
      <c r="F37" s="676"/>
      <c r="G37" s="676"/>
      <c r="H37" s="676"/>
      <c r="I37" s="677"/>
    </row>
    <row r="38" spans="2:10" s="277" customFormat="1" ht="18" customHeight="1">
      <c r="B38" s="678" t="s">
        <v>3380</v>
      </c>
      <c r="C38" s="679"/>
      <c r="D38" s="663">
        <v>5.11E-2</v>
      </c>
      <c r="E38" s="663"/>
      <c r="F38" s="663"/>
      <c r="G38" s="663"/>
      <c r="H38" s="663"/>
      <c r="I38" s="664"/>
      <c r="J38" s="295"/>
    </row>
    <row r="39" spans="2:10" s="277" customFormat="1" ht="18" customHeight="1">
      <c r="B39" s="661" t="s">
        <v>3381</v>
      </c>
      <c r="C39" s="662"/>
      <c r="D39" s="663"/>
      <c r="E39" s="663"/>
      <c r="F39" s="663"/>
      <c r="G39" s="663"/>
      <c r="H39" s="663"/>
      <c r="I39" s="664"/>
      <c r="J39" s="295"/>
    </row>
    <row r="40" spans="2:10" ht="18" customHeight="1">
      <c r="B40" s="661" t="s">
        <v>3382</v>
      </c>
      <c r="C40" s="662"/>
      <c r="D40" s="680">
        <v>0</v>
      </c>
      <c r="E40" s="680"/>
      <c r="F40" s="680"/>
      <c r="G40" s="680"/>
      <c r="H40" s="680"/>
      <c r="I40" s="681"/>
      <c r="J40" s="292"/>
    </row>
    <row r="41" spans="2:10" ht="18" customHeight="1">
      <c r="B41" s="661" t="s">
        <v>3383</v>
      </c>
      <c r="C41" s="662"/>
      <c r="D41" s="663">
        <v>6.4999999999999997E-3</v>
      </c>
      <c r="E41" s="663"/>
      <c r="F41" s="663"/>
      <c r="G41" s="663"/>
      <c r="H41" s="663"/>
      <c r="I41" s="664"/>
      <c r="J41" s="292"/>
    </row>
    <row r="42" spans="2:10" ht="18" customHeight="1">
      <c r="B42" s="661" t="s">
        <v>3384</v>
      </c>
      <c r="C42" s="662"/>
      <c r="D42" s="663">
        <v>0.03</v>
      </c>
      <c r="E42" s="663"/>
      <c r="F42" s="663"/>
      <c r="G42" s="663"/>
      <c r="H42" s="663"/>
      <c r="I42" s="664"/>
      <c r="J42" s="292"/>
    </row>
    <row r="43" spans="2:10" ht="18" customHeight="1">
      <c r="B43" s="661" t="s">
        <v>3385</v>
      </c>
      <c r="C43" s="662"/>
      <c r="D43" s="680">
        <v>4.4999999999999998E-2</v>
      </c>
      <c r="E43" s="680"/>
      <c r="F43" s="680"/>
      <c r="G43" s="680"/>
      <c r="H43" s="680"/>
      <c r="I43" s="681"/>
      <c r="J43" s="292"/>
    </row>
    <row r="44" spans="2:10" ht="18" customHeight="1" thickBot="1">
      <c r="B44" s="304"/>
      <c r="I44" s="291"/>
      <c r="J44" s="292"/>
    </row>
    <row r="45" spans="2:10" ht="18" customHeight="1" thickBot="1">
      <c r="B45" s="297"/>
      <c r="C45" s="298" t="s">
        <v>3388</v>
      </c>
      <c r="D45" s="299">
        <f>ROUND((((((1+D34+D35+D36)*(1+D37)*(1+D38))/(1-(D40+D41+D42+D43)))-1))*100,2)</f>
        <v>18.68</v>
      </c>
      <c r="E45" s="299"/>
      <c r="F45" s="300"/>
      <c r="G45" s="300"/>
      <c r="H45" s="300"/>
      <c r="I45" s="301"/>
      <c r="J45" s="292"/>
    </row>
    <row r="46" spans="2:10" ht="18" customHeight="1">
      <c r="B46" s="416" t="s">
        <v>3468</v>
      </c>
      <c r="C46" s="417"/>
      <c r="D46" s="408"/>
      <c r="E46" s="408"/>
      <c r="F46" s="296"/>
      <c r="G46" s="296"/>
      <c r="H46" s="296"/>
      <c r="I46" s="409"/>
      <c r="J46" s="292"/>
    </row>
    <row r="47" spans="2:10" ht="18" customHeight="1">
      <c r="B47" s="406"/>
      <c r="C47" s="407"/>
      <c r="D47" s="408"/>
      <c r="E47" s="408"/>
      <c r="F47" s="296"/>
      <c r="G47" s="296"/>
      <c r="H47" s="296"/>
      <c r="I47" s="409"/>
      <c r="J47" s="292"/>
    </row>
    <row r="48" spans="2:10" ht="18" customHeight="1">
      <c r="B48" s="406"/>
      <c r="C48" s="407"/>
      <c r="D48" s="408"/>
      <c r="E48" s="408"/>
      <c r="F48" s="296"/>
      <c r="G48" s="296"/>
      <c r="H48" s="296"/>
      <c r="I48" s="409"/>
      <c r="J48" s="292"/>
    </row>
    <row r="49" spans="1:26" ht="18" customHeight="1">
      <c r="B49" s="406"/>
      <c r="C49" s="407"/>
      <c r="D49" s="408"/>
      <c r="E49" s="408"/>
      <c r="F49" s="296"/>
      <c r="G49" s="296"/>
      <c r="H49" s="296"/>
      <c r="I49" s="409"/>
      <c r="J49" s="292"/>
    </row>
    <row r="50" spans="1:26" ht="18" customHeight="1">
      <c r="B50" s="406"/>
      <c r="C50" s="407"/>
      <c r="D50" s="408"/>
      <c r="E50" s="408"/>
      <c r="F50" s="296"/>
      <c r="G50" s="296"/>
      <c r="H50" s="296"/>
      <c r="I50" s="409"/>
      <c r="J50" s="292"/>
    </row>
    <row r="51" spans="1:26" ht="18" customHeight="1">
      <c r="B51" s="406"/>
      <c r="C51" s="407"/>
      <c r="D51" s="408"/>
      <c r="E51" s="408"/>
      <c r="F51" s="296"/>
      <c r="G51" s="296"/>
      <c r="H51" s="296"/>
      <c r="I51" s="409"/>
      <c r="J51" s="292"/>
    </row>
    <row r="52" spans="1:26" ht="18" customHeight="1">
      <c r="B52" s="406"/>
      <c r="C52" s="407"/>
      <c r="D52" s="408"/>
      <c r="E52" s="408"/>
      <c r="F52" s="296"/>
      <c r="G52" s="296"/>
      <c r="H52" s="296"/>
      <c r="I52" s="409"/>
      <c r="J52" s="292"/>
    </row>
    <row r="53" spans="1:26" ht="18" customHeight="1">
      <c r="B53" s="410" t="s">
        <v>3469</v>
      </c>
      <c r="C53" s="277"/>
      <c r="D53" s="277"/>
      <c r="E53" s="277"/>
      <c r="F53" s="277"/>
      <c r="G53" s="277"/>
      <c r="H53" s="277"/>
      <c r="I53" s="294"/>
      <c r="J53" s="292"/>
    </row>
    <row r="54" spans="1:26" ht="18" customHeight="1">
      <c r="B54" s="691" t="s">
        <v>3470</v>
      </c>
      <c r="C54" s="692"/>
      <c r="D54" s="692"/>
      <c r="E54" s="692"/>
      <c r="F54" s="692"/>
      <c r="G54" s="692"/>
      <c r="H54" s="692"/>
      <c r="I54" s="693"/>
      <c r="J54" s="292"/>
    </row>
    <row r="55" spans="1:26" ht="21.75" customHeight="1">
      <c r="B55" s="691" t="s">
        <v>3471</v>
      </c>
      <c r="C55" s="692"/>
      <c r="D55" s="692"/>
      <c r="E55" s="692"/>
      <c r="F55" s="692"/>
      <c r="G55" s="692"/>
      <c r="H55" s="692"/>
      <c r="I55" s="693"/>
      <c r="J55" s="292"/>
    </row>
    <row r="56" spans="1:26" ht="36" customHeight="1">
      <c r="B56" s="691" t="s">
        <v>3472</v>
      </c>
      <c r="C56" s="692"/>
      <c r="D56" s="692"/>
      <c r="E56" s="692"/>
      <c r="F56" s="692"/>
      <c r="G56" s="692"/>
      <c r="H56" s="692"/>
      <c r="I56" s="693"/>
      <c r="J56" s="292"/>
    </row>
    <row r="57" spans="1:26" ht="31.5" customHeight="1">
      <c r="B57" s="694" t="s">
        <v>3473</v>
      </c>
      <c r="C57" s="695"/>
      <c r="D57" s="695"/>
      <c r="E57" s="695"/>
      <c r="F57" s="695"/>
      <c r="G57" s="695"/>
      <c r="H57" s="695"/>
      <c r="I57" s="696"/>
      <c r="J57" s="292"/>
    </row>
    <row r="58" spans="1:26" ht="18" customHeight="1">
      <c r="B58" s="411"/>
      <c r="C58" s="411"/>
      <c r="J58" s="292"/>
    </row>
    <row r="59" spans="1:26" ht="18" customHeight="1">
      <c r="B59" s="412"/>
      <c r="C59" s="413"/>
      <c r="D59" s="414"/>
      <c r="E59" s="414"/>
      <c r="F59" s="414"/>
      <c r="G59" s="414"/>
      <c r="H59" s="414"/>
      <c r="I59" s="415"/>
      <c r="J59" s="292"/>
    </row>
    <row r="60" spans="1:26" ht="18" customHeight="1">
      <c r="B60" s="406"/>
      <c r="C60" s="407"/>
      <c r="D60" s="408"/>
      <c r="E60" s="408"/>
      <c r="F60" s="296"/>
      <c r="G60" s="296"/>
      <c r="H60" s="296"/>
      <c r="I60" s="409"/>
      <c r="J60" s="292"/>
    </row>
    <row r="61" spans="1:26" ht="18" customHeight="1">
      <c r="B61" s="304"/>
      <c r="I61" s="291"/>
      <c r="J61" s="292"/>
    </row>
    <row r="62" spans="1:26" ht="18.75">
      <c r="A62" s="305"/>
      <c r="B62" s="293"/>
      <c r="C62" s="398"/>
      <c r="D62" s="277"/>
      <c r="E62" s="277"/>
      <c r="F62" s="277"/>
      <c r="G62" s="277"/>
      <c r="H62" s="277"/>
      <c r="I62" s="294"/>
      <c r="J62" s="292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</row>
    <row r="63" spans="1:26" ht="43.5" customHeight="1" thickBot="1">
      <c r="A63" s="305"/>
      <c r="B63" s="700"/>
      <c r="C63" s="701"/>
      <c r="D63" s="701"/>
      <c r="E63" s="701"/>
      <c r="F63" s="701"/>
      <c r="G63" s="701"/>
      <c r="H63" s="701"/>
      <c r="I63" s="702"/>
      <c r="J63" s="292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</row>
    <row r="64" spans="1:26" ht="18.75">
      <c r="A64" s="305"/>
      <c r="B64" s="306"/>
      <c r="C64" s="690"/>
      <c r="D64" s="690"/>
      <c r="E64" s="690"/>
      <c r="F64" s="690"/>
      <c r="G64" s="307"/>
      <c r="H64" s="308"/>
      <c r="I64" s="305"/>
      <c r="J64" s="292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</row>
    <row r="65" spans="1:26" ht="18.75">
      <c r="A65" s="305"/>
      <c r="B65" s="309"/>
      <c r="C65" s="697"/>
      <c r="D65" s="697"/>
      <c r="E65" s="697"/>
      <c r="F65" s="697"/>
      <c r="G65" s="310"/>
      <c r="H65" s="311"/>
      <c r="I65" s="305"/>
      <c r="J65" s="292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</row>
    <row r="66" spans="1:26" ht="18.75">
      <c r="A66" s="305"/>
      <c r="B66" s="309"/>
      <c r="C66" s="689"/>
      <c r="D66" s="689"/>
      <c r="E66" s="689"/>
      <c r="F66" s="689"/>
      <c r="G66" s="312"/>
      <c r="H66" s="313"/>
      <c r="I66" s="305"/>
      <c r="J66" s="292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</row>
    <row r="67" spans="1:26">
      <c r="A67" s="305"/>
      <c r="B67" s="306"/>
      <c r="C67" s="690"/>
      <c r="D67" s="690"/>
      <c r="E67" s="690"/>
      <c r="F67" s="690"/>
      <c r="G67" s="307"/>
      <c r="H67" s="308"/>
      <c r="I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</row>
    <row r="68" spans="1:26" ht="18.75">
      <c r="A68" s="305"/>
      <c r="B68" s="309"/>
      <c r="C68" s="697"/>
      <c r="D68" s="697"/>
      <c r="E68" s="697"/>
      <c r="F68" s="697"/>
      <c r="G68" s="310"/>
      <c r="H68" s="311"/>
      <c r="I68" s="305"/>
      <c r="J68" s="292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</row>
    <row r="69" spans="1:26" ht="18.75">
      <c r="A69" s="305"/>
      <c r="B69" s="309"/>
      <c r="C69" s="689"/>
      <c r="D69" s="689"/>
      <c r="E69" s="689"/>
      <c r="F69" s="689"/>
      <c r="G69" s="312"/>
      <c r="H69" s="313"/>
      <c r="I69" s="305"/>
      <c r="J69" s="292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</row>
    <row r="70" spans="1:26" ht="18.75">
      <c r="A70" s="305"/>
      <c r="B70" s="306"/>
      <c r="C70" s="690"/>
      <c r="D70" s="690"/>
      <c r="E70" s="690"/>
      <c r="F70" s="690"/>
      <c r="G70" s="307"/>
      <c r="H70" s="308"/>
      <c r="I70" s="305"/>
      <c r="J70" s="292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</row>
    <row r="71" spans="1:26">
      <c r="A71" s="305"/>
      <c r="B71" s="309"/>
      <c r="C71" s="699"/>
      <c r="D71" s="699"/>
      <c r="E71" s="699"/>
      <c r="F71" s="699"/>
      <c r="G71" s="314"/>
      <c r="H71" s="311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</row>
    <row r="72" spans="1:26">
      <c r="A72" s="305"/>
      <c r="B72" s="315"/>
      <c r="C72" s="698"/>
      <c r="D72" s="698"/>
      <c r="E72" s="698"/>
      <c r="F72" s="698"/>
      <c r="G72" s="316"/>
      <c r="H72" s="311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</row>
    <row r="73" spans="1:26">
      <c r="A73" s="305"/>
      <c r="B73" s="315"/>
      <c r="C73" s="698"/>
      <c r="D73" s="698"/>
      <c r="E73" s="698"/>
      <c r="F73" s="698"/>
      <c r="G73" s="316"/>
      <c r="H73" s="311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</row>
    <row r="74" spans="1:26">
      <c r="A74" s="305"/>
      <c r="B74" s="315"/>
      <c r="C74" s="316"/>
      <c r="D74" s="316"/>
      <c r="E74" s="316"/>
      <c r="F74" s="316"/>
      <c r="G74" s="316"/>
      <c r="H74" s="317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</row>
    <row r="75" spans="1:26">
      <c r="A75" s="305"/>
      <c r="B75" s="315"/>
      <c r="C75" s="699"/>
      <c r="D75" s="699"/>
      <c r="E75" s="699"/>
      <c r="F75" s="699"/>
      <c r="G75" s="314"/>
      <c r="H75" s="311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</row>
    <row r="76" spans="1:26">
      <c r="A76" s="305"/>
      <c r="B76" s="315"/>
      <c r="C76" s="697"/>
      <c r="D76" s="697"/>
      <c r="E76" s="697"/>
      <c r="F76" s="697"/>
      <c r="G76" s="310"/>
      <c r="H76" s="311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</row>
    <row r="77" spans="1:26">
      <c r="A77" s="305"/>
      <c r="B77" s="315"/>
      <c r="C77" s="689"/>
      <c r="D77" s="689"/>
      <c r="E77" s="689"/>
      <c r="F77" s="689"/>
      <c r="G77" s="312"/>
      <c r="H77" s="313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5"/>
    </row>
    <row r="78" spans="1:26">
      <c r="A78" s="305"/>
      <c r="B78" s="306"/>
      <c r="C78" s="690"/>
      <c r="D78" s="690"/>
      <c r="E78" s="690"/>
      <c r="F78" s="690"/>
      <c r="G78" s="307"/>
      <c r="H78" s="308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</row>
    <row r="79" spans="1:26">
      <c r="A79" s="305"/>
      <c r="B79" s="315"/>
      <c r="C79" s="697"/>
      <c r="D79" s="697"/>
      <c r="E79" s="697"/>
      <c r="F79" s="697"/>
      <c r="G79" s="310"/>
      <c r="H79" s="311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</row>
    <row r="80" spans="1:26">
      <c r="A80" s="305"/>
      <c r="B80" s="315"/>
      <c r="C80" s="689"/>
      <c r="D80" s="689"/>
      <c r="E80" s="689"/>
      <c r="F80" s="689"/>
      <c r="G80" s="312"/>
      <c r="H80" s="313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</row>
    <row r="81" spans="1:26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5"/>
    </row>
    <row r="82" spans="1:26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</row>
    <row r="83" spans="1:26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5"/>
    </row>
    <row r="84" spans="1:26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</row>
    <row r="85" spans="1:26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</row>
    <row r="86" spans="1:26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</row>
    <row r="87" spans="1:26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</row>
    <row r="88" spans="1:26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</row>
    <row r="89" spans="1:26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</row>
    <row r="90" spans="1:26">
      <c r="A90" s="305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</row>
    <row r="91" spans="1:26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5"/>
    </row>
    <row r="92" spans="1:26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</row>
    <row r="93" spans="1:26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</row>
    <row r="94" spans="1:26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</row>
    <row r="95" spans="1:26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</row>
    <row r="96" spans="1:26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</row>
    <row r="97" spans="1:26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</row>
    <row r="98" spans="1:26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</row>
    <row r="99" spans="1:26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</row>
    <row r="100" spans="1:26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</row>
    <row r="101" spans="1:26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</row>
    <row r="102" spans="1:26">
      <c r="A102" s="305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  <c r="X102" s="305"/>
      <c r="Y102" s="305"/>
      <c r="Z102" s="305"/>
    </row>
    <row r="103" spans="1:26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</row>
    <row r="104" spans="1:26">
      <c r="A104" s="305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</row>
    <row r="105" spans="1:26">
      <c r="A105" s="305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</row>
    <row r="106" spans="1:26">
      <c r="A106" s="305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</row>
    <row r="107" spans="1:26">
      <c r="A107" s="305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</row>
    <row r="108" spans="1:26">
      <c r="A108" s="305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</row>
    <row r="109" spans="1:26">
      <c r="A109" s="305"/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</row>
    <row r="110" spans="1:26">
      <c r="A110" s="30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</row>
    <row r="111" spans="1:26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</row>
    <row r="112" spans="1:26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</row>
    <row r="113" spans="1:26">
      <c r="A113" s="305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</row>
    <row r="114" spans="1:26">
      <c r="A114" s="305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</row>
    <row r="115" spans="1:26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</row>
    <row r="116" spans="1:26">
      <c r="A116" s="305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</row>
    <row r="117" spans="1:26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</row>
    <row r="118" spans="1:26">
      <c r="A118" s="305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</row>
    <row r="119" spans="1:26">
      <c r="A119" s="305"/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</row>
  </sheetData>
  <mergeCells count="70">
    <mergeCell ref="C11:E12"/>
    <mergeCell ref="C79:F79"/>
    <mergeCell ref="C80:F80"/>
    <mergeCell ref="C72:F72"/>
    <mergeCell ref="C73:F73"/>
    <mergeCell ref="C75:F75"/>
    <mergeCell ref="C76:F76"/>
    <mergeCell ref="C77:F77"/>
    <mergeCell ref="C78:F78"/>
    <mergeCell ref="C71:F71"/>
    <mergeCell ref="B63:I63"/>
    <mergeCell ref="C64:F64"/>
    <mergeCell ref="C65:F65"/>
    <mergeCell ref="C66:F66"/>
    <mergeCell ref="C67:F67"/>
    <mergeCell ref="C68:F68"/>
    <mergeCell ref="C69:F69"/>
    <mergeCell ref="C70:F70"/>
    <mergeCell ref="B41:C41"/>
    <mergeCell ref="D41:I41"/>
    <mergeCell ref="B42:C42"/>
    <mergeCell ref="D42:I42"/>
    <mergeCell ref="B43:C43"/>
    <mergeCell ref="D43:I43"/>
    <mergeCell ref="B54:I54"/>
    <mergeCell ref="B55:I55"/>
    <mergeCell ref="B56:I56"/>
    <mergeCell ref="B57:I57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I32"/>
    <mergeCell ref="B33:C33"/>
    <mergeCell ref="D33:I33"/>
    <mergeCell ref="B34:C34"/>
    <mergeCell ref="D34:I34"/>
    <mergeCell ref="B26:C26"/>
    <mergeCell ref="D26:I26"/>
    <mergeCell ref="B27:C27"/>
    <mergeCell ref="D27:I27"/>
    <mergeCell ref="B28:C28"/>
    <mergeCell ref="D28:I28"/>
    <mergeCell ref="B23:C23"/>
    <mergeCell ref="D23:I23"/>
    <mergeCell ref="B24:C24"/>
    <mergeCell ref="D24:I24"/>
    <mergeCell ref="B25:C25"/>
    <mergeCell ref="D25:I25"/>
    <mergeCell ref="B20:C20"/>
    <mergeCell ref="D20:I20"/>
    <mergeCell ref="B21:C21"/>
    <mergeCell ref="D21:I21"/>
    <mergeCell ref="B22:C22"/>
    <mergeCell ref="D22:I22"/>
    <mergeCell ref="B19:C19"/>
    <mergeCell ref="D19:I19"/>
    <mergeCell ref="B15:I15"/>
    <mergeCell ref="B17:C17"/>
    <mergeCell ref="D17:I17"/>
    <mergeCell ref="B18:C18"/>
    <mergeCell ref="D18:I18"/>
  </mergeCells>
  <printOptions horizontalCentered="1"/>
  <pageMargins left="2.4803149606299213" right="1.1023622047244095" top="0.78740157480314965" bottom="0.78740157480314965" header="0.31496062992125984" footer="0.31496062992125984"/>
  <pageSetup paperSize="9" scale="55" orientation="landscape" r:id="rId1"/>
  <headerFoot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workbookViewId="0">
      <selection sqref="A1:D1"/>
    </sheetView>
  </sheetViews>
  <sheetFormatPr defaultRowHeight="15"/>
  <cols>
    <col min="1" max="1" width="9.42578125" customWidth="1"/>
    <col min="2" max="2" width="72.5703125" customWidth="1"/>
    <col min="3" max="3" width="21.5703125" customWidth="1"/>
    <col min="4" max="4" width="22" customWidth="1"/>
  </cols>
  <sheetData>
    <row r="1" spans="1:5" ht="15" customHeight="1">
      <c r="A1" s="706" t="s">
        <v>3475</v>
      </c>
      <c r="B1" s="706"/>
      <c r="C1" s="706"/>
      <c r="D1" s="706"/>
      <c r="E1" s="438"/>
    </row>
    <row r="2" spans="1:5">
      <c r="A2" s="418"/>
      <c r="B2" s="418"/>
      <c r="C2" s="418"/>
      <c r="D2" s="418"/>
      <c r="E2" s="418"/>
    </row>
    <row r="3" spans="1:5">
      <c r="A3" s="707" t="s">
        <v>3476</v>
      </c>
      <c r="B3" s="708"/>
      <c r="C3" s="708"/>
      <c r="D3" s="709"/>
      <c r="E3" s="418"/>
    </row>
    <row r="4" spans="1:5">
      <c r="A4" s="437" t="s">
        <v>1</v>
      </c>
      <c r="B4" s="437" t="s">
        <v>2</v>
      </c>
      <c r="C4" s="437" t="s">
        <v>3477</v>
      </c>
      <c r="D4" s="437" t="s">
        <v>3478</v>
      </c>
      <c r="E4" s="418"/>
    </row>
    <row r="5" spans="1:5">
      <c r="A5" s="703" t="s">
        <v>3479</v>
      </c>
      <c r="B5" s="704"/>
      <c r="C5" s="704"/>
      <c r="D5" s="705"/>
      <c r="E5" s="418"/>
    </row>
    <row r="6" spans="1:5">
      <c r="A6" s="419" t="s">
        <v>3492</v>
      </c>
      <c r="B6" s="420" t="s">
        <v>3493</v>
      </c>
      <c r="C6" s="421">
        <v>0</v>
      </c>
      <c r="D6" s="421">
        <v>0</v>
      </c>
      <c r="E6" s="418"/>
    </row>
    <row r="7" spans="1:5">
      <c r="A7" s="419" t="s">
        <v>3494</v>
      </c>
      <c r="B7" s="420" t="s">
        <v>3495</v>
      </c>
      <c r="C7" s="421">
        <v>1.5</v>
      </c>
      <c r="D7" s="421">
        <v>1.5</v>
      </c>
      <c r="E7" s="418"/>
    </row>
    <row r="8" spans="1:5">
      <c r="A8" s="419" t="s">
        <v>3496</v>
      </c>
      <c r="B8" s="420" t="s">
        <v>3497</v>
      </c>
      <c r="C8" s="421">
        <v>1</v>
      </c>
      <c r="D8" s="421">
        <v>1</v>
      </c>
      <c r="E8" s="418"/>
    </row>
    <row r="9" spans="1:5">
      <c r="A9" s="419" t="s">
        <v>3498</v>
      </c>
      <c r="B9" s="420" t="s">
        <v>3499</v>
      </c>
      <c r="C9" s="421">
        <v>0.2</v>
      </c>
      <c r="D9" s="421">
        <v>0.2</v>
      </c>
      <c r="E9" s="418"/>
    </row>
    <row r="10" spans="1:5">
      <c r="A10" s="419" t="s">
        <v>3500</v>
      </c>
      <c r="B10" s="420" t="s">
        <v>3501</v>
      </c>
      <c r="C10" s="421">
        <v>0.6</v>
      </c>
      <c r="D10" s="421">
        <v>0.6</v>
      </c>
      <c r="E10" s="418"/>
    </row>
    <row r="11" spans="1:5">
      <c r="A11" s="419" t="s">
        <v>3502</v>
      </c>
      <c r="B11" s="420" t="s">
        <v>3503</v>
      </c>
      <c r="C11" s="421">
        <v>2.5</v>
      </c>
      <c r="D11" s="421">
        <v>2.5</v>
      </c>
      <c r="E11" s="418"/>
    </row>
    <row r="12" spans="1:5">
      <c r="A12" s="419" t="s">
        <v>3504</v>
      </c>
      <c r="B12" s="420" t="s">
        <v>3505</v>
      </c>
      <c r="C12" s="421">
        <v>3</v>
      </c>
      <c r="D12" s="421">
        <v>3</v>
      </c>
      <c r="E12" s="418"/>
    </row>
    <row r="13" spans="1:5">
      <c r="A13" s="419" t="s">
        <v>3506</v>
      </c>
      <c r="B13" s="420" t="s">
        <v>3507</v>
      </c>
      <c r="C13" s="421">
        <v>8</v>
      </c>
      <c r="D13" s="421">
        <v>8</v>
      </c>
      <c r="E13" s="418"/>
    </row>
    <row r="14" spans="1:5">
      <c r="A14" s="419" t="s">
        <v>3508</v>
      </c>
      <c r="B14" s="420" t="s">
        <v>3509</v>
      </c>
      <c r="C14" s="421">
        <v>0</v>
      </c>
      <c r="D14" s="421">
        <v>0</v>
      </c>
      <c r="E14" s="418"/>
    </row>
    <row r="15" spans="1:5">
      <c r="A15" s="422" t="s">
        <v>3480</v>
      </c>
      <c r="B15" s="423" t="s">
        <v>3481</v>
      </c>
      <c r="C15" s="424">
        <v>16.8</v>
      </c>
      <c r="D15" s="424">
        <v>16.8</v>
      </c>
      <c r="E15" s="418"/>
    </row>
    <row r="16" spans="1:5">
      <c r="A16" s="703" t="s">
        <v>3482</v>
      </c>
      <c r="B16" s="704"/>
      <c r="C16" s="704"/>
      <c r="D16" s="705"/>
      <c r="E16" s="418"/>
    </row>
    <row r="17" spans="1:5">
      <c r="A17" s="419" t="s">
        <v>3510</v>
      </c>
      <c r="B17" s="420" t="s">
        <v>3511</v>
      </c>
      <c r="C17" s="421">
        <v>17.82</v>
      </c>
      <c r="D17" s="421">
        <v>0</v>
      </c>
      <c r="E17" s="418"/>
    </row>
    <row r="18" spans="1:5">
      <c r="A18" s="419" t="s">
        <v>3512</v>
      </c>
      <c r="B18" s="420" t="s">
        <v>3513</v>
      </c>
      <c r="C18" s="421">
        <v>3.95</v>
      </c>
      <c r="D18" s="421">
        <v>0</v>
      </c>
      <c r="E18" s="418"/>
    </row>
    <row r="19" spans="1:5">
      <c r="A19" s="419" t="s">
        <v>3514</v>
      </c>
      <c r="B19" s="420" t="s">
        <v>3515</v>
      </c>
      <c r="C19" s="421">
        <v>0.87</v>
      </c>
      <c r="D19" s="421">
        <v>0.67</v>
      </c>
      <c r="E19" s="418"/>
    </row>
    <row r="20" spans="1:5">
      <c r="A20" s="419" t="s">
        <v>3516</v>
      </c>
      <c r="B20" s="420" t="s">
        <v>3517</v>
      </c>
      <c r="C20" s="421">
        <v>10.76</v>
      </c>
      <c r="D20" s="421">
        <v>8.33</v>
      </c>
      <c r="E20" s="418"/>
    </row>
    <row r="21" spans="1:5">
      <c r="A21" s="419" t="s">
        <v>3518</v>
      </c>
      <c r="B21" s="420" t="s">
        <v>3519</v>
      </c>
      <c r="C21" s="421">
        <v>7.0000000000000007E-2</v>
      </c>
      <c r="D21" s="421">
        <v>0.06</v>
      </c>
      <c r="E21" s="418"/>
    </row>
    <row r="22" spans="1:5">
      <c r="A22" s="419" t="s">
        <v>3520</v>
      </c>
      <c r="B22" s="420" t="s">
        <v>3521</v>
      </c>
      <c r="C22" s="421">
        <v>0.72</v>
      </c>
      <c r="D22" s="421">
        <v>0.56000000000000005</v>
      </c>
      <c r="E22" s="418"/>
    </row>
    <row r="23" spans="1:5">
      <c r="A23" s="419" t="s">
        <v>3522</v>
      </c>
      <c r="B23" s="420" t="s">
        <v>3523</v>
      </c>
      <c r="C23" s="421">
        <v>1.1599999999999999</v>
      </c>
      <c r="D23" s="421">
        <v>0</v>
      </c>
      <c r="E23" s="418"/>
    </row>
    <row r="24" spans="1:5">
      <c r="A24" s="419" t="s">
        <v>3524</v>
      </c>
      <c r="B24" s="420" t="s">
        <v>3525</v>
      </c>
      <c r="C24" s="421">
        <v>0.11</v>
      </c>
      <c r="D24" s="421">
        <v>0.08</v>
      </c>
      <c r="E24" s="418"/>
    </row>
    <row r="25" spans="1:5">
      <c r="A25" s="419" t="s">
        <v>3526</v>
      </c>
      <c r="B25" s="420" t="s">
        <v>3527</v>
      </c>
      <c r="C25" s="421">
        <v>8.35</v>
      </c>
      <c r="D25" s="421">
        <v>6.47</v>
      </c>
      <c r="E25" s="418"/>
    </row>
    <row r="26" spans="1:5">
      <c r="A26" s="419" t="s">
        <v>3528</v>
      </c>
      <c r="B26" s="420" t="s">
        <v>3529</v>
      </c>
      <c r="C26" s="421">
        <v>0.03</v>
      </c>
      <c r="D26" s="421">
        <v>0.03</v>
      </c>
      <c r="E26" s="418"/>
    </row>
    <row r="27" spans="1:5">
      <c r="A27" s="422" t="s">
        <v>3483</v>
      </c>
      <c r="B27" s="423" t="s">
        <v>3484</v>
      </c>
      <c r="C27" s="424">
        <v>43.84</v>
      </c>
      <c r="D27" s="424">
        <v>16.2</v>
      </c>
      <c r="E27" s="418"/>
    </row>
    <row r="28" spans="1:5">
      <c r="A28" s="703" t="s">
        <v>3485</v>
      </c>
      <c r="B28" s="704"/>
      <c r="C28" s="704"/>
      <c r="D28" s="705"/>
      <c r="E28" s="418"/>
    </row>
    <row r="29" spans="1:5">
      <c r="A29" s="419" t="s">
        <v>3530</v>
      </c>
      <c r="B29" s="420" t="s">
        <v>3531</v>
      </c>
      <c r="C29" s="421">
        <v>5.2</v>
      </c>
      <c r="D29" s="421">
        <v>4.03</v>
      </c>
      <c r="E29" s="418"/>
    </row>
    <row r="30" spans="1:5">
      <c r="A30" s="419" t="s">
        <v>3532</v>
      </c>
      <c r="B30" s="420" t="s">
        <v>3533</v>
      </c>
      <c r="C30" s="421">
        <v>0.12</v>
      </c>
      <c r="D30" s="421">
        <v>0.09</v>
      </c>
      <c r="E30" s="418"/>
    </row>
    <row r="31" spans="1:5">
      <c r="A31" s="419" t="s">
        <v>3534</v>
      </c>
      <c r="B31" s="420" t="s">
        <v>3535</v>
      </c>
      <c r="C31" s="421">
        <v>5.26</v>
      </c>
      <c r="D31" s="421">
        <v>4.07</v>
      </c>
      <c r="E31" s="418"/>
    </row>
    <row r="32" spans="1:5">
      <c r="A32" s="419" t="s">
        <v>3536</v>
      </c>
      <c r="B32" s="420" t="s">
        <v>3537</v>
      </c>
      <c r="C32" s="421">
        <v>3.9</v>
      </c>
      <c r="D32" s="421">
        <v>3.02</v>
      </c>
      <c r="E32" s="418"/>
    </row>
    <row r="33" spans="1:5">
      <c r="A33" s="419" t="s">
        <v>3538</v>
      </c>
      <c r="B33" s="420" t="s">
        <v>3539</v>
      </c>
      <c r="C33" s="421">
        <v>0.44</v>
      </c>
      <c r="D33" s="421">
        <v>0.34</v>
      </c>
      <c r="E33" s="418"/>
    </row>
    <row r="34" spans="1:5">
      <c r="A34" s="422" t="s">
        <v>3486</v>
      </c>
      <c r="B34" s="423" t="s">
        <v>3487</v>
      </c>
      <c r="C34" s="424">
        <v>14.92</v>
      </c>
      <c r="D34" s="424">
        <v>11.55</v>
      </c>
      <c r="E34" s="418"/>
    </row>
    <row r="35" spans="1:5">
      <c r="A35" s="703" t="s">
        <v>3488</v>
      </c>
      <c r="B35" s="704"/>
      <c r="C35" s="704"/>
      <c r="D35" s="705"/>
      <c r="E35" s="418"/>
    </row>
    <row r="36" spans="1:5">
      <c r="A36" s="419" t="s">
        <v>3540</v>
      </c>
      <c r="B36" s="420" t="s">
        <v>3541</v>
      </c>
      <c r="C36" s="421">
        <v>7.37</v>
      </c>
      <c r="D36" s="421">
        <v>2.72</v>
      </c>
      <c r="E36" s="418"/>
    </row>
    <row r="37" spans="1:5" ht="25.5">
      <c r="A37" s="419" t="s">
        <v>3542</v>
      </c>
      <c r="B37" s="429" t="s">
        <v>3543</v>
      </c>
      <c r="C37" s="421">
        <v>0.44</v>
      </c>
      <c r="D37" s="421">
        <v>0.34</v>
      </c>
      <c r="E37" s="418"/>
    </row>
    <row r="38" spans="1:5">
      <c r="A38" s="422" t="s">
        <v>3489</v>
      </c>
      <c r="B38" s="423" t="s">
        <v>3490</v>
      </c>
      <c r="C38" s="425">
        <v>7.81</v>
      </c>
      <c r="D38" s="425">
        <v>3.06</v>
      </c>
      <c r="E38" s="418"/>
    </row>
    <row r="39" spans="1:5">
      <c r="A39" s="426" t="s">
        <v>3491</v>
      </c>
      <c r="B39" s="427"/>
      <c r="C39" s="428">
        <v>83.37</v>
      </c>
      <c r="D39" s="428">
        <v>47.61</v>
      </c>
      <c r="E39" s="418"/>
    </row>
  </sheetData>
  <mergeCells count="6">
    <mergeCell ref="A28:D28"/>
    <mergeCell ref="A35:D35"/>
    <mergeCell ref="A1:D1"/>
    <mergeCell ref="A3:D3"/>
    <mergeCell ref="A5:D5"/>
    <mergeCell ref="A16:D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4">
    <outlinePr summaryBelow="0"/>
  </sheetPr>
  <dimension ref="A1:M2583"/>
  <sheetViews>
    <sheetView view="pageBreakPreview" topLeftCell="A1666" zoomScale="80" zoomScaleSheetLayoutView="80" workbookViewId="0">
      <selection activeCell="A1670" sqref="A1670:G1680"/>
    </sheetView>
  </sheetViews>
  <sheetFormatPr defaultColWidth="9.140625" defaultRowHeight="15"/>
  <cols>
    <col min="1" max="1" width="13.140625" style="2" bestFit="1" customWidth="1"/>
    <col min="2" max="2" width="48.85546875" style="2" customWidth="1"/>
    <col min="3" max="3" width="12.42578125" style="2" customWidth="1"/>
    <col min="4" max="4" width="7.5703125" style="2" customWidth="1"/>
    <col min="5" max="5" width="12.42578125" style="2" customWidth="1"/>
    <col min="6" max="6" width="17.140625" style="2" customWidth="1"/>
    <col min="7" max="7" width="12.140625" style="2" bestFit="1" customWidth="1"/>
    <col min="8" max="8" width="10.85546875" style="337" hidden="1" customWidth="1"/>
    <col min="9" max="9" width="58" style="2" hidden="1" customWidth="1"/>
    <col min="10" max="10" width="10.85546875" style="337" bestFit="1" customWidth="1"/>
    <col min="11" max="11" width="14.28515625" style="100" customWidth="1"/>
    <col min="12" max="16384" width="9.140625" style="2"/>
  </cols>
  <sheetData>
    <row r="1" spans="1:11" ht="34.9" customHeight="1">
      <c r="A1" s="757" t="s">
        <v>2662</v>
      </c>
      <c r="B1" s="758"/>
      <c r="C1" s="758"/>
      <c r="D1" s="758"/>
      <c r="E1" s="758"/>
      <c r="F1" s="758"/>
      <c r="G1" s="759"/>
    </row>
    <row r="2" spans="1:11">
      <c r="A2" s="760" t="s">
        <v>1829</v>
      </c>
      <c r="B2" s="761" t="s">
        <v>2968</v>
      </c>
      <c r="C2" s="761"/>
      <c r="D2" s="761"/>
      <c r="E2" s="762" t="s">
        <v>3420</v>
      </c>
      <c r="F2" s="763"/>
      <c r="G2" s="764"/>
    </row>
    <row r="3" spans="1:11">
      <c r="A3" s="760"/>
      <c r="B3" s="761"/>
      <c r="C3" s="761"/>
      <c r="D3" s="761"/>
      <c r="E3" s="765"/>
      <c r="F3" s="766"/>
      <c r="G3" s="767"/>
    </row>
    <row r="4" spans="1:11">
      <c r="A4" s="760" t="s">
        <v>1830</v>
      </c>
      <c r="B4" s="761" t="s">
        <v>3019</v>
      </c>
      <c r="C4" s="761"/>
      <c r="D4" s="761"/>
      <c r="E4" s="765"/>
      <c r="F4" s="766"/>
      <c r="G4" s="767"/>
    </row>
    <row r="5" spans="1:11">
      <c r="A5" s="760"/>
      <c r="B5" s="761"/>
      <c r="C5" s="761"/>
      <c r="D5" s="761"/>
      <c r="E5" s="768"/>
      <c r="F5" s="769"/>
      <c r="G5" s="770"/>
    </row>
    <row r="6" spans="1:11" ht="4.9000000000000004" customHeight="1"/>
    <row r="7" spans="1:11">
      <c r="A7" s="4"/>
      <c r="B7" s="4"/>
      <c r="C7" s="771"/>
      <c r="D7" s="772"/>
      <c r="E7" s="4"/>
      <c r="F7" s="4"/>
      <c r="G7" s="4"/>
    </row>
    <row r="8" spans="1:11" ht="30.75" customHeight="1">
      <c r="A8" s="612" t="s">
        <v>2041</v>
      </c>
      <c r="B8" s="613"/>
      <c r="C8" s="613"/>
      <c r="D8" s="613"/>
      <c r="E8" s="718"/>
      <c r="F8" s="67" t="s">
        <v>1914</v>
      </c>
      <c r="G8" s="68"/>
    </row>
    <row r="9" spans="1:11" ht="28.5">
      <c r="A9" s="229" t="s">
        <v>370</v>
      </c>
      <c r="B9" s="230"/>
      <c r="C9" s="69" t="s">
        <v>3</v>
      </c>
      <c r="D9" s="69" t="s">
        <v>4</v>
      </c>
      <c r="E9" s="69" t="s">
        <v>1826</v>
      </c>
      <c r="F9" s="69" t="s">
        <v>367</v>
      </c>
      <c r="G9" s="69" t="s">
        <v>368</v>
      </c>
    </row>
    <row r="10" spans="1:11" ht="45">
      <c r="A10" s="20">
        <v>89032</v>
      </c>
      <c r="B10" s="70" t="s">
        <v>1775</v>
      </c>
      <c r="C10" s="21" t="s">
        <v>12</v>
      </c>
      <c r="D10" s="21" t="s">
        <v>388</v>
      </c>
      <c r="E10" s="22">
        <v>1.7600000000000001E-2</v>
      </c>
      <c r="F10" s="22">
        <f>H10</f>
        <v>119.1615</v>
      </c>
      <c r="G10" s="22">
        <f>ROUND(F10*E10,2)</f>
        <v>2.1</v>
      </c>
      <c r="H10" s="337">
        <v>119.1615</v>
      </c>
      <c r="I10" s="2" t="e">
        <f>IF(A10&lt;&gt;0,VLOOKUP(A10,#REF!,2,FALSE),"")</f>
        <v>#REF!</v>
      </c>
      <c r="K10" s="435"/>
    </row>
    <row r="11" spans="1:11" ht="15" customHeight="1">
      <c r="A11" s="719" t="s">
        <v>1893</v>
      </c>
      <c r="B11" s="719"/>
      <c r="C11" s="719"/>
      <c r="D11" s="719"/>
      <c r="E11" s="719"/>
      <c r="F11" s="719"/>
      <c r="G11" s="71">
        <f>G10</f>
        <v>2.1</v>
      </c>
      <c r="K11" s="222"/>
    </row>
    <row r="12" spans="1:11" ht="24.75" customHeight="1">
      <c r="A12" s="72"/>
      <c r="B12" s="72"/>
      <c r="C12" s="327"/>
      <c r="D12" s="328"/>
      <c r="E12" s="72"/>
      <c r="F12" s="72"/>
      <c r="G12" s="72"/>
      <c r="K12" s="222"/>
    </row>
    <row r="13" spans="1:11" ht="36.75" customHeight="1">
      <c r="A13" s="612" t="s">
        <v>2040</v>
      </c>
      <c r="B13" s="613"/>
      <c r="C13" s="613"/>
      <c r="D13" s="613"/>
      <c r="E13" s="614"/>
      <c r="F13" s="67" t="s">
        <v>1914</v>
      </c>
      <c r="G13" s="230"/>
      <c r="K13" s="222"/>
    </row>
    <row r="14" spans="1:11" ht="28.5">
      <c r="A14" s="229" t="s">
        <v>370</v>
      </c>
      <c r="B14" s="230"/>
      <c r="C14" s="69" t="s">
        <v>3</v>
      </c>
      <c r="D14" s="69" t="s">
        <v>4</v>
      </c>
      <c r="E14" s="69" t="s">
        <v>1826</v>
      </c>
      <c r="F14" s="69" t="s">
        <v>367</v>
      </c>
      <c r="G14" s="69" t="s">
        <v>368</v>
      </c>
      <c r="K14" s="222"/>
    </row>
    <row r="15" spans="1:11" ht="75">
      <c r="A15" s="20">
        <v>5811</v>
      </c>
      <c r="B15" s="70" t="s">
        <v>1778</v>
      </c>
      <c r="C15" s="21" t="s">
        <v>12</v>
      </c>
      <c r="D15" s="21" t="s">
        <v>388</v>
      </c>
      <c r="E15" s="22">
        <v>0.1265</v>
      </c>
      <c r="F15" s="22">
        <f>H15</f>
        <v>125.20500000000001</v>
      </c>
      <c r="G15" s="22">
        <f>ROUND(F15*E15,2)</f>
        <v>15.84</v>
      </c>
      <c r="H15" s="337">
        <v>125.20500000000001</v>
      </c>
      <c r="I15" s="2" t="e">
        <f>IF(A15&lt;&gt;0,VLOOKUP(A15,#REF!,2,FALSE),"")</f>
        <v>#REF!</v>
      </c>
      <c r="K15" s="436"/>
    </row>
    <row r="16" spans="1:11" ht="15" customHeight="1">
      <c r="A16" s="719" t="s">
        <v>1893</v>
      </c>
      <c r="B16" s="719"/>
      <c r="C16" s="719"/>
      <c r="D16" s="719"/>
      <c r="E16" s="719"/>
      <c r="F16" s="719"/>
      <c r="G16" s="71">
        <f>G15</f>
        <v>15.84</v>
      </c>
      <c r="K16" s="222"/>
    </row>
    <row r="17" spans="1:11" ht="27" customHeight="1">
      <c r="A17" s="72"/>
      <c r="B17" s="72"/>
      <c r="C17" s="327"/>
      <c r="D17" s="328"/>
      <c r="E17" s="72"/>
      <c r="F17" s="72"/>
      <c r="G17" s="72"/>
      <c r="K17" s="222"/>
    </row>
    <row r="18" spans="1:11" ht="32.25" customHeight="1">
      <c r="A18" s="612" t="s">
        <v>2042</v>
      </c>
      <c r="B18" s="613"/>
      <c r="C18" s="613"/>
      <c r="D18" s="613"/>
      <c r="E18" s="614"/>
      <c r="F18" s="67" t="s">
        <v>1914</v>
      </c>
      <c r="G18" s="230"/>
      <c r="K18" s="222"/>
    </row>
    <row r="19" spans="1:11" ht="28.5">
      <c r="A19" s="229" t="s">
        <v>370</v>
      </c>
      <c r="B19" s="230"/>
      <c r="C19" s="69" t="s">
        <v>3</v>
      </c>
      <c r="D19" s="69" t="s">
        <v>4</v>
      </c>
      <c r="E19" s="69" t="s">
        <v>1826</v>
      </c>
      <c r="F19" s="69" t="s">
        <v>367</v>
      </c>
      <c r="G19" s="69" t="s">
        <v>368</v>
      </c>
      <c r="K19" s="222"/>
    </row>
    <row r="20" spans="1:11" ht="45">
      <c r="A20" s="20">
        <v>5847</v>
      </c>
      <c r="B20" s="70" t="s">
        <v>1779</v>
      </c>
      <c r="C20" s="21" t="s">
        <v>12</v>
      </c>
      <c r="D20" s="21" t="s">
        <v>388</v>
      </c>
      <c r="E20" s="22">
        <v>2.9867000000000001E-3</v>
      </c>
      <c r="F20" s="22">
        <f>H20</f>
        <v>164.77250000000001</v>
      </c>
      <c r="G20" s="22">
        <f>ROUND(F20*E20,2)</f>
        <v>0.49</v>
      </c>
      <c r="H20" s="337">
        <v>164.77250000000001</v>
      </c>
      <c r="I20" s="2" t="e">
        <f>IF(A20&lt;&gt;0,VLOOKUP(A20,#REF!,2,FALSE),"")</f>
        <v>#REF!</v>
      </c>
      <c r="K20" s="436"/>
    </row>
    <row r="21" spans="1:11" ht="30">
      <c r="A21" s="20">
        <v>88316</v>
      </c>
      <c r="B21" s="70" t="s">
        <v>377</v>
      </c>
      <c r="C21" s="21" t="s">
        <v>12</v>
      </c>
      <c r="D21" s="21" t="s">
        <v>19</v>
      </c>
      <c r="E21" s="22">
        <v>2.5499999999999998E-2</v>
      </c>
      <c r="F21" s="22">
        <f>H21</f>
        <v>11.798000000000002</v>
      </c>
      <c r="G21" s="22">
        <f>ROUND(F21*E21,2)</f>
        <v>0.3</v>
      </c>
      <c r="H21" s="337">
        <v>11.798000000000002</v>
      </c>
      <c r="I21" s="2" t="e">
        <f>IF(A21&lt;&gt;0,VLOOKUP(A21,#REF!,2,FALSE),"")</f>
        <v>#REF!</v>
      </c>
      <c r="K21" s="436"/>
    </row>
    <row r="22" spans="1:11" ht="15" customHeight="1">
      <c r="A22" s="719" t="s">
        <v>1893</v>
      </c>
      <c r="B22" s="719"/>
      <c r="C22" s="719"/>
      <c r="D22" s="719"/>
      <c r="E22" s="719"/>
      <c r="F22" s="719"/>
      <c r="G22" s="71">
        <f>SUM(G20:G21)</f>
        <v>0.79</v>
      </c>
      <c r="K22" s="222"/>
    </row>
    <row r="23" spans="1:11" ht="30" customHeight="1">
      <c r="A23" s="72"/>
      <c r="B23" s="72"/>
      <c r="C23" s="327"/>
      <c r="D23" s="328"/>
      <c r="E23" s="72"/>
      <c r="F23" s="72"/>
      <c r="G23" s="72"/>
      <c r="K23" s="222"/>
    </row>
    <row r="24" spans="1:11" ht="39" customHeight="1">
      <c r="A24" s="612" t="s">
        <v>2043</v>
      </c>
      <c r="B24" s="613"/>
      <c r="C24" s="613"/>
      <c r="D24" s="613"/>
      <c r="E24" s="614"/>
      <c r="F24" s="67" t="s">
        <v>1914</v>
      </c>
      <c r="G24" s="230"/>
      <c r="K24" s="222"/>
    </row>
    <row r="25" spans="1:11" ht="28.5">
      <c r="A25" s="229" t="s">
        <v>370</v>
      </c>
      <c r="B25" s="230"/>
      <c r="C25" s="69" t="s">
        <v>3</v>
      </c>
      <c r="D25" s="69" t="s">
        <v>4</v>
      </c>
      <c r="E25" s="69" t="s">
        <v>1826</v>
      </c>
      <c r="F25" s="69" t="s">
        <v>367</v>
      </c>
      <c r="G25" s="69" t="s">
        <v>368</v>
      </c>
      <c r="K25" s="222"/>
    </row>
    <row r="26" spans="1:11" ht="30">
      <c r="A26" s="20">
        <v>88309</v>
      </c>
      <c r="B26" s="70" t="s">
        <v>390</v>
      </c>
      <c r="C26" s="21" t="s">
        <v>12</v>
      </c>
      <c r="D26" s="21" t="s">
        <v>19</v>
      </c>
      <c r="E26" s="22">
        <v>0.104</v>
      </c>
      <c r="F26" s="22">
        <f>H26</f>
        <v>15.121499999999999</v>
      </c>
      <c r="G26" s="22">
        <f>ROUND(F26*E26,2)</f>
        <v>1.57</v>
      </c>
      <c r="H26" s="337">
        <v>15.121499999999999</v>
      </c>
      <c r="I26" s="2" t="e">
        <f>IF(A26&lt;&gt;0,VLOOKUP(A26,#REF!,2,FALSE),"")</f>
        <v>#REF!</v>
      </c>
      <c r="K26" s="436"/>
    </row>
    <row r="27" spans="1:11" ht="30">
      <c r="A27" s="20">
        <v>88316</v>
      </c>
      <c r="B27" s="70" t="s">
        <v>377</v>
      </c>
      <c r="C27" s="21" t="s">
        <v>12</v>
      </c>
      <c r="D27" s="21" t="s">
        <v>19</v>
      </c>
      <c r="E27" s="22">
        <v>0.156</v>
      </c>
      <c r="F27" s="22">
        <f>H27</f>
        <v>11.798000000000002</v>
      </c>
      <c r="G27" s="22">
        <f>ROUND(F27*E27,2)</f>
        <v>1.84</v>
      </c>
      <c r="H27" s="337">
        <v>11.798000000000002</v>
      </c>
      <c r="I27" s="2" t="e">
        <f>IF(A27&lt;&gt;0,VLOOKUP(A27,#REF!,2,FALSE),"")</f>
        <v>#REF!</v>
      </c>
      <c r="K27" s="436"/>
    </row>
    <row r="28" spans="1:11" ht="45">
      <c r="A28" s="20">
        <v>91533</v>
      </c>
      <c r="B28" s="70" t="s">
        <v>1776</v>
      </c>
      <c r="C28" s="21" t="s">
        <v>12</v>
      </c>
      <c r="D28" s="21" t="s">
        <v>388</v>
      </c>
      <c r="E28" s="22">
        <v>3.0000000000000001E-3</v>
      </c>
      <c r="F28" s="22">
        <f>H28</f>
        <v>24.8795</v>
      </c>
      <c r="G28" s="22">
        <f>ROUND(F28*E28,2)</f>
        <v>7.0000000000000007E-2</v>
      </c>
      <c r="H28" s="337">
        <v>24.8795</v>
      </c>
      <c r="I28" s="2" t="e">
        <f>IF(A28&lt;&gt;0,VLOOKUP(A28,#REF!,2,FALSE),"")</f>
        <v>#REF!</v>
      </c>
      <c r="K28" s="436"/>
    </row>
    <row r="29" spans="1:11" ht="45">
      <c r="A29" s="20">
        <v>91534</v>
      </c>
      <c r="B29" s="70" t="s">
        <v>1777</v>
      </c>
      <c r="C29" s="21" t="s">
        <v>12</v>
      </c>
      <c r="D29" s="21" t="s">
        <v>389</v>
      </c>
      <c r="E29" s="22">
        <v>3.0000000000000001E-3</v>
      </c>
      <c r="F29" s="22">
        <f>H29</f>
        <v>19.023</v>
      </c>
      <c r="G29" s="22">
        <f>ROUND(F29*E29,2)</f>
        <v>0.06</v>
      </c>
      <c r="H29" s="337">
        <v>19.023</v>
      </c>
      <c r="I29" s="2" t="e">
        <f>IF(A29&lt;&gt;0,VLOOKUP(A29,#REF!,2,FALSE),"")</f>
        <v>#REF!</v>
      </c>
      <c r="K29" s="436"/>
    </row>
    <row r="30" spans="1:11" ht="15" customHeight="1">
      <c r="A30" s="719" t="s">
        <v>1893</v>
      </c>
      <c r="B30" s="719"/>
      <c r="C30" s="719"/>
      <c r="D30" s="719"/>
      <c r="E30" s="719"/>
      <c r="F30" s="719"/>
      <c r="G30" s="71">
        <f>SUM(G26:G29)</f>
        <v>3.54</v>
      </c>
      <c r="K30" s="222"/>
    </row>
    <row r="31" spans="1:11" ht="24.75" customHeight="1">
      <c r="A31" s="72"/>
      <c r="B31" s="72"/>
      <c r="C31" s="327"/>
      <c r="D31" s="328"/>
      <c r="E31" s="72"/>
      <c r="F31" s="72"/>
      <c r="G31" s="72"/>
      <c r="K31" s="222"/>
    </row>
    <row r="32" spans="1:11" ht="36.75" customHeight="1">
      <c r="A32" s="612" t="s">
        <v>2044</v>
      </c>
      <c r="B32" s="613"/>
      <c r="C32" s="613"/>
      <c r="D32" s="613"/>
      <c r="E32" s="614"/>
      <c r="F32" s="67" t="s">
        <v>1914</v>
      </c>
      <c r="G32" s="230"/>
      <c r="K32" s="222"/>
    </row>
    <row r="33" spans="1:11" ht="28.5">
      <c r="A33" s="229" t="s">
        <v>1916</v>
      </c>
      <c r="B33" s="230"/>
      <c r="C33" s="69" t="s">
        <v>3</v>
      </c>
      <c r="D33" s="69" t="s">
        <v>4</v>
      </c>
      <c r="E33" s="69" t="s">
        <v>1826</v>
      </c>
      <c r="F33" s="69" t="s">
        <v>367</v>
      </c>
      <c r="G33" s="69" t="s">
        <v>368</v>
      </c>
      <c r="K33" s="222"/>
    </row>
    <row r="34" spans="1:11" ht="45">
      <c r="A34" s="20">
        <v>123</v>
      </c>
      <c r="B34" s="70" t="s">
        <v>391</v>
      </c>
      <c r="C34" s="21" t="s">
        <v>12</v>
      </c>
      <c r="D34" s="21" t="s">
        <v>45</v>
      </c>
      <c r="E34" s="22">
        <v>20</v>
      </c>
      <c r="F34" s="22">
        <f>H34</f>
        <v>5.8650000000000002</v>
      </c>
      <c r="G34" s="22">
        <f>ROUND(F34*E34,2)</f>
        <v>117.3</v>
      </c>
      <c r="H34" s="337">
        <v>5.8650000000000002</v>
      </c>
      <c r="I34" s="2" t="e">
        <f>IF(A34&lt;&gt;0,VLOOKUP(A34,#REF!,2,FALSE),"")</f>
        <v>#REF!</v>
      </c>
      <c r="K34" s="436"/>
    </row>
    <row r="35" spans="1:11" ht="30">
      <c r="A35" s="20">
        <v>88309</v>
      </c>
      <c r="B35" s="70" t="s">
        <v>390</v>
      </c>
      <c r="C35" s="21" t="s">
        <v>12</v>
      </c>
      <c r="D35" s="21" t="s">
        <v>19</v>
      </c>
      <c r="E35" s="22">
        <v>2</v>
      </c>
      <c r="F35" s="22">
        <f>H35</f>
        <v>15.121499999999999</v>
      </c>
      <c r="G35" s="22">
        <f>ROUND(F35*E35,2)</f>
        <v>30.24</v>
      </c>
      <c r="H35" s="337">
        <v>15.121499999999999</v>
      </c>
      <c r="I35" s="2" t="e">
        <f>IF(A35&lt;&gt;0,VLOOKUP(A35,#REF!,2,FALSE),"")</f>
        <v>#REF!</v>
      </c>
      <c r="K35" s="436"/>
    </row>
    <row r="36" spans="1:11" ht="30">
      <c r="A36" s="20">
        <v>88316</v>
      </c>
      <c r="B36" s="70" t="s">
        <v>377</v>
      </c>
      <c r="C36" s="21" t="s">
        <v>12</v>
      </c>
      <c r="D36" s="21" t="s">
        <v>19</v>
      </c>
      <c r="E36" s="22">
        <v>6</v>
      </c>
      <c r="F36" s="22">
        <f>H36</f>
        <v>11.798000000000002</v>
      </c>
      <c r="G36" s="22">
        <f>ROUND(F36*E36,2)</f>
        <v>70.790000000000006</v>
      </c>
      <c r="H36" s="337">
        <v>11.798000000000002</v>
      </c>
      <c r="I36" s="2" t="e">
        <f>IF(A36&lt;&gt;0,VLOOKUP(A36,#REF!,2,FALSE),"")</f>
        <v>#REF!</v>
      </c>
      <c r="K36" s="222"/>
    </row>
    <row r="37" spans="1:11" ht="45">
      <c r="A37" s="20">
        <v>94962</v>
      </c>
      <c r="B37" s="70" t="s">
        <v>1773</v>
      </c>
      <c r="C37" s="21" t="s">
        <v>12</v>
      </c>
      <c r="D37" s="21" t="s">
        <v>35</v>
      </c>
      <c r="E37" s="22">
        <v>1</v>
      </c>
      <c r="F37" s="22">
        <f>H37</f>
        <v>258.9015</v>
      </c>
      <c r="G37" s="22">
        <f>ROUND(F37*E37,2)</f>
        <v>258.89999999999998</v>
      </c>
      <c r="H37" s="337">
        <v>258.9015</v>
      </c>
      <c r="I37" s="2" t="e">
        <f>IF(A37&lt;&gt;0,VLOOKUP(A37,#REF!,2,FALSE),"")</f>
        <v>#REF!</v>
      </c>
      <c r="K37" s="222"/>
    </row>
    <row r="38" spans="1:11" ht="15" customHeight="1">
      <c r="A38" s="719" t="s">
        <v>1893</v>
      </c>
      <c r="B38" s="719"/>
      <c r="C38" s="719"/>
      <c r="D38" s="719"/>
      <c r="E38" s="719"/>
      <c r="F38" s="719"/>
      <c r="G38" s="71">
        <f>SUM(G34:G37)</f>
        <v>477.22999999999996</v>
      </c>
      <c r="K38" s="222"/>
    </row>
    <row r="39" spans="1:11" ht="28.5" customHeight="1">
      <c r="A39" s="72"/>
      <c r="B39" s="72"/>
      <c r="C39" s="327"/>
      <c r="D39" s="328"/>
      <c r="E39" s="72"/>
      <c r="F39" s="72"/>
      <c r="G39" s="72"/>
      <c r="K39" s="222"/>
    </row>
    <row r="40" spans="1:11" ht="24" customHeight="1">
      <c r="A40" s="612" t="s">
        <v>2046</v>
      </c>
      <c r="B40" s="613"/>
      <c r="C40" s="613"/>
      <c r="D40" s="613"/>
      <c r="E40" s="718"/>
      <c r="F40" s="67" t="s">
        <v>1914</v>
      </c>
      <c r="G40" s="230"/>
      <c r="K40" s="222"/>
    </row>
    <row r="41" spans="1:11" ht="28.5">
      <c r="A41" s="229" t="s">
        <v>1916</v>
      </c>
      <c r="B41" s="230"/>
      <c r="C41" s="69" t="s">
        <v>3</v>
      </c>
      <c r="D41" s="69" t="s">
        <v>4</v>
      </c>
      <c r="E41" s="69" t="s">
        <v>1826</v>
      </c>
      <c r="F41" s="69" t="s">
        <v>367</v>
      </c>
      <c r="G41" s="69" t="s">
        <v>368</v>
      </c>
      <c r="K41" s="222"/>
    </row>
    <row r="42" spans="1:11" ht="30">
      <c r="A42" s="20">
        <v>4509</v>
      </c>
      <c r="B42" s="70" t="s">
        <v>392</v>
      </c>
      <c r="C42" s="21" t="s">
        <v>12</v>
      </c>
      <c r="D42" s="21" t="s">
        <v>52</v>
      </c>
      <c r="E42" s="22">
        <v>3.5</v>
      </c>
      <c r="F42" s="22">
        <f>H42</f>
        <v>2.7709999999999999</v>
      </c>
      <c r="G42" s="22">
        <f>ROUND(F42*E42,2)</f>
        <v>9.6999999999999993</v>
      </c>
      <c r="H42" s="337">
        <v>2.7709999999999999</v>
      </c>
      <c r="I42" s="2" t="e">
        <f>IF(A42&lt;&gt;0,VLOOKUP(A42,#REF!,2,FALSE),"")</f>
        <v>#REF!</v>
      </c>
      <c r="K42" s="222"/>
    </row>
    <row r="43" spans="1:11" ht="30">
      <c r="A43" s="20">
        <v>5061</v>
      </c>
      <c r="B43" s="70" t="s">
        <v>386</v>
      </c>
      <c r="C43" s="21" t="s">
        <v>12</v>
      </c>
      <c r="D43" s="21" t="s">
        <v>45</v>
      </c>
      <c r="E43" s="22">
        <v>0.15</v>
      </c>
      <c r="F43" s="22">
        <f>H43</f>
        <v>15.725</v>
      </c>
      <c r="G43" s="22">
        <f>ROUND(F43*E43,2)</f>
        <v>2.36</v>
      </c>
      <c r="H43" s="337">
        <v>15.725</v>
      </c>
      <c r="I43" s="2" t="e">
        <f>IF(A43&lt;&gt;0,VLOOKUP(A43,#REF!,2,FALSE),"")</f>
        <v>#REF!</v>
      </c>
      <c r="K43" s="222"/>
    </row>
    <row r="44" spans="1:11" ht="30">
      <c r="A44" s="20">
        <v>6189</v>
      </c>
      <c r="B44" s="70" t="s">
        <v>387</v>
      </c>
      <c r="C44" s="21" t="s">
        <v>12</v>
      </c>
      <c r="D44" s="21" t="s">
        <v>52</v>
      </c>
      <c r="E44" s="22">
        <v>3.4870000000000001</v>
      </c>
      <c r="F44" s="22">
        <f>H44</f>
        <v>17.527000000000001</v>
      </c>
      <c r="G44" s="22">
        <f>ROUND(F44*E44,2)</f>
        <v>61.12</v>
      </c>
      <c r="H44" s="337">
        <v>17.527000000000001</v>
      </c>
      <c r="I44" s="2" t="e">
        <f>IF(A44&lt;&gt;0,VLOOKUP(A44,#REF!,2,FALSE),"")</f>
        <v>#REF!</v>
      </c>
      <c r="K44" s="222"/>
    </row>
    <row r="45" spans="1:11" ht="30">
      <c r="A45" s="20">
        <v>88262</v>
      </c>
      <c r="B45" s="70" t="s">
        <v>376</v>
      </c>
      <c r="C45" s="21" t="s">
        <v>12</v>
      </c>
      <c r="D45" s="21" t="s">
        <v>19</v>
      </c>
      <c r="E45" s="22">
        <v>1.3</v>
      </c>
      <c r="F45" s="22">
        <f>H45</f>
        <v>14.96</v>
      </c>
      <c r="G45" s="22">
        <f>ROUND(F45*E45,2)</f>
        <v>19.45</v>
      </c>
      <c r="H45" s="337">
        <v>14.96</v>
      </c>
      <c r="I45" s="2" t="e">
        <f>IF(A45&lt;&gt;0,VLOOKUP(A45,#REF!,2,FALSE),"")</f>
        <v>#REF!</v>
      </c>
      <c r="K45" s="222"/>
    </row>
    <row r="46" spans="1:11" ht="30">
      <c r="A46" s="20">
        <v>88239</v>
      </c>
      <c r="B46" s="70" t="s">
        <v>393</v>
      </c>
      <c r="C46" s="21" t="s">
        <v>12</v>
      </c>
      <c r="D46" s="21" t="s">
        <v>19</v>
      </c>
      <c r="E46" s="22">
        <v>0.32500000000000001</v>
      </c>
      <c r="F46" s="22">
        <f>H46</f>
        <v>12.622499999999999</v>
      </c>
      <c r="G46" s="22">
        <f>ROUND(F46*E46,2)</f>
        <v>4.0999999999999996</v>
      </c>
      <c r="H46" s="337">
        <v>12.622499999999999</v>
      </c>
      <c r="I46" s="2" t="e">
        <f>IF(A46&lt;&gt;0,VLOOKUP(A46,#REF!,2,FALSE),"")</f>
        <v>#REF!</v>
      </c>
      <c r="K46" s="222"/>
    </row>
    <row r="47" spans="1:11" ht="15" customHeight="1">
      <c r="A47" s="719" t="s">
        <v>1893</v>
      </c>
      <c r="B47" s="719"/>
      <c r="C47" s="719"/>
      <c r="D47" s="719"/>
      <c r="E47" s="719"/>
      <c r="F47" s="719"/>
      <c r="G47" s="71">
        <f>SUM(G42:G46)</f>
        <v>96.72999999999999</v>
      </c>
      <c r="K47" s="222"/>
    </row>
    <row r="48" spans="1:11">
      <c r="A48" s="72"/>
      <c r="B48" s="72"/>
      <c r="C48" s="327"/>
      <c r="D48" s="328"/>
      <c r="E48" s="72"/>
      <c r="F48" s="72"/>
      <c r="G48" s="72"/>
      <c r="K48" s="222"/>
    </row>
    <row r="49" spans="1:11">
      <c r="A49" s="72"/>
      <c r="B49" s="72"/>
      <c r="C49" s="327"/>
      <c r="D49" s="328"/>
      <c r="E49" s="72"/>
      <c r="F49" s="72"/>
      <c r="G49" s="72"/>
      <c r="K49" s="222"/>
    </row>
    <row r="50" spans="1:11" ht="26.25" customHeight="1">
      <c r="A50" s="612" t="s">
        <v>2047</v>
      </c>
      <c r="B50" s="613"/>
      <c r="C50" s="613"/>
      <c r="D50" s="613"/>
      <c r="E50" s="718"/>
      <c r="F50" s="67" t="s">
        <v>1914</v>
      </c>
      <c r="G50" s="230"/>
      <c r="K50" s="222"/>
    </row>
    <row r="51" spans="1:11" ht="28.5">
      <c r="A51" s="229" t="s">
        <v>1916</v>
      </c>
      <c r="B51" s="230"/>
      <c r="C51" s="69" t="s">
        <v>3</v>
      </c>
      <c r="D51" s="69" t="s">
        <v>4</v>
      </c>
      <c r="E51" s="69" t="s">
        <v>1826</v>
      </c>
      <c r="F51" s="69" t="s">
        <v>367</v>
      </c>
      <c r="G51" s="69" t="s">
        <v>368</v>
      </c>
      <c r="K51" s="222"/>
    </row>
    <row r="52" spans="1:11" ht="30">
      <c r="A52" s="20">
        <v>88309</v>
      </c>
      <c r="B52" s="70" t="s">
        <v>390</v>
      </c>
      <c r="C52" s="21" t="s">
        <v>12</v>
      </c>
      <c r="D52" s="21" t="s">
        <v>19</v>
      </c>
      <c r="E52" s="22">
        <v>1.65</v>
      </c>
      <c r="F52" s="22">
        <f>H52</f>
        <v>15.121499999999999</v>
      </c>
      <c r="G52" s="22">
        <f>ROUND(F52*E52,2)</f>
        <v>24.95</v>
      </c>
      <c r="H52" s="337">
        <v>15.121499999999999</v>
      </c>
      <c r="I52" s="2" t="e">
        <f>IF(A52&lt;&gt;0,VLOOKUP(A52,#REF!,2,FALSE),"")</f>
        <v>#REF!</v>
      </c>
      <c r="K52" s="222"/>
    </row>
    <row r="53" spans="1:11" ht="30">
      <c r="A53" s="20">
        <v>88316</v>
      </c>
      <c r="B53" s="70" t="s">
        <v>377</v>
      </c>
      <c r="C53" s="21" t="s">
        <v>12</v>
      </c>
      <c r="D53" s="21" t="s">
        <v>19</v>
      </c>
      <c r="E53" s="22">
        <v>4.5</v>
      </c>
      <c r="F53" s="22">
        <f>H53</f>
        <v>11.798000000000002</v>
      </c>
      <c r="G53" s="22">
        <f>ROUND(F53*E53,2)</f>
        <v>53.09</v>
      </c>
      <c r="H53" s="337">
        <v>11.798000000000002</v>
      </c>
      <c r="I53" s="2" t="e">
        <f>IF(A53&lt;&gt;0,VLOOKUP(A53,#REF!,2,FALSE),"")</f>
        <v>#REF!</v>
      </c>
      <c r="K53" s="222"/>
    </row>
    <row r="54" spans="1:11" ht="45">
      <c r="A54" s="20">
        <v>90586</v>
      </c>
      <c r="B54" s="70" t="s">
        <v>1780</v>
      </c>
      <c r="C54" s="21" t="s">
        <v>12</v>
      </c>
      <c r="D54" s="21" t="s">
        <v>388</v>
      </c>
      <c r="E54" s="22">
        <v>0.3</v>
      </c>
      <c r="F54" s="22">
        <f>H54</f>
        <v>1.4449999999999998</v>
      </c>
      <c r="G54" s="22">
        <f>ROUND(F54*E54,2)</f>
        <v>0.43</v>
      </c>
      <c r="H54" s="337">
        <v>1.4449999999999998</v>
      </c>
      <c r="I54" s="2" t="e">
        <f>IF(A54&lt;&gt;0,VLOOKUP(A54,#REF!,2,FALSE),"")</f>
        <v>#REF!</v>
      </c>
      <c r="K54" s="222"/>
    </row>
    <row r="55" spans="1:11" ht="15" customHeight="1">
      <c r="A55" s="719" t="s">
        <v>1893</v>
      </c>
      <c r="B55" s="719"/>
      <c r="C55" s="719"/>
      <c r="D55" s="719"/>
      <c r="E55" s="719"/>
      <c r="F55" s="719"/>
      <c r="G55" s="71">
        <f>SUM(G52:G54)</f>
        <v>78.470000000000013</v>
      </c>
      <c r="K55" s="222"/>
    </row>
    <row r="56" spans="1:11">
      <c r="A56" s="72"/>
      <c r="B56" s="72"/>
      <c r="C56" s="327"/>
      <c r="D56" s="328"/>
      <c r="E56" s="72"/>
      <c r="F56" s="72"/>
      <c r="G56" s="72"/>
      <c r="K56" s="222"/>
    </row>
    <row r="57" spans="1:11">
      <c r="A57" s="72"/>
      <c r="B57" s="72"/>
      <c r="C57" s="327"/>
      <c r="D57" s="328"/>
      <c r="E57" s="72"/>
      <c r="F57" s="72"/>
      <c r="G57" s="72"/>
      <c r="K57" s="222"/>
    </row>
    <row r="58" spans="1:11" ht="48.75" customHeight="1">
      <c r="A58" s="612" t="s">
        <v>2048</v>
      </c>
      <c r="B58" s="613"/>
      <c r="C58" s="613"/>
      <c r="D58" s="613"/>
      <c r="E58" s="614"/>
      <c r="F58" s="67" t="s">
        <v>1914</v>
      </c>
      <c r="G58" s="230"/>
      <c r="K58" s="222"/>
    </row>
    <row r="59" spans="1:11" ht="28.5">
      <c r="A59" s="229" t="s">
        <v>1916</v>
      </c>
      <c r="B59" s="230"/>
      <c r="C59" s="69" t="s">
        <v>3</v>
      </c>
      <c r="D59" s="69" t="s">
        <v>4</v>
      </c>
      <c r="E59" s="69" t="s">
        <v>1826</v>
      </c>
      <c r="F59" s="69" t="s">
        <v>367</v>
      </c>
      <c r="G59" s="69" t="s">
        <v>368</v>
      </c>
      <c r="K59" s="222"/>
    </row>
    <row r="60" spans="1:11" ht="45">
      <c r="A60" s="20">
        <v>2692</v>
      </c>
      <c r="B60" s="70" t="s">
        <v>399</v>
      </c>
      <c r="C60" s="21" t="s">
        <v>12</v>
      </c>
      <c r="D60" s="21" t="s">
        <v>381</v>
      </c>
      <c r="E60" s="22">
        <v>1.7000000000000001E-2</v>
      </c>
      <c r="F60" s="22">
        <f t="shared" ref="F60:F66" si="0">H60</f>
        <v>5.6355000000000004</v>
      </c>
      <c r="G60" s="22">
        <f t="shared" ref="G60:G66" si="1">ROUND(F60*E60,2)</f>
        <v>0.1</v>
      </c>
      <c r="H60" s="337">
        <v>5.6355000000000004</v>
      </c>
      <c r="I60" s="2" t="e">
        <f>IF(A60&lt;&gt;0,VLOOKUP(A60,#REF!,2,FALSE),"")</f>
        <v>#REF!</v>
      </c>
      <c r="K60" s="222"/>
    </row>
    <row r="61" spans="1:11" ht="30">
      <c r="A61" s="20">
        <v>6193</v>
      </c>
      <c r="B61" s="70" t="s">
        <v>384</v>
      </c>
      <c r="C61" s="21" t="s">
        <v>12</v>
      </c>
      <c r="D61" s="21" t="s">
        <v>52</v>
      </c>
      <c r="E61" s="22">
        <v>3.1120000000000001</v>
      </c>
      <c r="F61" s="22">
        <f t="shared" si="0"/>
        <v>12.0105</v>
      </c>
      <c r="G61" s="22">
        <f t="shared" si="1"/>
        <v>37.380000000000003</v>
      </c>
      <c r="H61" s="337">
        <v>12.0105</v>
      </c>
      <c r="I61" s="2" t="e">
        <f>IF(A61&lt;&gt;0,VLOOKUP(A61,#REF!,2,FALSE),"")</f>
        <v>#REF!</v>
      </c>
      <c r="K61" s="222"/>
    </row>
    <row r="62" spans="1:11" ht="30">
      <c r="A62" s="20">
        <v>40304</v>
      </c>
      <c r="B62" s="70" t="s">
        <v>400</v>
      </c>
      <c r="C62" s="21" t="s">
        <v>12</v>
      </c>
      <c r="D62" s="21" t="s">
        <v>45</v>
      </c>
      <c r="E62" s="22">
        <v>6.5000000000000002E-2</v>
      </c>
      <c r="F62" s="22">
        <f t="shared" si="0"/>
        <v>19.7455</v>
      </c>
      <c r="G62" s="22">
        <f t="shared" si="1"/>
        <v>1.28</v>
      </c>
      <c r="H62" s="337">
        <v>19.7455</v>
      </c>
      <c r="I62" s="2" t="e">
        <f>IF(A62&lt;&gt;0,VLOOKUP(A62,#REF!,2,FALSE),"")</f>
        <v>#REF!</v>
      </c>
      <c r="K62" s="222"/>
    </row>
    <row r="63" spans="1:11" ht="30">
      <c r="A63" s="20">
        <v>88239</v>
      </c>
      <c r="B63" s="70" t="s">
        <v>393</v>
      </c>
      <c r="C63" s="21" t="s">
        <v>12</v>
      </c>
      <c r="D63" s="21" t="s">
        <v>19</v>
      </c>
      <c r="E63" s="22">
        <v>0.81499999999999995</v>
      </c>
      <c r="F63" s="22">
        <f t="shared" si="0"/>
        <v>12.622499999999999</v>
      </c>
      <c r="G63" s="22">
        <f t="shared" si="1"/>
        <v>10.29</v>
      </c>
      <c r="H63" s="337">
        <v>12.622499999999999</v>
      </c>
      <c r="I63" s="2" t="e">
        <f>IF(A63&lt;&gt;0,VLOOKUP(A63,#REF!,2,FALSE),"")</f>
        <v>#REF!</v>
      </c>
      <c r="K63" s="222"/>
    </row>
    <row r="64" spans="1:11" ht="30">
      <c r="A64" s="20">
        <v>88262</v>
      </c>
      <c r="B64" s="70" t="s">
        <v>376</v>
      </c>
      <c r="C64" s="21" t="s">
        <v>12</v>
      </c>
      <c r="D64" s="21" t="s">
        <v>19</v>
      </c>
      <c r="E64" s="22">
        <v>4.4450000000000003</v>
      </c>
      <c r="F64" s="22">
        <f t="shared" si="0"/>
        <v>14.96</v>
      </c>
      <c r="G64" s="22">
        <f t="shared" si="1"/>
        <v>66.5</v>
      </c>
      <c r="H64" s="337">
        <v>14.96</v>
      </c>
      <c r="I64" s="2" t="e">
        <f>IF(A64&lt;&gt;0,VLOOKUP(A64,#REF!,2,FALSE),"")</f>
        <v>#REF!</v>
      </c>
      <c r="K64" s="222"/>
    </row>
    <row r="65" spans="1:11" ht="30">
      <c r="A65" s="20">
        <v>92271</v>
      </c>
      <c r="B65" s="70" t="s">
        <v>1781</v>
      </c>
      <c r="C65" s="21" t="s">
        <v>12</v>
      </c>
      <c r="D65" s="21" t="s">
        <v>26</v>
      </c>
      <c r="E65" s="22">
        <v>1.02</v>
      </c>
      <c r="F65" s="22">
        <f t="shared" si="0"/>
        <v>67.846999999999994</v>
      </c>
      <c r="G65" s="22">
        <f t="shared" si="1"/>
        <v>69.2</v>
      </c>
      <c r="H65" s="337">
        <v>67.846999999999994</v>
      </c>
      <c r="I65" s="2" t="e">
        <f>IF(A65&lt;&gt;0,VLOOKUP(A65,#REF!,2,FALSE),"")</f>
        <v>#REF!</v>
      </c>
      <c r="K65" s="222"/>
    </row>
    <row r="66" spans="1:11" ht="30">
      <c r="A66" s="20">
        <v>92273</v>
      </c>
      <c r="B66" s="70" t="s">
        <v>1782</v>
      </c>
      <c r="C66" s="21" t="s">
        <v>12</v>
      </c>
      <c r="D66" s="21" t="s">
        <v>52</v>
      </c>
      <c r="E66" s="22">
        <v>1.3480000000000001</v>
      </c>
      <c r="F66" s="22">
        <f t="shared" si="0"/>
        <v>9.7580000000000009</v>
      </c>
      <c r="G66" s="22">
        <f t="shared" si="1"/>
        <v>13.15</v>
      </c>
      <c r="H66" s="337">
        <v>9.7580000000000009</v>
      </c>
      <c r="I66" s="2" t="e">
        <f>IF(A66&lt;&gt;0,VLOOKUP(A66,#REF!,2,FALSE),"")</f>
        <v>#REF!</v>
      </c>
      <c r="K66" s="222"/>
    </row>
    <row r="67" spans="1:11" ht="15" customHeight="1">
      <c r="A67" s="719" t="s">
        <v>1893</v>
      </c>
      <c r="B67" s="719"/>
      <c r="C67" s="719"/>
      <c r="D67" s="719"/>
      <c r="E67" s="719"/>
      <c r="F67" s="719"/>
      <c r="G67" s="71">
        <f>SUM(G60:G66)</f>
        <v>197.9</v>
      </c>
      <c r="K67" s="222"/>
    </row>
    <row r="68" spans="1:11">
      <c r="A68" s="72"/>
      <c r="B68" s="72"/>
      <c r="C68" s="327"/>
      <c r="D68" s="328"/>
      <c r="E68" s="72"/>
      <c r="F68" s="72"/>
      <c r="G68" s="72"/>
      <c r="K68" s="222"/>
    </row>
    <row r="69" spans="1:11">
      <c r="A69" s="72"/>
      <c r="B69" s="72"/>
      <c r="C69" s="327"/>
      <c r="D69" s="328"/>
      <c r="E69" s="72"/>
      <c r="F69" s="72"/>
      <c r="G69" s="72"/>
      <c r="K69" s="222"/>
    </row>
    <row r="70" spans="1:11" ht="50.25" customHeight="1">
      <c r="A70" s="612" t="s">
        <v>2049</v>
      </c>
      <c r="B70" s="613"/>
      <c r="C70" s="613"/>
      <c r="D70" s="613"/>
      <c r="E70" s="718"/>
      <c r="F70" s="67" t="s">
        <v>1914</v>
      </c>
      <c r="G70" s="230"/>
      <c r="K70" s="222"/>
    </row>
    <row r="71" spans="1:11" ht="28.5">
      <c r="A71" s="229" t="s">
        <v>1916</v>
      </c>
      <c r="B71" s="230"/>
      <c r="C71" s="69" t="s">
        <v>3</v>
      </c>
      <c r="D71" s="69" t="s">
        <v>4</v>
      </c>
      <c r="E71" s="69" t="s">
        <v>1826</v>
      </c>
      <c r="F71" s="69" t="s">
        <v>367</v>
      </c>
      <c r="G71" s="69" t="s">
        <v>368</v>
      </c>
      <c r="K71" s="222"/>
    </row>
    <row r="72" spans="1:11" ht="60">
      <c r="A72" s="20">
        <v>1525</v>
      </c>
      <c r="B72" s="70" t="s">
        <v>401</v>
      </c>
      <c r="C72" s="21" t="s">
        <v>12</v>
      </c>
      <c r="D72" s="21" t="s">
        <v>35</v>
      </c>
      <c r="E72" s="22">
        <v>1.103</v>
      </c>
      <c r="F72" s="22">
        <f t="shared" ref="F72:F77" si="2">H72</f>
        <v>341.56399999999996</v>
      </c>
      <c r="G72" s="22">
        <f t="shared" ref="G72:G77" si="3">ROUND(F72*E72,2)</f>
        <v>376.75</v>
      </c>
      <c r="H72" s="337">
        <v>341.56399999999996</v>
      </c>
      <c r="I72" s="2" t="e">
        <f>IF(A72&lt;&gt;0,VLOOKUP(A72,#REF!,2,FALSE),"")</f>
        <v>#REF!</v>
      </c>
      <c r="K72" s="222"/>
    </row>
    <row r="73" spans="1:11" ht="30">
      <c r="A73" s="20">
        <v>88262</v>
      </c>
      <c r="B73" s="70" t="s">
        <v>376</v>
      </c>
      <c r="C73" s="21" t="s">
        <v>12</v>
      </c>
      <c r="D73" s="21" t="s">
        <v>19</v>
      </c>
      <c r="E73" s="22">
        <v>9.4E-2</v>
      </c>
      <c r="F73" s="22">
        <f t="shared" si="2"/>
        <v>14.96</v>
      </c>
      <c r="G73" s="22">
        <f t="shared" si="3"/>
        <v>1.41</v>
      </c>
      <c r="H73" s="337">
        <v>14.96</v>
      </c>
      <c r="I73" s="2" t="e">
        <f>IF(A73&lt;&gt;0,VLOOKUP(A73,#REF!,2,FALSE),"")</f>
        <v>#REF!</v>
      </c>
      <c r="K73" s="222"/>
    </row>
    <row r="74" spans="1:11" ht="30">
      <c r="A74" s="20">
        <v>88309</v>
      </c>
      <c r="B74" s="70" t="s">
        <v>390</v>
      </c>
      <c r="C74" s="21" t="s">
        <v>12</v>
      </c>
      <c r="D74" s="21" t="s">
        <v>19</v>
      </c>
      <c r="E74" s="22">
        <v>0.56499999999999995</v>
      </c>
      <c r="F74" s="22">
        <f t="shared" si="2"/>
        <v>15.121499999999999</v>
      </c>
      <c r="G74" s="22">
        <f t="shared" si="3"/>
        <v>8.5399999999999991</v>
      </c>
      <c r="H74" s="337">
        <v>15.121499999999999</v>
      </c>
      <c r="I74" s="2" t="e">
        <f>IF(A74&lt;&gt;0,VLOOKUP(A74,#REF!,2,FALSE),"")</f>
        <v>#REF!</v>
      </c>
      <c r="K74" s="222"/>
    </row>
    <row r="75" spans="1:11" ht="30">
      <c r="A75" s="20">
        <v>88316</v>
      </c>
      <c r="B75" s="70" t="s">
        <v>377</v>
      </c>
      <c r="C75" s="21" t="s">
        <v>12</v>
      </c>
      <c r="D75" s="21" t="s">
        <v>19</v>
      </c>
      <c r="E75" s="22">
        <v>0.63800000000000001</v>
      </c>
      <c r="F75" s="22">
        <f t="shared" si="2"/>
        <v>11.798000000000002</v>
      </c>
      <c r="G75" s="22">
        <f t="shared" si="3"/>
        <v>7.53</v>
      </c>
      <c r="H75" s="337">
        <v>11.798000000000002</v>
      </c>
      <c r="I75" s="2" t="e">
        <f>IF(A75&lt;&gt;0,VLOOKUP(A75,#REF!,2,FALSE),"")</f>
        <v>#REF!</v>
      </c>
      <c r="K75" s="222"/>
    </row>
    <row r="76" spans="1:11" ht="45">
      <c r="A76" s="20">
        <v>90586</v>
      </c>
      <c r="B76" s="70" t="s">
        <v>1780</v>
      </c>
      <c r="C76" s="21" t="s">
        <v>12</v>
      </c>
      <c r="D76" s="21" t="s">
        <v>388</v>
      </c>
      <c r="E76" s="22">
        <v>5.6000000000000001E-2</v>
      </c>
      <c r="F76" s="22">
        <f t="shared" si="2"/>
        <v>1.4449999999999998</v>
      </c>
      <c r="G76" s="22">
        <f t="shared" si="3"/>
        <v>0.08</v>
      </c>
      <c r="H76" s="337">
        <v>1.4449999999999998</v>
      </c>
      <c r="I76" s="2" t="e">
        <f>IF(A76&lt;&gt;0,VLOOKUP(A76,#REF!,2,FALSE),"")</f>
        <v>#REF!</v>
      </c>
      <c r="K76" s="222"/>
    </row>
    <row r="77" spans="1:11" ht="45">
      <c r="A77" s="20">
        <v>90587</v>
      </c>
      <c r="B77" s="70" t="s">
        <v>1783</v>
      </c>
      <c r="C77" s="21" t="s">
        <v>12</v>
      </c>
      <c r="D77" s="21" t="s">
        <v>389</v>
      </c>
      <c r="E77" s="22">
        <v>0.13300000000000001</v>
      </c>
      <c r="F77" s="22">
        <f t="shared" si="2"/>
        <v>0.374</v>
      </c>
      <c r="G77" s="22">
        <f t="shared" si="3"/>
        <v>0.05</v>
      </c>
      <c r="H77" s="337">
        <v>0.374</v>
      </c>
      <c r="I77" s="2" t="e">
        <f>IF(A77&lt;&gt;0,VLOOKUP(A77,#REF!,2,FALSE),"")</f>
        <v>#REF!</v>
      </c>
      <c r="K77" s="222"/>
    </row>
    <row r="78" spans="1:11" ht="15" customHeight="1">
      <c r="A78" s="719" t="s">
        <v>1893</v>
      </c>
      <c r="B78" s="719"/>
      <c r="C78" s="719"/>
      <c r="D78" s="719"/>
      <c r="E78" s="719"/>
      <c r="F78" s="719"/>
      <c r="G78" s="71">
        <f>SUM(G72:G77)</f>
        <v>394.36</v>
      </c>
      <c r="K78" s="222"/>
    </row>
    <row r="79" spans="1:11">
      <c r="A79" s="72"/>
      <c r="B79" s="72"/>
      <c r="C79" s="327"/>
      <c r="D79" s="328"/>
      <c r="E79" s="72"/>
      <c r="F79" s="72"/>
      <c r="G79" s="72"/>
      <c r="K79" s="222"/>
    </row>
    <row r="80" spans="1:11">
      <c r="A80" s="72"/>
      <c r="B80" s="72"/>
      <c r="C80" s="327"/>
      <c r="D80" s="328"/>
      <c r="E80" s="72"/>
      <c r="F80" s="72"/>
      <c r="G80" s="72"/>
      <c r="K80" s="222"/>
    </row>
    <row r="81" spans="1:11" ht="25.5" customHeight="1">
      <c r="A81" s="612" t="s">
        <v>2051</v>
      </c>
      <c r="B81" s="613"/>
      <c r="C81" s="613"/>
      <c r="D81" s="613"/>
      <c r="E81" s="718"/>
      <c r="F81" s="67" t="s">
        <v>1914</v>
      </c>
      <c r="G81" s="230"/>
      <c r="K81" s="222"/>
    </row>
    <row r="82" spans="1:11" ht="28.5">
      <c r="A82" s="229" t="s">
        <v>1916</v>
      </c>
      <c r="B82" s="230"/>
      <c r="C82" s="69" t="s">
        <v>3</v>
      </c>
      <c r="D82" s="69" t="s">
        <v>4</v>
      </c>
      <c r="E82" s="69" t="s">
        <v>1826</v>
      </c>
      <c r="F82" s="69" t="s">
        <v>367</v>
      </c>
      <c r="G82" s="69" t="s">
        <v>368</v>
      </c>
      <c r="K82" s="222"/>
    </row>
    <row r="83" spans="1:11" ht="60">
      <c r="A83" s="20">
        <v>11950</v>
      </c>
      <c r="B83" s="70" t="s">
        <v>404</v>
      </c>
      <c r="C83" s="21" t="s">
        <v>12</v>
      </c>
      <c r="D83" s="21" t="s">
        <v>17</v>
      </c>
      <c r="E83" s="22">
        <v>1</v>
      </c>
      <c r="F83" s="22">
        <f>H83</f>
        <v>0.10199999999999999</v>
      </c>
      <c r="G83" s="22">
        <f>ROUND(F83*E83,2)</f>
        <v>0.1</v>
      </c>
      <c r="H83" s="337">
        <v>0.10199999999999999</v>
      </c>
      <c r="I83" s="2" t="e">
        <f>IF(A83&lt;&gt;0,VLOOKUP(A83,#REF!,2,FALSE),"")</f>
        <v>#REF!</v>
      </c>
      <c r="K83" s="222"/>
    </row>
    <row r="84" spans="1:11" ht="30">
      <c r="A84" s="20">
        <v>39961</v>
      </c>
      <c r="B84" s="70" t="s">
        <v>405</v>
      </c>
      <c r="C84" s="21" t="s">
        <v>12</v>
      </c>
      <c r="D84" s="21" t="s">
        <v>17</v>
      </c>
      <c r="E84" s="22">
        <v>1</v>
      </c>
      <c r="F84" s="22">
        <f>H84</f>
        <v>18.581</v>
      </c>
      <c r="G84" s="22">
        <f>ROUND(F84*E84,2)</f>
        <v>18.579999999999998</v>
      </c>
      <c r="H84" s="337">
        <v>18.581</v>
      </c>
      <c r="I84" s="2" t="e">
        <f>IF(A84&lt;&gt;0,VLOOKUP(A84,#REF!,2,FALSE),"")</f>
        <v>#REF!</v>
      </c>
      <c r="K84" s="222"/>
    </row>
    <row r="85" spans="1:11" ht="45">
      <c r="A85" s="20">
        <v>36888</v>
      </c>
      <c r="B85" s="70" t="s">
        <v>406</v>
      </c>
      <c r="C85" s="21" t="s">
        <v>12</v>
      </c>
      <c r="D85" s="21" t="s">
        <v>52</v>
      </c>
      <c r="E85" s="22">
        <v>1</v>
      </c>
      <c r="F85" s="22">
        <f>H85</f>
        <v>11.202999999999999</v>
      </c>
      <c r="G85" s="22">
        <f>ROUND(F85*E85,2)</f>
        <v>11.2</v>
      </c>
      <c r="H85" s="337">
        <v>11.202999999999999</v>
      </c>
      <c r="I85" s="2" t="e">
        <f>IF(A85&lt;&gt;0,VLOOKUP(A85,#REF!,2,FALSE),"")</f>
        <v>#REF!</v>
      </c>
      <c r="K85" s="222"/>
    </row>
    <row r="86" spans="1:11" ht="30">
      <c r="A86" s="20">
        <v>88309</v>
      </c>
      <c r="B86" s="70" t="s">
        <v>390</v>
      </c>
      <c r="C86" s="21" t="s">
        <v>12</v>
      </c>
      <c r="D86" s="21" t="s">
        <v>19</v>
      </c>
      <c r="E86" s="22">
        <v>0.152</v>
      </c>
      <c r="F86" s="22">
        <f>H86</f>
        <v>15.121499999999999</v>
      </c>
      <c r="G86" s="22">
        <f>ROUND(F86*E86,2)</f>
        <v>2.2999999999999998</v>
      </c>
      <c r="H86" s="337">
        <v>15.121499999999999</v>
      </c>
      <c r="I86" s="2" t="e">
        <f>IF(A86&lt;&gt;0,VLOOKUP(A86,#REF!,2,FALSE),"")</f>
        <v>#REF!</v>
      </c>
      <c r="K86" s="222"/>
    </row>
    <row r="87" spans="1:11" ht="30">
      <c r="A87" s="20">
        <v>88316</v>
      </c>
      <c r="B87" s="70" t="s">
        <v>377</v>
      </c>
      <c r="C87" s="21" t="s">
        <v>12</v>
      </c>
      <c r="D87" s="21" t="s">
        <v>19</v>
      </c>
      <c r="E87" s="22">
        <v>7.5999999999999998E-2</v>
      </c>
      <c r="F87" s="22">
        <f>H87</f>
        <v>11.798000000000002</v>
      </c>
      <c r="G87" s="22">
        <f>ROUND(F87*E87,2)</f>
        <v>0.9</v>
      </c>
      <c r="H87" s="337">
        <v>11.798000000000002</v>
      </c>
      <c r="I87" s="2" t="e">
        <f>IF(A87&lt;&gt;0,VLOOKUP(A87,#REF!,2,FALSE),"")</f>
        <v>#REF!</v>
      </c>
      <c r="K87" s="222"/>
    </row>
    <row r="88" spans="1:11" ht="15" customHeight="1">
      <c r="A88" s="719" t="s">
        <v>1893</v>
      </c>
      <c r="B88" s="719"/>
      <c r="C88" s="719"/>
      <c r="D88" s="719"/>
      <c r="E88" s="719"/>
      <c r="F88" s="719"/>
      <c r="G88" s="71">
        <f>SUM(G83:G87)</f>
        <v>33.08</v>
      </c>
      <c r="K88" s="222"/>
    </row>
    <row r="89" spans="1:11">
      <c r="A89" s="72"/>
      <c r="B89" s="72"/>
      <c r="C89" s="327"/>
      <c r="D89" s="328"/>
      <c r="E89" s="72"/>
      <c r="F89" s="72"/>
      <c r="G89" s="72"/>
      <c r="K89" s="222"/>
    </row>
    <row r="90" spans="1:11">
      <c r="A90" s="72"/>
      <c r="B90" s="72"/>
      <c r="C90" s="327"/>
      <c r="D90" s="328"/>
      <c r="E90" s="72"/>
      <c r="F90" s="72"/>
      <c r="G90" s="72"/>
      <c r="K90" s="222"/>
    </row>
    <row r="91" spans="1:11" ht="55.5" customHeight="1">
      <c r="A91" s="612" t="s">
        <v>2053</v>
      </c>
      <c r="B91" s="613"/>
      <c r="C91" s="613"/>
      <c r="D91" s="613"/>
      <c r="E91" s="718"/>
      <c r="F91" s="67" t="s">
        <v>1914</v>
      </c>
      <c r="G91" s="230"/>
      <c r="K91" s="222"/>
    </row>
    <row r="92" spans="1:11" ht="28.5">
      <c r="A92" s="229" t="s">
        <v>1916</v>
      </c>
      <c r="B92" s="230"/>
      <c r="C92" s="69" t="s">
        <v>3</v>
      </c>
      <c r="D92" s="69" t="s">
        <v>4</v>
      </c>
      <c r="E92" s="69" t="s">
        <v>1826</v>
      </c>
      <c r="F92" s="69" t="s">
        <v>367</v>
      </c>
      <c r="G92" s="69" t="s">
        <v>368</v>
      </c>
      <c r="K92" s="222"/>
    </row>
    <row r="93" spans="1:11">
      <c r="A93" s="20">
        <v>43059</v>
      </c>
      <c r="B93" s="70" t="s">
        <v>407</v>
      </c>
      <c r="C93" s="21" t="s">
        <v>12</v>
      </c>
      <c r="D93" s="21" t="s">
        <v>45</v>
      </c>
      <c r="E93" s="22">
        <v>0.6</v>
      </c>
      <c r="F93" s="22">
        <f t="shared" ref="F93:F98" si="4">H93</f>
        <v>8.9589999999999996</v>
      </c>
      <c r="G93" s="22">
        <f t="shared" ref="G93:G98" si="5">ROUND(F93*E93,2)</f>
        <v>5.38</v>
      </c>
      <c r="H93" s="337">
        <v>8.9589999999999996</v>
      </c>
      <c r="I93" s="2" t="e">
        <f>IF(A93&lt;&gt;0,VLOOKUP(A93,#REF!,2,FALSE),"")</f>
        <v>#REF!</v>
      </c>
      <c r="K93" s="222"/>
    </row>
    <row r="94" spans="1:11" ht="30">
      <c r="A94" s="20">
        <v>716</v>
      </c>
      <c r="B94" s="70" t="s">
        <v>408</v>
      </c>
      <c r="C94" s="21" t="s">
        <v>12</v>
      </c>
      <c r="D94" s="21" t="s">
        <v>17</v>
      </c>
      <c r="E94" s="22">
        <v>25</v>
      </c>
      <c r="F94" s="22">
        <f t="shared" si="4"/>
        <v>14.560499999999999</v>
      </c>
      <c r="G94" s="22">
        <f t="shared" si="5"/>
        <v>364.01</v>
      </c>
      <c r="H94" s="337">
        <v>14.560499999999999</v>
      </c>
      <c r="I94" s="2" t="e">
        <f>IF(A94&lt;&gt;0,VLOOKUP(A94,#REF!,2,FALSE),"")</f>
        <v>#REF!</v>
      </c>
      <c r="K94" s="222"/>
    </row>
    <row r="95" spans="1:11">
      <c r="A95" s="20">
        <v>1380</v>
      </c>
      <c r="B95" s="70" t="s">
        <v>409</v>
      </c>
      <c r="C95" s="21" t="s">
        <v>12</v>
      </c>
      <c r="D95" s="21" t="s">
        <v>45</v>
      </c>
      <c r="E95" s="22">
        <v>0.25</v>
      </c>
      <c r="F95" s="22">
        <f t="shared" si="4"/>
        <v>1.8955</v>
      </c>
      <c r="G95" s="22">
        <f t="shared" si="5"/>
        <v>0.47</v>
      </c>
      <c r="H95" s="337">
        <v>1.8955</v>
      </c>
      <c r="I95" s="2" t="e">
        <f>IF(A95&lt;&gt;0,VLOOKUP(A95,#REF!,2,FALSE),"")</f>
        <v>#REF!</v>
      </c>
      <c r="K95" s="222"/>
    </row>
    <row r="96" spans="1:11" ht="45">
      <c r="A96" s="20">
        <v>87313</v>
      </c>
      <c r="B96" s="70" t="s">
        <v>1786</v>
      </c>
      <c r="C96" s="21" t="s">
        <v>12</v>
      </c>
      <c r="D96" s="21" t="s">
        <v>35</v>
      </c>
      <c r="E96" s="22">
        <v>1.559E-2</v>
      </c>
      <c r="F96" s="22">
        <f t="shared" si="4"/>
        <v>364.76049999999998</v>
      </c>
      <c r="G96" s="22">
        <f t="shared" si="5"/>
        <v>5.69</v>
      </c>
      <c r="H96" s="337">
        <v>364.76049999999998</v>
      </c>
      <c r="I96" s="2" t="e">
        <f>IF(A96&lt;&gt;0,VLOOKUP(A96,#REF!,2,FALSE),"")</f>
        <v>#REF!</v>
      </c>
      <c r="K96" s="222"/>
    </row>
    <row r="97" spans="1:11" ht="30">
      <c r="A97" s="20">
        <v>88309</v>
      </c>
      <c r="B97" s="70" t="s">
        <v>390</v>
      </c>
      <c r="C97" s="21" t="s">
        <v>12</v>
      </c>
      <c r="D97" s="21" t="s">
        <v>19</v>
      </c>
      <c r="E97" s="22">
        <v>4</v>
      </c>
      <c r="F97" s="22">
        <f t="shared" si="4"/>
        <v>15.121499999999999</v>
      </c>
      <c r="G97" s="22">
        <f t="shared" si="5"/>
        <v>60.49</v>
      </c>
      <c r="H97" s="337">
        <v>15.121499999999999</v>
      </c>
      <c r="I97" s="2" t="e">
        <f>IF(A97&lt;&gt;0,VLOOKUP(A97,#REF!,2,FALSE),"")</f>
        <v>#REF!</v>
      </c>
      <c r="K97" s="222"/>
    </row>
    <row r="98" spans="1:11" ht="30">
      <c r="A98" s="20">
        <v>88316</v>
      </c>
      <c r="B98" s="70" t="s">
        <v>377</v>
      </c>
      <c r="C98" s="21" t="s">
        <v>12</v>
      </c>
      <c r="D98" s="21" t="s">
        <v>19</v>
      </c>
      <c r="E98" s="22">
        <v>4.0041000000000002</v>
      </c>
      <c r="F98" s="22">
        <f t="shared" si="4"/>
        <v>11.798000000000002</v>
      </c>
      <c r="G98" s="22">
        <f t="shared" si="5"/>
        <v>47.24</v>
      </c>
      <c r="H98" s="337">
        <v>11.798000000000002</v>
      </c>
      <c r="I98" s="2" t="e">
        <f>IF(A98&lt;&gt;0,VLOOKUP(A98,#REF!,2,FALSE),"")</f>
        <v>#REF!</v>
      </c>
      <c r="K98" s="222"/>
    </row>
    <row r="99" spans="1:11" ht="15" customHeight="1">
      <c r="A99" s="719" t="s">
        <v>1893</v>
      </c>
      <c r="B99" s="719"/>
      <c r="C99" s="719"/>
      <c r="D99" s="719"/>
      <c r="E99" s="719"/>
      <c r="F99" s="719"/>
      <c r="G99" s="71">
        <f>SUM(G93:G98)</f>
        <v>483.28000000000003</v>
      </c>
      <c r="K99" s="222"/>
    </row>
    <row r="100" spans="1:11" ht="22.5" customHeight="1">
      <c r="A100" s="72"/>
      <c r="B100" s="72"/>
      <c r="C100" s="327"/>
      <c r="D100" s="328"/>
      <c r="E100" s="72"/>
      <c r="F100" s="72"/>
      <c r="G100" s="72"/>
      <c r="K100" s="222"/>
    </row>
    <row r="101" spans="1:11" ht="51.75" customHeight="1">
      <c r="A101" s="612" t="s">
        <v>2054</v>
      </c>
      <c r="B101" s="613"/>
      <c r="C101" s="613"/>
      <c r="D101" s="613"/>
      <c r="E101" s="718"/>
      <c r="F101" s="67" t="s">
        <v>1914</v>
      </c>
      <c r="G101" s="230"/>
      <c r="K101" s="222"/>
    </row>
    <row r="102" spans="1:11" ht="28.5">
      <c r="A102" s="69" t="s">
        <v>1916</v>
      </c>
      <c r="B102" s="230"/>
      <c r="C102" s="69" t="s">
        <v>3</v>
      </c>
      <c r="D102" s="69" t="s">
        <v>4</v>
      </c>
      <c r="E102" s="69" t="s">
        <v>1826</v>
      </c>
      <c r="F102" s="69" t="s">
        <v>367</v>
      </c>
      <c r="G102" s="69" t="s">
        <v>368</v>
      </c>
      <c r="K102" s="222"/>
    </row>
    <row r="103" spans="1:11" ht="45">
      <c r="A103" s="20">
        <v>2692</v>
      </c>
      <c r="B103" s="70" t="s">
        <v>399</v>
      </c>
      <c r="C103" s="21" t="s">
        <v>12</v>
      </c>
      <c r="D103" s="21" t="s">
        <v>381</v>
      </c>
      <c r="E103" s="22">
        <v>1.7000000000000001E-2</v>
      </c>
      <c r="F103" s="22">
        <f>H103</f>
        <v>5.6355000000000004</v>
      </c>
      <c r="G103" s="22">
        <f>ROUND(F103*E103,2)</f>
        <v>0.1</v>
      </c>
      <c r="H103" s="337">
        <v>5.6355000000000004</v>
      </c>
      <c r="I103" s="2" t="e">
        <f>IF(A103&lt;&gt;0,VLOOKUP(A103,#REF!,2,FALSE),"")</f>
        <v>#REF!</v>
      </c>
      <c r="K103" s="222"/>
    </row>
    <row r="104" spans="1:11" ht="30">
      <c r="A104" s="20">
        <v>40304</v>
      </c>
      <c r="B104" s="70" t="s">
        <v>400</v>
      </c>
      <c r="C104" s="21" t="s">
        <v>12</v>
      </c>
      <c r="D104" s="21" t="s">
        <v>45</v>
      </c>
      <c r="E104" s="22">
        <v>2.7E-2</v>
      </c>
      <c r="F104" s="22">
        <f>H104</f>
        <v>19.7455</v>
      </c>
      <c r="G104" s="22">
        <f>ROUND(F104*E104,2)</f>
        <v>0.53</v>
      </c>
      <c r="H104" s="337">
        <v>19.7455</v>
      </c>
      <c r="I104" s="2" t="e">
        <f>IF(A104&lt;&gt;0,VLOOKUP(A104,#REF!,2,FALSE),"")</f>
        <v>#REF!</v>
      </c>
      <c r="K104" s="222"/>
    </row>
    <row r="105" spans="1:11" ht="30">
      <c r="A105" s="20">
        <v>88239</v>
      </c>
      <c r="B105" s="70" t="s">
        <v>393</v>
      </c>
      <c r="C105" s="21" t="s">
        <v>12</v>
      </c>
      <c r="D105" s="21" t="s">
        <v>19</v>
      </c>
      <c r="E105" s="22">
        <v>0.628</v>
      </c>
      <c r="F105" s="22">
        <f>H105</f>
        <v>12.622499999999999</v>
      </c>
      <c r="G105" s="22">
        <f>ROUND(F105*E105,2)</f>
        <v>7.93</v>
      </c>
      <c r="H105" s="337">
        <v>12.622499999999999</v>
      </c>
      <c r="I105" s="2" t="e">
        <f>IF(A105&lt;&gt;0,VLOOKUP(A105,#REF!,2,FALSE),"")</f>
        <v>#REF!</v>
      </c>
      <c r="K105" s="222"/>
    </row>
    <row r="106" spans="1:11" ht="30">
      <c r="A106" s="20">
        <v>88262</v>
      </c>
      <c r="B106" s="70" t="s">
        <v>376</v>
      </c>
      <c r="C106" s="21" t="s">
        <v>12</v>
      </c>
      <c r="D106" s="21" t="s">
        <v>19</v>
      </c>
      <c r="E106" s="22">
        <v>3.4220000000000002</v>
      </c>
      <c r="F106" s="22">
        <f>H106</f>
        <v>14.96</v>
      </c>
      <c r="G106" s="22">
        <f>ROUND(F106*E106,2)</f>
        <v>51.19</v>
      </c>
      <c r="H106" s="337">
        <v>14.96</v>
      </c>
      <c r="I106" s="2" t="e">
        <f>IF(A106&lt;&gt;0,VLOOKUP(A106,#REF!,2,FALSE),"")</f>
        <v>#REF!</v>
      </c>
      <c r="K106" s="222"/>
    </row>
    <row r="107" spans="1:11" ht="45">
      <c r="A107" s="20">
        <v>92269</v>
      </c>
      <c r="B107" s="70" t="s">
        <v>1787</v>
      </c>
      <c r="C107" s="21" t="s">
        <v>12</v>
      </c>
      <c r="D107" s="21" t="s">
        <v>26</v>
      </c>
      <c r="E107" s="22">
        <v>1.02</v>
      </c>
      <c r="F107" s="22">
        <f>H107</f>
        <v>139.51050000000001</v>
      </c>
      <c r="G107" s="22">
        <f>ROUND(F107*E107,2)</f>
        <v>142.30000000000001</v>
      </c>
      <c r="H107" s="337">
        <v>139.51050000000001</v>
      </c>
      <c r="I107" s="2" t="e">
        <f>IF(A107&lt;&gt;0,VLOOKUP(A107,#REF!,2,FALSE),"")</f>
        <v>#REF!</v>
      </c>
      <c r="K107" s="222"/>
    </row>
    <row r="108" spans="1:11" ht="15" customHeight="1">
      <c r="A108" s="719" t="s">
        <v>1893</v>
      </c>
      <c r="B108" s="719"/>
      <c r="C108" s="719"/>
      <c r="D108" s="719"/>
      <c r="E108" s="719"/>
      <c r="F108" s="719"/>
      <c r="G108" s="71">
        <f>SUM(G103:G107)</f>
        <v>202.05</v>
      </c>
      <c r="K108" s="222"/>
    </row>
    <row r="109" spans="1:11">
      <c r="A109" s="72"/>
      <c r="B109" s="72"/>
      <c r="C109" s="327"/>
      <c r="D109" s="328"/>
      <c r="E109" s="72"/>
      <c r="F109" s="72"/>
      <c r="G109" s="72"/>
      <c r="K109" s="222"/>
    </row>
    <row r="110" spans="1:11">
      <c r="A110" s="72"/>
      <c r="B110" s="72"/>
      <c r="C110" s="327"/>
      <c r="D110" s="328"/>
      <c r="E110" s="72"/>
      <c r="F110" s="72"/>
      <c r="G110" s="72"/>
      <c r="K110" s="222"/>
    </row>
    <row r="111" spans="1:11" ht="51" customHeight="1">
      <c r="A111" s="612" t="s">
        <v>2055</v>
      </c>
      <c r="B111" s="613"/>
      <c r="C111" s="613"/>
      <c r="D111" s="613"/>
      <c r="E111" s="614"/>
      <c r="F111" s="67" t="s">
        <v>1914</v>
      </c>
      <c r="G111" s="230"/>
      <c r="K111" s="222"/>
    </row>
    <row r="112" spans="1:11" ht="28.5">
      <c r="A112" s="69" t="s">
        <v>1916</v>
      </c>
      <c r="B112" s="230"/>
      <c r="C112" s="69" t="s">
        <v>3</v>
      </c>
      <c r="D112" s="69" t="s">
        <v>4</v>
      </c>
      <c r="E112" s="69" t="s">
        <v>1826</v>
      </c>
      <c r="F112" s="69" t="s">
        <v>367</v>
      </c>
      <c r="G112" s="69" t="s">
        <v>368</v>
      </c>
      <c r="K112" s="222"/>
    </row>
    <row r="113" spans="1:11" ht="60">
      <c r="A113" s="20">
        <v>1525</v>
      </c>
      <c r="B113" s="70" t="s">
        <v>401</v>
      </c>
      <c r="C113" s="21" t="s">
        <v>12</v>
      </c>
      <c r="D113" s="21" t="s">
        <v>35</v>
      </c>
      <c r="E113" s="22">
        <v>1.103</v>
      </c>
      <c r="F113" s="22">
        <f t="shared" ref="F113:F118" si="6">H113</f>
        <v>341.56399999999996</v>
      </c>
      <c r="G113" s="22">
        <f t="shared" ref="G113:G118" si="7">ROUND(F113*E113,2)</f>
        <v>376.75</v>
      </c>
      <c r="H113" s="337">
        <v>341.56399999999996</v>
      </c>
      <c r="I113" s="2" t="e">
        <f>IF(A113&lt;&gt;0,VLOOKUP(A113,#REF!,2,FALSE),"")</f>
        <v>#REF!</v>
      </c>
      <c r="K113" s="222"/>
    </row>
    <row r="114" spans="1:11" ht="30">
      <c r="A114" s="20">
        <v>88262</v>
      </c>
      <c r="B114" s="70" t="s">
        <v>376</v>
      </c>
      <c r="C114" s="21" t="s">
        <v>12</v>
      </c>
      <c r="D114" s="21" t="s">
        <v>19</v>
      </c>
      <c r="E114" s="22">
        <v>0.19900000000000001</v>
      </c>
      <c r="F114" s="22">
        <f t="shared" si="6"/>
        <v>14.96</v>
      </c>
      <c r="G114" s="22">
        <f t="shared" si="7"/>
        <v>2.98</v>
      </c>
      <c r="H114" s="337">
        <v>14.96</v>
      </c>
      <c r="I114" s="2" t="e">
        <f>IF(A114&lt;&gt;0,VLOOKUP(A114,#REF!,2,FALSE),"")</f>
        <v>#REF!</v>
      </c>
      <c r="K114" s="222"/>
    </row>
    <row r="115" spans="1:11" ht="30">
      <c r="A115" s="20">
        <v>88309</v>
      </c>
      <c r="B115" s="70" t="s">
        <v>390</v>
      </c>
      <c r="C115" s="21" t="s">
        <v>12</v>
      </c>
      <c r="D115" s="21" t="s">
        <v>19</v>
      </c>
      <c r="E115" s="22">
        <v>0.19900000000000001</v>
      </c>
      <c r="F115" s="22">
        <f t="shared" si="6"/>
        <v>15.121499999999999</v>
      </c>
      <c r="G115" s="22">
        <f t="shared" si="7"/>
        <v>3.01</v>
      </c>
      <c r="H115" s="337">
        <v>15.121499999999999</v>
      </c>
      <c r="I115" s="2" t="e">
        <f>IF(A115&lt;&gt;0,VLOOKUP(A115,#REF!,2,FALSE),"")</f>
        <v>#REF!</v>
      </c>
      <c r="K115" s="222"/>
    </row>
    <row r="116" spans="1:11" ht="30">
      <c r="A116" s="20">
        <v>88316</v>
      </c>
      <c r="B116" s="70" t="s">
        <v>377</v>
      </c>
      <c r="C116" s="21" t="s">
        <v>12</v>
      </c>
      <c r="D116" s="21" t="s">
        <v>19</v>
      </c>
      <c r="E116" s="22">
        <v>1.1919999999999999</v>
      </c>
      <c r="F116" s="22">
        <f t="shared" si="6"/>
        <v>11.798000000000002</v>
      </c>
      <c r="G116" s="22">
        <f t="shared" si="7"/>
        <v>14.06</v>
      </c>
      <c r="H116" s="337">
        <v>11.798000000000002</v>
      </c>
      <c r="I116" s="2" t="e">
        <f>IF(A116&lt;&gt;0,VLOOKUP(A116,#REF!,2,FALSE),"")</f>
        <v>#REF!</v>
      </c>
      <c r="K116" s="222"/>
    </row>
    <row r="117" spans="1:11" ht="45">
      <c r="A117" s="20">
        <v>90586</v>
      </c>
      <c r="B117" s="70" t="s">
        <v>1780</v>
      </c>
      <c r="C117" s="21" t="s">
        <v>12</v>
      </c>
      <c r="D117" s="21" t="s">
        <v>388</v>
      </c>
      <c r="E117" s="22">
        <v>6.8000000000000005E-2</v>
      </c>
      <c r="F117" s="22">
        <f t="shared" si="6"/>
        <v>1.4449999999999998</v>
      </c>
      <c r="G117" s="22">
        <f t="shared" si="7"/>
        <v>0.1</v>
      </c>
      <c r="H117" s="337">
        <v>1.4449999999999998</v>
      </c>
      <c r="I117" s="2" t="e">
        <f>IF(A117&lt;&gt;0,VLOOKUP(A117,#REF!,2,FALSE),"")</f>
        <v>#REF!</v>
      </c>
      <c r="K117" s="222"/>
    </row>
    <row r="118" spans="1:11" ht="45">
      <c r="A118" s="20">
        <v>90587</v>
      </c>
      <c r="B118" s="70" t="s">
        <v>1783</v>
      </c>
      <c r="C118" s="21" t="s">
        <v>12</v>
      </c>
      <c r="D118" s="21" t="s">
        <v>389</v>
      </c>
      <c r="E118" s="22">
        <v>0.13100000000000001</v>
      </c>
      <c r="F118" s="22">
        <f t="shared" si="6"/>
        <v>0.374</v>
      </c>
      <c r="G118" s="22">
        <f t="shared" si="7"/>
        <v>0.05</v>
      </c>
      <c r="H118" s="337">
        <v>0.374</v>
      </c>
      <c r="I118" s="2" t="e">
        <f>IF(A118&lt;&gt;0,VLOOKUP(A118,#REF!,2,FALSE),"")</f>
        <v>#REF!</v>
      </c>
      <c r="K118" s="222"/>
    </row>
    <row r="119" spans="1:11" ht="15" customHeight="1">
      <c r="A119" s="719" t="s">
        <v>1893</v>
      </c>
      <c r="B119" s="719"/>
      <c r="C119" s="719"/>
      <c r="D119" s="719"/>
      <c r="E119" s="719"/>
      <c r="F119" s="719"/>
      <c r="G119" s="71">
        <f>ROUND(SUM(G113:G118),2)</f>
        <v>396.95</v>
      </c>
      <c r="K119" s="222"/>
    </row>
    <row r="120" spans="1:11">
      <c r="A120" s="72"/>
      <c r="B120" s="72"/>
      <c r="C120" s="327"/>
      <c r="D120" s="328"/>
      <c r="E120" s="72"/>
      <c r="F120" s="72"/>
      <c r="G120" s="72"/>
      <c r="K120" s="222"/>
    </row>
    <row r="121" spans="1:11">
      <c r="A121" s="72"/>
      <c r="B121" s="72"/>
      <c r="C121" s="327"/>
      <c r="D121" s="328"/>
      <c r="E121" s="72"/>
      <c r="F121" s="72"/>
      <c r="G121" s="72"/>
      <c r="K121" s="222"/>
    </row>
    <row r="122" spans="1:11" ht="57.75" customHeight="1">
      <c r="A122" s="612" t="s">
        <v>2056</v>
      </c>
      <c r="B122" s="613"/>
      <c r="C122" s="613"/>
      <c r="D122" s="613"/>
      <c r="E122" s="614"/>
      <c r="F122" s="67" t="s">
        <v>1914</v>
      </c>
      <c r="G122" s="230"/>
      <c r="K122" s="222"/>
    </row>
    <row r="123" spans="1:11" ht="28.5">
      <c r="A123" s="69" t="s">
        <v>1916</v>
      </c>
      <c r="B123" s="230"/>
      <c r="C123" s="69" t="s">
        <v>3</v>
      </c>
      <c r="D123" s="69" t="s">
        <v>4</v>
      </c>
      <c r="E123" s="69" t="s">
        <v>1826</v>
      </c>
      <c r="F123" s="69" t="s">
        <v>367</v>
      </c>
      <c r="G123" s="69" t="s">
        <v>368</v>
      </c>
      <c r="K123" s="222"/>
    </row>
    <row r="124" spans="1:11" ht="60">
      <c r="A124" s="20">
        <v>1525</v>
      </c>
      <c r="B124" s="70" t="s">
        <v>401</v>
      </c>
      <c r="C124" s="21" t="s">
        <v>12</v>
      </c>
      <c r="D124" s="21" t="s">
        <v>35</v>
      </c>
      <c r="E124" s="22">
        <v>1.103</v>
      </c>
      <c r="F124" s="22">
        <f t="shared" ref="F124:F129" si="8">H124</f>
        <v>341.56399999999996</v>
      </c>
      <c r="G124" s="22">
        <f t="shared" ref="G124:G129" si="9">ROUND(F124*E124,2)</f>
        <v>376.75</v>
      </c>
      <c r="H124" s="337">
        <v>341.56399999999996</v>
      </c>
      <c r="I124" s="2" t="e">
        <f>IF(A124&lt;&gt;0,VLOOKUP(A124,#REF!,2,FALSE),"")</f>
        <v>#REF!</v>
      </c>
      <c r="K124" s="222"/>
    </row>
    <row r="125" spans="1:11" ht="30">
      <c r="A125" s="20">
        <v>88262</v>
      </c>
      <c r="B125" s="70" t="s">
        <v>376</v>
      </c>
      <c r="C125" s="21" t="s">
        <v>12</v>
      </c>
      <c r="D125" s="21" t="s">
        <v>19</v>
      </c>
      <c r="E125" s="22">
        <v>9.4E-2</v>
      </c>
      <c r="F125" s="22">
        <f t="shared" si="8"/>
        <v>14.96</v>
      </c>
      <c r="G125" s="22">
        <f t="shared" si="9"/>
        <v>1.41</v>
      </c>
      <c r="H125" s="337">
        <v>14.96</v>
      </c>
      <c r="I125" s="2" t="e">
        <f>IF(A125&lt;&gt;0,VLOOKUP(A125,#REF!,2,FALSE),"")</f>
        <v>#REF!</v>
      </c>
      <c r="K125" s="222"/>
    </row>
    <row r="126" spans="1:11" ht="30">
      <c r="A126" s="20">
        <v>88309</v>
      </c>
      <c r="B126" s="70" t="s">
        <v>390</v>
      </c>
      <c r="C126" s="21" t="s">
        <v>12</v>
      </c>
      <c r="D126" s="21" t="s">
        <v>19</v>
      </c>
      <c r="E126" s="22">
        <v>0.56499999999999995</v>
      </c>
      <c r="F126" s="22">
        <f t="shared" si="8"/>
        <v>15.121499999999999</v>
      </c>
      <c r="G126" s="22">
        <f t="shared" si="9"/>
        <v>8.5399999999999991</v>
      </c>
      <c r="H126" s="337">
        <v>15.121499999999999</v>
      </c>
      <c r="I126" s="2" t="e">
        <f>IF(A126&lt;&gt;0,VLOOKUP(A126,#REF!,2,FALSE),"")</f>
        <v>#REF!</v>
      </c>
      <c r="K126" s="222"/>
    </row>
    <row r="127" spans="1:11" ht="30">
      <c r="A127" s="20">
        <v>88316</v>
      </c>
      <c r="B127" s="70" t="s">
        <v>377</v>
      </c>
      <c r="C127" s="21" t="s">
        <v>12</v>
      </c>
      <c r="D127" s="21" t="s">
        <v>19</v>
      </c>
      <c r="E127" s="22">
        <v>0.63800000000000001</v>
      </c>
      <c r="F127" s="22">
        <f t="shared" si="8"/>
        <v>11.798000000000002</v>
      </c>
      <c r="G127" s="22">
        <f t="shared" si="9"/>
        <v>7.53</v>
      </c>
      <c r="H127" s="337">
        <v>11.798000000000002</v>
      </c>
      <c r="I127" s="2" t="e">
        <f>IF(A127&lt;&gt;0,VLOOKUP(A127,#REF!,2,FALSE),"")</f>
        <v>#REF!</v>
      </c>
      <c r="K127" s="222"/>
    </row>
    <row r="128" spans="1:11" ht="45">
      <c r="A128" s="20">
        <v>90586</v>
      </c>
      <c r="B128" s="70" t="s">
        <v>1780</v>
      </c>
      <c r="C128" s="21" t="s">
        <v>12</v>
      </c>
      <c r="D128" s="21" t="s">
        <v>388</v>
      </c>
      <c r="E128" s="22">
        <v>5.6000000000000001E-2</v>
      </c>
      <c r="F128" s="22">
        <f t="shared" si="8"/>
        <v>1.4449999999999998</v>
      </c>
      <c r="G128" s="22">
        <f t="shared" si="9"/>
        <v>0.08</v>
      </c>
      <c r="H128" s="337">
        <v>1.4449999999999998</v>
      </c>
      <c r="I128" s="2" t="e">
        <f>IF(A128&lt;&gt;0,VLOOKUP(A128,#REF!,2,FALSE),"")</f>
        <v>#REF!</v>
      </c>
      <c r="K128" s="222"/>
    </row>
    <row r="129" spans="1:11" ht="45">
      <c r="A129" s="20">
        <v>90587</v>
      </c>
      <c r="B129" s="70" t="s">
        <v>1783</v>
      </c>
      <c r="C129" s="21" t="s">
        <v>12</v>
      </c>
      <c r="D129" s="21" t="s">
        <v>389</v>
      </c>
      <c r="E129" s="22">
        <v>0.13300000000000001</v>
      </c>
      <c r="F129" s="22">
        <f t="shared" si="8"/>
        <v>0.374</v>
      </c>
      <c r="G129" s="22">
        <f t="shared" si="9"/>
        <v>0.05</v>
      </c>
      <c r="H129" s="337">
        <v>0.374</v>
      </c>
      <c r="I129" s="2" t="e">
        <f>IF(A129&lt;&gt;0,VLOOKUP(A129,#REF!,2,FALSE),"")</f>
        <v>#REF!</v>
      </c>
      <c r="K129" s="222"/>
    </row>
    <row r="130" spans="1:11" ht="15" customHeight="1">
      <c r="A130" s="719" t="s">
        <v>1893</v>
      </c>
      <c r="B130" s="719"/>
      <c r="C130" s="719"/>
      <c r="D130" s="719"/>
      <c r="E130" s="719"/>
      <c r="F130" s="719"/>
      <c r="G130" s="71">
        <f>ROUND(SUM(G124:G129),2)</f>
        <v>394.36</v>
      </c>
      <c r="K130" s="222"/>
    </row>
    <row r="131" spans="1:11" ht="35.25" customHeight="1">
      <c r="A131" s="72"/>
      <c r="B131" s="72"/>
      <c r="C131" s="327"/>
      <c r="D131" s="328"/>
      <c r="E131" s="72"/>
      <c r="F131" s="72"/>
      <c r="G131" s="72"/>
      <c r="K131" s="222"/>
    </row>
    <row r="132" spans="1:11" ht="57.75" customHeight="1">
      <c r="A132" s="612" t="s">
        <v>2057</v>
      </c>
      <c r="B132" s="613"/>
      <c r="C132" s="613"/>
      <c r="D132" s="613"/>
      <c r="E132" s="614"/>
      <c r="F132" s="67" t="s">
        <v>1914</v>
      </c>
      <c r="G132" s="230"/>
      <c r="K132" s="222"/>
    </row>
    <row r="133" spans="1:11" ht="28.5">
      <c r="A133" s="69" t="s">
        <v>1916</v>
      </c>
      <c r="B133" s="230"/>
      <c r="C133" s="69" t="s">
        <v>3</v>
      </c>
      <c r="D133" s="69" t="s">
        <v>4</v>
      </c>
      <c r="E133" s="69" t="s">
        <v>1826</v>
      </c>
      <c r="F133" s="69" t="s">
        <v>367</v>
      </c>
      <c r="G133" s="69" t="s">
        <v>368</v>
      </c>
      <c r="K133" s="222"/>
    </row>
    <row r="134" spans="1:11" ht="45">
      <c r="A134" s="20">
        <v>2692</v>
      </c>
      <c r="B134" s="70" t="s">
        <v>399</v>
      </c>
      <c r="C134" s="21" t="s">
        <v>12</v>
      </c>
      <c r="D134" s="21" t="s">
        <v>381</v>
      </c>
      <c r="E134" s="22">
        <v>8.0000000000000002E-3</v>
      </c>
      <c r="F134" s="22">
        <f t="shared" ref="F134:F140" si="10">H134</f>
        <v>5.6355000000000004</v>
      </c>
      <c r="G134" s="22">
        <f t="shared" ref="G134:G140" si="11">ROUND(F134*E134,2)</f>
        <v>0.05</v>
      </c>
      <c r="H134" s="337">
        <v>5.6355000000000004</v>
      </c>
      <c r="I134" s="2" t="e">
        <f>IF(A134&lt;&gt;0,VLOOKUP(A134,#REF!,2,FALSE),"")</f>
        <v>#REF!</v>
      </c>
      <c r="K134" s="222"/>
    </row>
    <row r="135" spans="1:11" ht="75">
      <c r="A135" s="20">
        <v>10749</v>
      </c>
      <c r="B135" s="70" t="s">
        <v>410</v>
      </c>
      <c r="C135" s="21" t="s">
        <v>12</v>
      </c>
      <c r="D135" s="21" t="s">
        <v>13</v>
      </c>
      <c r="E135" s="22">
        <v>0.39700000000000002</v>
      </c>
      <c r="F135" s="22">
        <f t="shared" si="10"/>
        <v>2.5245000000000002</v>
      </c>
      <c r="G135" s="22">
        <f t="shared" si="11"/>
        <v>1</v>
      </c>
      <c r="H135" s="337">
        <v>2.5245000000000002</v>
      </c>
      <c r="I135" s="2" t="e">
        <f>IF(A135&lt;&gt;0,VLOOKUP(A135,#REF!,2,FALSE),"")</f>
        <v>#REF!</v>
      </c>
      <c r="K135" s="222"/>
    </row>
    <row r="136" spans="1:11" ht="45">
      <c r="A136" s="20">
        <v>40270</v>
      </c>
      <c r="B136" s="70" t="s">
        <v>411</v>
      </c>
      <c r="C136" s="21" t="s">
        <v>12</v>
      </c>
      <c r="D136" s="21" t="s">
        <v>52</v>
      </c>
      <c r="E136" s="22">
        <v>0.03</v>
      </c>
      <c r="F136" s="22">
        <f t="shared" si="10"/>
        <v>59.270500000000006</v>
      </c>
      <c r="G136" s="22">
        <f t="shared" si="11"/>
        <v>1.78</v>
      </c>
      <c r="H136" s="337">
        <v>59.270500000000006</v>
      </c>
      <c r="I136" s="2" t="e">
        <f>IF(A136&lt;&gt;0,VLOOKUP(A136,#REF!,2,FALSE),"")</f>
        <v>#REF!</v>
      </c>
      <c r="K136" s="222"/>
    </row>
    <row r="137" spans="1:11" ht="45">
      <c r="A137" s="20">
        <v>40290</v>
      </c>
      <c r="B137" s="70" t="s">
        <v>412</v>
      </c>
      <c r="C137" s="21" t="s">
        <v>12</v>
      </c>
      <c r="D137" s="21" t="s">
        <v>13</v>
      </c>
      <c r="E137" s="22">
        <v>1.03</v>
      </c>
      <c r="F137" s="22">
        <f t="shared" si="10"/>
        <v>3.6465000000000001</v>
      </c>
      <c r="G137" s="22">
        <f t="shared" si="11"/>
        <v>3.76</v>
      </c>
      <c r="H137" s="337">
        <v>3.6465000000000001</v>
      </c>
      <c r="I137" s="2" t="e">
        <f>IF(A137&lt;&gt;0,VLOOKUP(A137,#REF!,2,FALSE),"")</f>
        <v>#REF!</v>
      </c>
      <c r="K137" s="222"/>
    </row>
    <row r="138" spans="1:11" ht="30">
      <c r="A138" s="20">
        <v>88239</v>
      </c>
      <c r="B138" s="70" t="s">
        <v>393</v>
      </c>
      <c r="C138" s="21" t="s">
        <v>12</v>
      </c>
      <c r="D138" s="21" t="s">
        <v>19</v>
      </c>
      <c r="E138" s="22">
        <v>0.17599999999999999</v>
      </c>
      <c r="F138" s="22">
        <f t="shared" si="10"/>
        <v>12.622499999999999</v>
      </c>
      <c r="G138" s="22">
        <f t="shared" si="11"/>
        <v>2.2200000000000002</v>
      </c>
      <c r="H138" s="337">
        <v>12.622499999999999</v>
      </c>
      <c r="I138" s="2" t="e">
        <f>IF(A138&lt;&gt;0,VLOOKUP(A138,#REF!,2,FALSE),"")</f>
        <v>#REF!</v>
      </c>
      <c r="K138" s="222"/>
    </row>
    <row r="139" spans="1:11" ht="30">
      <c r="A139" s="20">
        <v>88262</v>
      </c>
      <c r="B139" s="70" t="s">
        <v>376</v>
      </c>
      <c r="C139" s="21" t="s">
        <v>12</v>
      </c>
      <c r="D139" s="21" t="s">
        <v>19</v>
      </c>
      <c r="E139" s="22">
        <v>0.96099999999999997</v>
      </c>
      <c r="F139" s="22">
        <f t="shared" si="10"/>
        <v>14.96</v>
      </c>
      <c r="G139" s="22">
        <f t="shared" si="11"/>
        <v>14.38</v>
      </c>
      <c r="H139" s="337">
        <v>14.96</v>
      </c>
      <c r="I139" s="2" t="e">
        <f>IF(A139&lt;&gt;0,VLOOKUP(A139,#REF!,2,FALSE),"")</f>
        <v>#REF!</v>
      </c>
      <c r="K139" s="222"/>
    </row>
    <row r="140" spans="1:11" ht="45">
      <c r="A140" s="20">
        <v>92267</v>
      </c>
      <c r="B140" s="70" t="s">
        <v>1788</v>
      </c>
      <c r="C140" s="21" t="s">
        <v>12</v>
      </c>
      <c r="D140" s="21" t="s">
        <v>26</v>
      </c>
      <c r="E140" s="22">
        <v>0.183</v>
      </c>
      <c r="F140" s="22">
        <f t="shared" si="10"/>
        <v>30.880499999999998</v>
      </c>
      <c r="G140" s="22">
        <f t="shared" si="11"/>
        <v>5.65</v>
      </c>
      <c r="H140" s="337">
        <v>30.880499999999998</v>
      </c>
      <c r="I140" s="2" t="e">
        <f>IF(A140&lt;&gt;0,VLOOKUP(A140,#REF!,2,FALSE),"")</f>
        <v>#REF!</v>
      </c>
      <c r="K140" s="222"/>
    </row>
    <row r="141" spans="1:11" ht="15" customHeight="1">
      <c r="A141" s="719" t="s">
        <v>1893</v>
      </c>
      <c r="B141" s="719"/>
      <c r="C141" s="719"/>
      <c r="D141" s="719"/>
      <c r="E141" s="719"/>
      <c r="F141" s="719"/>
      <c r="G141" s="71">
        <f>ROUND(SUM(G134:G140),2)</f>
        <v>28.84</v>
      </c>
      <c r="K141" s="222"/>
    </row>
    <row r="142" spans="1:11" ht="24" customHeight="1">
      <c r="A142" s="72"/>
      <c r="B142" s="72"/>
      <c r="C142" s="327"/>
      <c r="D142" s="328"/>
      <c r="E142" s="72"/>
      <c r="F142" s="72"/>
      <c r="G142" s="72"/>
      <c r="K142" s="222"/>
    </row>
    <row r="143" spans="1:11" ht="46.5" customHeight="1">
      <c r="A143" s="612" t="s">
        <v>2048</v>
      </c>
      <c r="B143" s="613"/>
      <c r="C143" s="613"/>
      <c r="D143" s="613"/>
      <c r="E143" s="614"/>
      <c r="F143" s="67" t="s">
        <v>1914</v>
      </c>
      <c r="G143" s="230"/>
      <c r="K143" s="222"/>
    </row>
    <row r="144" spans="1:11" ht="28.5">
      <c r="A144" s="69" t="s">
        <v>1916</v>
      </c>
      <c r="B144" s="230"/>
      <c r="C144" s="69" t="s">
        <v>3</v>
      </c>
      <c r="D144" s="69" t="s">
        <v>4</v>
      </c>
      <c r="E144" s="69" t="s">
        <v>1826</v>
      </c>
      <c r="F144" s="69" t="s">
        <v>367</v>
      </c>
      <c r="G144" s="69" t="s">
        <v>368</v>
      </c>
      <c r="K144" s="222"/>
    </row>
    <row r="145" spans="1:11" ht="45">
      <c r="A145" s="20">
        <v>2692</v>
      </c>
      <c r="B145" s="70" t="s">
        <v>399</v>
      </c>
      <c r="C145" s="21" t="s">
        <v>12</v>
      </c>
      <c r="D145" s="21" t="s">
        <v>381</v>
      </c>
      <c r="E145" s="22">
        <v>1.7000000000000001E-2</v>
      </c>
      <c r="F145" s="22">
        <f t="shared" ref="F145:F151" si="12">H145</f>
        <v>5.6355000000000004</v>
      </c>
      <c r="G145" s="22">
        <f t="shared" ref="G145:G151" si="13">ROUND(F145*E145,2)</f>
        <v>0.1</v>
      </c>
      <c r="H145" s="337">
        <v>5.6355000000000004</v>
      </c>
      <c r="I145" s="2" t="e">
        <f>IF(A145&lt;&gt;0,VLOOKUP(A145,#REF!,2,FALSE),"")</f>
        <v>#REF!</v>
      </c>
      <c r="K145" s="222"/>
    </row>
    <row r="146" spans="1:11" ht="30">
      <c r="A146" s="20">
        <v>6193</v>
      </c>
      <c r="B146" s="70" t="s">
        <v>384</v>
      </c>
      <c r="C146" s="21" t="s">
        <v>12</v>
      </c>
      <c r="D146" s="21" t="s">
        <v>52</v>
      </c>
      <c r="E146" s="22">
        <v>3.1120000000000001</v>
      </c>
      <c r="F146" s="22">
        <f t="shared" si="12"/>
        <v>12.0105</v>
      </c>
      <c r="G146" s="22">
        <f t="shared" si="13"/>
        <v>37.380000000000003</v>
      </c>
      <c r="H146" s="337">
        <v>12.0105</v>
      </c>
      <c r="I146" s="2" t="e">
        <f>IF(A146&lt;&gt;0,VLOOKUP(A146,#REF!,2,FALSE),"")</f>
        <v>#REF!</v>
      </c>
      <c r="K146" s="222"/>
    </row>
    <row r="147" spans="1:11" ht="30">
      <c r="A147" s="20">
        <v>40304</v>
      </c>
      <c r="B147" s="70" t="s">
        <v>400</v>
      </c>
      <c r="C147" s="21" t="s">
        <v>12</v>
      </c>
      <c r="D147" s="21" t="s">
        <v>45</v>
      </c>
      <c r="E147" s="22">
        <v>6.5000000000000002E-2</v>
      </c>
      <c r="F147" s="22">
        <f t="shared" si="12"/>
        <v>19.7455</v>
      </c>
      <c r="G147" s="22">
        <f t="shared" si="13"/>
        <v>1.28</v>
      </c>
      <c r="H147" s="337">
        <v>19.7455</v>
      </c>
      <c r="I147" s="2" t="e">
        <f>IF(A147&lt;&gt;0,VLOOKUP(A147,#REF!,2,FALSE),"")</f>
        <v>#REF!</v>
      </c>
      <c r="K147" s="222"/>
    </row>
    <row r="148" spans="1:11" ht="30">
      <c r="A148" s="20">
        <v>88239</v>
      </c>
      <c r="B148" s="70" t="s">
        <v>393</v>
      </c>
      <c r="C148" s="21" t="s">
        <v>12</v>
      </c>
      <c r="D148" s="21" t="s">
        <v>19</v>
      </c>
      <c r="E148" s="22">
        <v>0.81499999999999995</v>
      </c>
      <c r="F148" s="22">
        <f t="shared" si="12"/>
        <v>12.622499999999999</v>
      </c>
      <c r="G148" s="22">
        <f t="shared" si="13"/>
        <v>10.29</v>
      </c>
      <c r="H148" s="337">
        <v>12.622499999999999</v>
      </c>
      <c r="I148" s="2" t="e">
        <f>IF(A148&lt;&gt;0,VLOOKUP(A148,#REF!,2,FALSE),"")</f>
        <v>#REF!</v>
      </c>
      <c r="K148" s="222"/>
    </row>
    <row r="149" spans="1:11" ht="30">
      <c r="A149" s="20">
        <v>88262</v>
      </c>
      <c r="B149" s="70" t="s">
        <v>376</v>
      </c>
      <c r="C149" s="21" t="s">
        <v>12</v>
      </c>
      <c r="D149" s="21" t="s">
        <v>19</v>
      </c>
      <c r="E149" s="22">
        <v>4.4450000000000003</v>
      </c>
      <c r="F149" s="22">
        <f t="shared" si="12"/>
        <v>14.96</v>
      </c>
      <c r="G149" s="22">
        <f t="shared" si="13"/>
        <v>66.5</v>
      </c>
      <c r="H149" s="337">
        <v>14.96</v>
      </c>
      <c r="I149" s="2" t="e">
        <f>IF(A149&lt;&gt;0,VLOOKUP(A149,#REF!,2,FALSE),"")</f>
        <v>#REF!</v>
      </c>
      <c r="K149" s="222"/>
    </row>
    <row r="150" spans="1:11" ht="30">
      <c r="A150" s="20">
        <v>92271</v>
      </c>
      <c r="B150" s="70" t="s">
        <v>1781</v>
      </c>
      <c r="C150" s="21" t="s">
        <v>12</v>
      </c>
      <c r="D150" s="21" t="s">
        <v>26</v>
      </c>
      <c r="E150" s="22">
        <v>1.02</v>
      </c>
      <c r="F150" s="22">
        <f t="shared" si="12"/>
        <v>67.846999999999994</v>
      </c>
      <c r="G150" s="22">
        <f t="shared" si="13"/>
        <v>69.2</v>
      </c>
      <c r="H150" s="337">
        <v>67.846999999999994</v>
      </c>
      <c r="I150" s="2" t="e">
        <f>IF(A150&lt;&gt;0,VLOOKUP(A150,#REF!,2,FALSE),"")</f>
        <v>#REF!</v>
      </c>
      <c r="K150" s="222"/>
    </row>
    <row r="151" spans="1:11" ht="30">
      <c r="A151" s="20">
        <v>92273</v>
      </c>
      <c r="B151" s="70" t="s">
        <v>1782</v>
      </c>
      <c r="C151" s="21" t="s">
        <v>12</v>
      </c>
      <c r="D151" s="21" t="s">
        <v>52</v>
      </c>
      <c r="E151" s="22">
        <v>1.3480000000000001</v>
      </c>
      <c r="F151" s="22">
        <f t="shared" si="12"/>
        <v>9.7580000000000009</v>
      </c>
      <c r="G151" s="22">
        <f t="shared" si="13"/>
        <v>13.15</v>
      </c>
      <c r="H151" s="337">
        <v>9.7580000000000009</v>
      </c>
      <c r="I151" s="2" t="e">
        <f>IF(A151&lt;&gt;0,VLOOKUP(A151,#REF!,2,FALSE),"")</f>
        <v>#REF!</v>
      </c>
      <c r="K151" s="222"/>
    </row>
    <row r="152" spans="1:11" ht="15" customHeight="1">
      <c r="A152" s="719" t="s">
        <v>1893</v>
      </c>
      <c r="B152" s="719"/>
      <c r="C152" s="719"/>
      <c r="D152" s="719"/>
      <c r="E152" s="719"/>
      <c r="F152" s="719"/>
      <c r="G152" s="71">
        <f>ROUND(SUM(G145:G151),2)</f>
        <v>197.9</v>
      </c>
      <c r="K152" s="222"/>
    </row>
    <row r="153" spans="1:11" ht="28.5" customHeight="1">
      <c r="A153" s="72"/>
      <c r="B153" s="72"/>
      <c r="C153" s="327"/>
      <c r="D153" s="328"/>
      <c r="E153" s="72"/>
      <c r="F153" s="72"/>
      <c r="G153" s="72"/>
      <c r="K153" s="222"/>
    </row>
    <row r="154" spans="1:11" ht="33.75" customHeight="1">
      <c r="A154" s="612" t="s">
        <v>2058</v>
      </c>
      <c r="B154" s="613"/>
      <c r="C154" s="613"/>
      <c r="D154" s="613"/>
      <c r="E154" s="614"/>
      <c r="F154" s="67" t="s">
        <v>1914</v>
      </c>
      <c r="G154" s="230"/>
      <c r="K154" s="222"/>
    </row>
    <row r="155" spans="1:11" ht="28.5">
      <c r="A155" s="69" t="s">
        <v>1916</v>
      </c>
      <c r="B155" s="230"/>
      <c r="C155" s="69" t="s">
        <v>3</v>
      </c>
      <c r="D155" s="69" t="s">
        <v>4</v>
      </c>
      <c r="E155" s="69" t="s">
        <v>1826</v>
      </c>
      <c r="F155" s="69" t="s">
        <v>367</v>
      </c>
      <c r="G155" s="69" t="s">
        <v>368</v>
      </c>
      <c r="K155" s="222"/>
    </row>
    <row r="156" spans="1:11" ht="30">
      <c r="A156" s="20">
        <v>43132</v>
      </c>
      <c r="B156" s="70" t="s">
        <v>385</v>
      </c>
      <c r="C156" s="21" t="s">
        <v>12</v>
      </c>
      <c r="D156" s="21" t="s">
        <v>45</v>
      </c>
      <c r="E156" s="22">
        <v>1.4999999999999999E-2</v>
      </c>
      <c r="F156" s="22">
        <f>H156</f>
        <v>17.8415</v>
      </c>
      <c r="G156" s="22">
        <f>ROUND(F156*E156,2)</f>
        <v>0.27</v>
      </c>
      <c r="H156" s="337">
        <v>17.8415</v>
      </c>
      <c r="I156" s="2" t="e">
        <f>IF(A156&lt;&gt;0,VLOOKUP(A156,#REF!,2,FALSE),"")</f>
        <v>#REF!</v>
      </c>
      <c r="K156" s="222"/>
    </row>
    <row r="157" spans="1:11" ht="60">
      <c r="A157" s="20">
        <v>21141</v>
      </c>
      <c r="B157" s="70" t="s">
        <v>413</v>
      </c>
      <c r="C157" s="21" t="s">
        <v>12</v>
      </c>
      <c r="D157" s="21" t="s">
        <v>26</v>
      </c>
      <c r="E157" s="22">
        <v>1.03</v>
      </c>
      <c r="F157" s="22">
        <f>H157</f>
        <v>13.685000000000002</v>
      </c>
      <c r="G157" s="22">
        <f>ROUND(F157*E157,2)</f>
        <v>14.1</v>
      </c>
      <c r="H157" s="337">
        <v>13.685000000000002</v>
      </c>
      <c r="I157" s="2" t="e">
        <f>IF(A157&lt;&gt;0,VLOOKUP(A157,#REF!,2,FALSE),"")</f>
        <v>#REF!</v>
      </c>
      <c r="K157" s="222"/>
    </row>
    <row r="158" spans="1:11" ht="30">
      <c r="A158" s="20">
        <v>88245</v>
      </c>
      <c r="B158" s="70" t="s">
        <v>395</v>
      </c>
      <c r="C158" s="21" t="s">
        <v>12</v>
      </c>
      <c r="D158" s="21" t="s">
        <v>19</v>
      </c>
      <c r="E158" s="22">
        <v>0.03</v>
      </c>
      <c r="F158" s="22">
        <f>H158</f>
        <v>15.045</v>
      </c>
      <c r="G158" s="22">
        <f>ROUND(F158*E158,2)</f>
        <v>0.45</v>
      </c>
      <c r="H158" s="337">
        <v>15.045</v>
      </c>
      <c r="I158" s="2" t="e">
        <f>IF(A158&lt;&gt;0,VLOOKUP(A158,#REF!,2,FALSE),"")</f>
        <v>#REF!</v>
      </c>
      <c r="K158" s="222"/>
    </row>
    <row r="159" spans="1:11" ht="30">
      <c r="A159" s="20">
        <v>88316</v>
      </c>
      <c r="B159" s="70" t="s">
        <v>377</v>
      </c>
      <c r="C159" s="21" t="s">
        <v>12</v>
      </c>
      <c r="D159" s="21" t="s">
        <v>19</v>
      </c>
      <c r="E159" s="22">
        <v>0.06</v>
      </c>
      <c r="F159" s="22">
        <f>H159</f>
        <v>11.798000000000002</v>
      </c>
      <c r="G159" s="22">
        <f>ROUND(F159*E159,2)</f>
        <v>0.71</v>
      </c>
      <c r="H159" s="337">
        <v>11.798000000000002</v>
      </c>
      <c r="I159" s="2" t="e">
        <f>IF(A159&lt;&gt;0,VLOOKUP(A159,#REF!,2,FALSE),"")</f>
        <v>#REF!</v>
      </c>
      <c r="K159" s="222"/>
    </row>
    <row r="160" spans="1:11" ht="15" customHeight="1">
      <c r="A160" s="719" t="s">
        <v>1893</v>
      </c>
      <c r="B160" s="719"/>
      <c r="C160" s="719"/>
      <c r="D160" s="719"/>
      <c r="E160" s="719"/>
      <c r="F160" s="719"/>
      <c r="G160" s="71">
        <f>ROUND(SUM(G156:G159),2)</f>
        <v>15.53</v>
      </c>
      <c r="K160" s="222"/>
    </row>
    <row r="161" spans="1:11" ht="31.5" customHeight="1">
      <c r="A161" s="72"/>
      <c r="B161" s="72"/>
      <c r="C161" s="327"/>
      <c r="D161" s="328"/>
      <c r="E161" s="72"/>
      <c r="F161" s="72"/>
      <c r="G161" s="72"/>
      <c r="K161" s="222"/>
    </row>
    <row r="162" spans="1:11" ht="36" customHeight="1">
      <c r="A162" s="612" t="s">
        <v>2059</v>
      </c>
      <c r="B162" s="613"/>
      <c r="C162" s="613"/>
      <c r="D162" s="613"/>
      <c r="E162" s="718"/>
      <c r="F162" s="67" t="s">
        <v>1914</v>
      </c>
      <c r="G162" s="230"/>
      <c r="K162" s="222"/>
    </row>
    <row r="163" spans="1:11" ht="28.5">
      <c r="A163" s="69" t="s">
        <v>1916</v>
      </c>
      <c r="B163" s="230"/>
      <c r="C163" s="69" t="s">
        <v>3</v>
      </c>
      <c r="D163" s="69" t="s">
        <v>4</v>
      </c>
      <c r="E163" s="69" t="s">
        <v>1826</v>
      </c>
      <c r="F163" s="69" t="s">
        <v>367</v>
      </c>
      <c r="G163" s="69" t="s">
        <v>368</v>
      </c>
      <c r="K163" s="222"/>
    </row>
    <row r="164" spans="1:11" ht="45">
      <c r="A164" s="20">
        <v>2692</v>
      </c>
      <c r="B164" s="70" t="s">
        <v>399</v>
      </c>
      <c r="C164" s="21" t="s">
        <v>12</v>
      </c>
      <c r="D164" s="21" t="s">
        <v>381</v>
      </c>
      <c r="E164" s="22">
        <v>1.7000000000000001E-2</v>
      </c>
      <c r="F164" s="22">
        <f t="shared" ref="F164:F170" si="14">H164</f>
        <v>5.6355000000000004</v>
      </c>
      <c r="G164" s="22">
        <f t="shared" ref="G164:G170" si="15">ROUND(F164*E164,2)</f>
        <v>0.1</v>
      </c>
      <c r="H164" s="337">
        <v>5.6355000000000004</v>
      </c>
      <c r="I164" s="2" t="e">
        <f>IF(A164&lt;&gt;0,VLOOKUP(A164,#REF!,2,FALSE),"")</f>
        <v>#REF!</v>
      </c>
      <c r="K164" s="222"/>
    </row>
    <row r="165" spans="1:11" ht="30">
      <c r="A165" s="20">
        <v>5074</v>
      </c>
      <c r="B165" s="70" t="s">
        <v>414</v>
      </c>
      <c r="C165" s="21" t="s">
        <v>12</v>
      </c>
      <c r="D165" s="21" t="s">
        <v>45</v>
      </c>
      <c r="E165" s="22">
        <v>0.04</v>
      </c>
      <c r="F165" s="22">
        <f t="shared" si="14"/>
        <v>17.917999999999999</v>
      </c>
      <c r="G165" s="22">
        <f t="shared" si="15"/>
        <v>0.72</v>
      </c>
      <c r="H165" s="337">
        <v>17.917999999999999</v>
      </c>
      <c r="I165" s="2" t="e">
        <f>IF(A165&lt;&gt;0,VLOOKUP(A165,#REF!,2,FALSE),"")</f>
        <v>#REF!</v>
      </c>
      <c r="K165" s="222"/>
    </row>
    <row r="166" spans="1:11" ht="30">
      <c r="A166" s="20">
        <v>6193</v>
      </c>
      <c r="B166" s="70" t="s">
        <v>384</v>
      </c>
      <c r="C166" s="21" t="s">
        <v>12</v>
      </c>
      <c r="D166" s="21" t="s">
        <v>52</v>
      </c>
      <c r="E166" s="22">
        <v>0.442</v>
      </c>
      <c r="F166" s="22">
        <f t="shared" si="14"/>
        <v>12.0105</v>
      </c>
      <c r="G166" s="22">
        <f t="shared" si="15"/>
        <v>5.31</v>
      </c>
      <c r="H166" s="337">
        <v>12.0105</v>
      </c>
      <c r="I166" s="2" t="e">
        <f>IF(A166&lt;&gt;0,VLOOKUP(A166,#REF!,2,FALSE),"")</f>
        <v>#REF!</v>
      </c>
      <c r="K166" s="222"/>
    </row>
    <row r="167" spans="1:11" ht="30">
      <c r="A167" s="20">
        <v>88239</v>
      </c>
      <c r="B167" s="70" t="s">
        <v>393</v>
      </c>
      <c r="C167" s="21" t="s">
        <v>12</v>
      </c>
      <c r="D167" s="21" t="s">
        <v>19</v>
      </c>
      <c r="E167" s="22">
        <v>0.55000000000000004</v>
      </c>
      <c r="F167" s="22">
        <f t="shared" si="14"/>
        <v>12.622499999999999</v>
      </c>
      <c r="G167" s="22">
        <f t="shared" si="15"/>
        <v>6.94</v>
      </c>
      <c r="H167" s="337">
        <v>12.622499999999999</v>
      </c>
      <c r="I167" s="2" t="e">
        <f>IF(A167&lt;&gt;0,VLOOKUP(A167,#REF!,2,FALSE),"")</f>
        <v>#REF!</v>
      </c>
      <c r="K167" s="222"/>
    </row>
    <row r="168" spans="1:11" ht="30">
      <c r="A168" s="20">
        <v>88262</v>
      </c>
      <c r="B168" s="70" t="s">
        <v>376</v>
      </c>
      <c r="C168" s="21" t="s">
        <v>12</v>
      </c>
      <c r="D168" s="21" t="s">
        <v>19</v>
      </c>
      <c r="E168" s="22">
        <v>3.29</v>
      </c>
      <c r="F168" s="22">
        <f t="shared" si="14"/>
        <v>14.96</v>
      </c>
      <c r="G168" s="22">
        <f t="shared" si="15"/>
        <v>49.22</v>
      </c>
      <c r="H168" s="337">
        <v>14.96</v>
      </c>
      <c r="I168" s="2" t="e">
        <f>IF(A168&lt;&gt;0,VLOOKUP(A168,#REF!,2,FALSE),"")</f>
        <v>#REF!</v>
      </c>
      <c r="K168" s="222"/>
    </row>
    <row r="169" spans="1:11" ht="30">
      <c r="A169" s="20">
        <v>92273</v>
      </c>
      <c r="B169" s="70" t="s">
        <v>1782</v>
      </c>
      <c r="C169" s="21" t="s">
        <v>12</v>
      </c>
      <c r="D169" s="21" t="s">
        <v>52</v>
      </c>
      <c r="E169" s="22">
        <v>4.3310000000000004</v>
      </c>
      <c r="F169" s="22">
        <f t="shared" si="14"/>
        <v>9.7580000000000009</v>
      </c>
      <c r="G169" s="22">
        <f t="shared" si="15"/>
        <v>42.26</v>
      </c>
      <c r="H169" s="337">
        <v>9.7580000000000009</v>
      </c>
      <c r="I169" s="2" t="e">
        <f>IF(A169&lt;&gt;0,VLOOKUP(A169,#REF!,2,FALSE),"")</f>
        <v>#REF!</v>
      </c>
      <c r="K169" s="222"/>
    </row>
    <row r="170" spans="1:11" ht="45">
      <c r="A170" s="20">
        <v>101973</v>
      </c>
      <c r="B170" s="70" t="s">
        <v>1789</v>
      </c>
      <c r="C170" s="21" t="s">
        <v>12</v>
      </c>
      <c r="D170" s="21" t="s">
        <v>26</v>
      </c>
      <c r="E170" s="22">
        <v>0.93</v>
      </c>
      <c r="F170" s="22">
        <f t="shared" si="14"/>
        <v>130.98499999999999</v>
      </c>
      <c r="G170" s="22">
        <f t="shared" si="15"/>
        <v>121.82</v>
      </c>
      <c r="H170" s="337">
        <v>130.98499999999999</v>
      </c>
      <c r="I170" s="2" t="e">
        <f>IF(A170&lt;&gt;0,VLOOKUP(A170,#REF!,2,FALSE),"")</f>
        <v>#REF!</v>
      </c>
      <c r="K170" s="222"/>
    </row>
    <row r="171" spans="1:11" ht="15" customHeight="1">
      <c r="A171" s="719" t="s">
        <v>1893</v>
      </c>
      <c r="B171" s="719"/>
      <c r="C171" s="719"/>
      <c r="D171" s="719"/>
      <c r="E171" s="719"/>
      <c r="F171" s="719"/>
      <c r="G171" s="71">
        <f>ROUND(SUM(G164:G170),2)</f>
        <v>226.37</v>
      </c>
      <c r="K171" s="222"/>
    </row>
    <row r="172" spans="1:11" ht="27.75" customHeight="1">
      <c r="A172" s="72"/>
      <c r="B172" s="72"/>
      <c r="C172" s="327"/>
      <c r="D172" s="328"/>
      <c r="E172" s="72"/>
      <c r="F172" s="72"/>
      <c r="G172" s="72"/>
      <c r="K172" s="222"/>
    </row>
    <row r="173" spans="1:11" ht="50.25" customHeight="1">
      <c r="A173" s="612" t="s">
        <v>2048</v>
      </c>
      <c r="B173" s="613"/>
      <c r="C173" s="613"/>
      <c r="D173" s="613"/>
      <c r="E173" s="718"/>
      <c r="F173" s="67" t="s">
        <v>1914</v>
      </c>
      <c r="G173" s="230"/>
      <c r="K173" s="222"/>
    </row>
    <row r="174" spans="1:11" ht="28.5">
      <c r="A174" s="69" t="s">
        <v>1916</v>
      </c>
      <c r="B174" s="230"/>
      <c r="C174" s="69" t="s">
        <v>3</v>
      </c>
      <c r="D174" s="69" t="s">
        <v>4</v>
      </c>
      <c r="E174" s="69" t="s">
        <v>1826</v>
      </c>
      <c r="F174" s="69" t="s">
        <v>367</v>
      </c>
      <c r="G174" s="69" t="s">
        <v>368</v>
      </c>
      <c r="K174" s="222"/>
    </row>
    <row r="175" spans="1:11" ht="45">
      <c r="A175" s="20">
        <v>2692</v>
      </c>
      <c r="B175" s="70" t="s">
        <v>399</v>
      </c>
      <c r="C175" s="21" t="s">
        <v>12</v>
      </c>
      <c r="D175" s="21" t="s">
        <v>381</v>
      </c>
      <c r="E175" s="22">
        <v>1.7000000000000001E-2</v>
      </c>
      <c r="F175" s="22">
        <f t="shared" ref="F175:F181" si="16">H175</f>
        <v>5.6355000000000004</v>
      </c>
      <c r="G175" s="22">
        <f t="shared" ref="G175:G181" si="17">ROUND(F175*E175,2)</f>
        <v>0.1</v>
      </c>
      <c r="H175" s="337">
        <v>5.6355000000000004</v>
      </c>
      <c r="I175" s="2" t="e">
        <f>IF(A175&lt;&gt;0,VLOOKUP(A175,#REF!,2,FALSE),"")</f>
        <v>#REF!</v>
      </c>
      <c r="K175" s="222"/>
    </row>
    <row r="176" spans="1:11" ht="30">
      <c r="A176" s="20">
        <v>6193</v>
      </c>
      <c r="B176" s="70" t="s">
        <v>384</v>
      </c>
      <c r="C176" s="21" t="s">
        <v>12</v>
      </c>
      <c r="D176" s="21" t="s">
        <v>52</v>
      </c>
      <c r="E176" s="22">
        <v>3.1120000000000001</v>
      </c>
      <c r="F176" s="22">
        <f t="shared" si="16"/>
        <v>12.0105</v>
      </c>
      <c r="G176" s="22">
        <f t="shared" si="17"/>
        <v>37.380000000000003</v>
      </c>
      <c r="H176" s="337">
        <v>12.0105</v>
      </c>
      <c r="I176" s="2" t="e">
        <f>IF(A176&lt;&gt;0,VLOOKUP(A176,#REF!,2,FALSE),"")</f>
        <v>#REF!</v>
      </c>
      <c r="K176" s="222"/>
    </row>
    <row r="177" spans="1:11" ht="30">
      <c r="A177" s="20">
        <v>40304</v>
      </c>
      <c r="B177" s="70" t="s">
        <v>400</v>
      </c>
      <c r="C177" s="21" t="s">
        <v>12</v>
      </c>
      <c r="D177" s="21" t="s">
        <v>45</v>
      </c>
      <c r="E177" s="22">
        <v>6.5000000000000002E-2</v>
      </c>
      <c r="F177" s="22">
        <f t="shared" si="16"/>
        <v>19.7455</v>
      </c>
      <c r="G177" s="22">
        <f t="shared" si="17"/>
        <v>1.28</v>
      </c>
      <c r="H177" s="337">
        <v>19.7455</v>
      </c>
      <c r="I177" s="2" t="e">
        <f>IF(A177&lt;&gt;0,VLOOKUP(A177,#REF!,2,FALSE),"")</f>
        <v>#REF!</v>
      </c>
      <c r="K177" s="222"/>
    </row>
    <row r="178" spans="1:11" ht="30">
      <c r="A178" s="20">
        <v>88239</v>
      </c>
      <c r="B178" s="70" t="s">
        <v>393</v>
      </c>
      <c r="C178" s="21" t="s">
        <v>12</v>
      </c>
      <c r="D178" s="21" t="s">
        <v>19</v>
      </c>
      <c r="E178" s="22">
        <v>0.81499999999999995</v>
      </c>
      <c r="F178" s="22">
        <f t="shared" si="16"/>
        <v>12.622499999999999</v>
      </c>
      <c r="G178" s="22">
        <f t="shared" si="17"/>
        <v>10.29</v>
      </c>
      <c r="H178" s="337">
        <v>12.622499999999999</v>
      </c>
      <c r="I178" s="2" t="e">
        <f>IF(A178&lt;&gt;0,VLOOKUP(A178,#REF!,2,FALSE),"")</f>
        <v>#REF!</v>
      </c>
      <c r="K178" s="222"/>
    </row>
    <row r="179" spans="1:11" ht="30">
      <c r="A179" s="20">
        <v>88262</v>
      </c>
      <c r="B179" s="70" t="s">
        <v>376</v>
      </c>
      <c r="C179" s="21" t="s">
        <v>12</v>
      </c>
      <c r="D179" s="21" t="s">
        <v>19</v>
      </c>
      <c r="E179" s="22">
        <v>4.4450000000000003</v>
      </c>
      <c r="F179" s="22">
        <f t="shared" si="16"/>
        <v>14.96</v>
      </c>
      <c r="G179" s="22">
        <f t="shared" si="17"/>
        <v>66.5</v>
      </c>
      <c r="H179" s="337">
        <v>14.96</v>
      </c>
      <c r="I179" s="2" t="e">
        <f>IF(A179&lt;&gt;0,VLOOKUP(A179,#REF!,2,FALSE),"")</f>
        <v>#REF!</v>
      </c>
      <c r="K179" s="222"/>
    </row>
    <row r="180" spans="1:11" ht="30">
      <c r="A180" s="20">
        <v>92271</v>
      </c>
      <c r="B180" s="70" t="s">
        <v>1781</v>
      </c>
      <c r="C180" s="21" t="s">
        <v>12</v>
      </c>
      <c r="D180" s="21" t="s">
        <v>26</v>
      </c>
      <c r="E180" s="22">
        <v>1.02</v>
      </c>
      <c r="F180" s="22">
        <f t="shared" si="16"/>
        <v>67.846999999999994</v>
      </c>
      <c r="G180" s="22">
        <f t="shared" si="17"/>
        <v>69.2</v>
      </c>
      <c r="H180" s="337">
        <v>67.846999999999994</v>
      </c>
      <c r="I180" s="2" t="e">
        <f>IF(A180&lt;&gt;0,VLOOKUP(A180,#REF!,2,FALSE),"")</f>
        <v>#REF!</v>
      </c>
      <c r="K180" s="222"/>
    </row>
    <row r="181" spans="1:11" ht="30">
      <c r="A181" s="20">
        <v>92273</v>
      </c>
      <c r="B181" s="70" t="s">
        <v>1782</v>
      </c>
      <c r="C181" s="21" t="s">
        <v>12</v>
      </c>
      <c r="D181" s="21" t="s">
        <v>52</v>
      </c>
      <c r="E181" s="22">
        <v>1.3480000000000001</v>
      </c>
      <c r="F181" s="22">
        <f t="shared" si="16"/>
        <v>9.7580000000000009</v>
      </c>
      <c r="G181" s="22">
        <f t="shared" si="17"/>
        <v>13.15</v>
      </c>
      <c r="H181" s="337">
        <v>9.7580000000000009</v>
      </c>
      <c r="I181" s="2" t="e">
        <f>IF(A181&lt;&gt;0,VLOOKUP(A181,#REF!,2,FALSE),"")</f>
        <v>#REF!</v>
      </c>
      <c r="K181" s="222"/>
    </row>
    <row r="182" spans="1:11" ht="15" customHeight="1">
      <c r="A182" s="719" t="s">
        <v>1893</v>
      </c>
      <c r="B182" s="719"/>
      <c r="C182" s="719"/>
      <c r="D182" s="719"/>
      <c r="E182" s="719"/>
      <c r="F182" s="719"/>
      <c r="G182" s="71">
        <f>ROUND(SUM(G175:G181),2)</f>
        <v>197.9</v>
      </c>
      <c r="K182" s="222"/>
    </row>
    <row r="183" spans="1:11" ht="32.25" customHeight="1">
      <c r="A183" s="72"/>
      <c r="B183" s="72"/>
      <c r="C183" s="327"/>
      <c r="D183" s="328"/>
      <c r="E183" s="72"/>
      <c r="F183" s="72"/>
      <c r="G183" s="72"/>
      <c r="K183" s="222"/>
    </row>
    <row r="184" spans="1:11" ht="60.75" customHeight="1">
      <c r="A184" s="612" t="s">
        <v>3421</v>
      </c>
      <c r="B184" s="613"/>
      <c r="C184" s="613"/>
      <c r="D184" s="613"/>
      <c r="E184" s="614"/>
      <c r="F184" s="67" t="s">
        <v>44</v>
      </c>
      <c r="G184" s="74">
        <v>11914</v>
      </c>
      <c r="K184" s="222"/>
    </row>
    <row r="185" spans="1:11" ht="28.5">
      <c r="A185" s="229" t="s">
        <v>365</v>
      </c>
      <c r="B185" s="230"/>
      <c r="C185" s="69" t="s">
        <v>3</v>
      </c>
      <c r="D185" s="69" t="s">
        <v>4</v>
      </c>
      <c r="E185" s="69" t="s">
        <v>1826</v>
      </c>
      <c r="F185" s="69" t="s">
        <v>367</v>
      </c>
      <c r="G185" s="69" t="s">
        <v>368</v>
      </c>
      <c r="K185" s="222"/>
    </row>
    <row r="186" spans="1:11" s="23" customFormat="1" ht="30">
      <c r="A186" s="20">
        <v>4182</v>
      </c>
      <c r="B186" s="70" t="s">
        <v>417</v>
      </c>
      <c r="C186" s="21" t="s">
        <v>44</v>
      </c>
      <c r="D186" s="21" t="s">
        <v>19</v>
      </c>
      <c r="E186" s="22">
        <v>0.3</v>
      </c>
      <c r="F186" s="22">
        <f>H186</f>
        <v>1.0880000000000001</v>
      </c>
      <c r="G186" s="22">
        <f>ROUND(F186*E186,2)</f>
        <v>0.33</v>
      </c>
      <c r="H186" s="346">
        <v>1.0880000000000001</v>
      </c>
      <c r="I186" s="23" t="e">
        <f>IF(A186&lt;&gt;0,VLOOKUP(A186,#REF!,2,FALSE),"")</f>
        <v>#REF!</v>
      </c>
      <c r="J186" s="346"/>
      <c r="K186" s="222"/>
    </row>
    <row r="187" spans="1:11" s="23" customFormat="1">
      <c r="A187" s="20">
        <v>3510</v>
      </c>
      <c r="B187" s="70" t="s">
        <v>418</v>
      </c>
      <c r="C187" s="21" t="s">
        <v>44</v>
      </c>
      <c r="D187" s="21" t="s">
        <v>17</v>
      </c>
      <c r="E187" s="22">
        <v>0.02</v>
      </c>
      <c r="F187" s="22">
        <f>H187</f>
        <v>5.2700000000000005</v>
      </c>
      <c r="G187" s="22">
        <f>ROUND(F187*E187,2)</f>
        <v>0.11</v>
      </c>
      <c r="H187" s="346">
        <v>5.2700000000000005</v>
      </c>
      <c r="I187" s="23" t="e">
        <f>IF(A187&lt;&gt;0,VLOOKUP(A187,#REF!,2,FALSE),"")</f>
        <v>#REF!</v>
      </c>
      <c r="J187" s="346"/>
      <c r="K187" s="222"/>
    </row>
    <row r="188" spans="1:11" s="23" customFormat="1" ht="30">
      <c r="A188" s="20">
        <v>1734</v>
      </c>
      <c r="B188" s="70" t="s">
        <v>419</v>
      </c>
      <c r="C188" s="21" t="s">
        <v>44</v>
      </c>
      <c r="D188" s="21" t="s">
        <v>52</v>
      </c>
      <c r="E188" s="22">
        <v>3.04</v>
      </c>
      <c r="F188" s="22">
        <f>H188</f>
        <v>35.683</v>
      </c>
      <c r="G188" s="22">
        <f>ROUND(F188*E188,2)</f>
        <v>108.48</v>
      </c>
      <c r="H188" s="346">
        <v>35.683</v>
      </c>
      <c r="I188" s="23" t="e">
        <f>IF(A188&lt;&gt;0,VLOOKUP(A188,#REF!,2,FALSE),"")</f>
        <v>#REF!</v>
      </c>
      <c r="J188" s="346"/>
      <c r="K188" s="222"/>
    </row>
    <row r="189" spans="1:11" ht="30">
      <c r="A189" s="20">
        <v>88315</v>
      </c>
      <c r="B189" s="70" t="s">
        <v>420</v>
      </c>
      <c r="C189" s="21" t="s">
        <v>12</v>
      </c>
      <c r="D189" s="21" t="s">
        <v>19</v>
      </c>
      <c r="E189" s="22">
        <v>0.74</v>
      </c>
      <c r="F189" s="22">
        <f>H189</f>
        <v>15.045</v>
      </c>
      <c r="G189" s="22">
        <f>ROUND(F189*E189,2)</f>
        <v>11.13</v>
      </c>
      <c r="H189" s="337">
        <v>15.045</v>
      </c>
      <c r="I189" s="23" t="e">
        <f>IF(A189&lt;&gt;0,VLOOKUP(A189,#REF!,2,FALSE),"")</f>
        <v>#REF!</v>
      </c>
      <c r="K189" s="222"/>
    </row>
    <row r="190" spans="1:11" ht="30">
      <c r="A190" s="20">
        <v>88316</v>
      </c>
      <c r="B190" s="70" t="s">
        <v>377</v>
      </c>
      <c r="C190" s="21" t="s">
        <v>12</v>
      </c>
      <c r="D190" s="21" t="s">
        <v>19</v>
      </c>
      <c r="E190" s="22">
        <v>0.74</v>
      </c>
      <c r="F190" s="22">
        <f>H190</f>
        <v>11.798000000000002</v>
      </c>
      <c r="G190" s="22">
        <f>ROUND(F190*E190,2)</f>
        <v>8.73</v>
      </c>
      <c r="H190" s="337">
        <v>11.798000000000002</v>
      </c>
      <c r="I190" s="23" t="e">
        <f>IF(A190&lt;&gt;0,VLOOKUP(A190,#REF!,2,FALSE),"")</f>
        <v>#REF!</v>
      </c>
      <c r="K190" s="222"/>
    </row>
    <row r="191" spans="1:11" s="29" customFormat="1">
      <c r="A191" s="21"/>
      <c r="B191" s="70" t="s">
        <v>421</v>
      </c>
      <c r="C191" s="21" t="s">
        <v>2014</v>
      </c>
      <c r="D191" s="21" t="s">
        <v>52</v>
      </c>
      <c r="E191" s="22">
        <v>2.76</v>
      </c>
      <c r="F191" s="73">
        <v>19.591000000000001</v>
      </c>
      <c r="G191" s="73">
        <v>54.07</v>
      </c>
      <c r="H191" s="348">
        <v>16.652350000000002</v>
      </c>
      <c r="J191" s="348"/>
      <c r="K191" s="222"/>
    </row>
    <row r="192" spans="1:11" ht="15" customHeight="1">
      <c r="A192" s="719" t="s">
        <v>1893</v>
      </c>
      <c r="B192" s="719"/>
      <c r="C192" s="719"/>
      <c r="D192" s="719"/>
      <c r="E192" s="719"/>
      <c r="F192" s="719"/>
      <c r="G192" s="71">
        <f>ROUND(SUM(G186:G191),2)</f>
        <v>182.85</v>
      </c>
      <c r="K192" s="222"/>
    </row>
    <row r="193" spans="1:11" ht="24" customHeight="1">
      <c r="A193" s="72"/>
      <c r="B193" s="72"/>
      <c r="C193" s="327"/>
      <c r="D193" s="328"/>
      <c r="E193" s="72"/>
      <c r="F193" s="72"/>
      <c r="G193" s="72"/>
      <c r="K193" s="222"/>
    </row>
    <row r="194" spans="1:11" ht="32.25" customHeight="1">
      <c r="A194" s="612" t="s">
        <v>3422</v>
      </c>
      <c r="B194" s="613"/>
      <c r="C194" s="613"/>
      <c r="D194" s="613"/>
      <c r="E194" s="614"/>
      <c r="F194" s="67" t="s">
        <v>44</v>
      </c>
      <c r="G194" s="74">
        <v>11489</v>
      </c>
      <c r="K194" s="222"/>
    </row>
    <row r="195" spans="1:11" ht="28.5">
      <c r="A195" s="229" t="s">
        <v>364</v>
      </c>
      <c r="B195" s="230"/>
      <c r="C195" s="69" t="s">
        <v>3</v>
      </c>
      <c r="D195" s="69" t="s">
        <v>4</v>
      </c>
      <c r="E195" s="69" t="s">
        <v>1826</v>
      </c>
      <c r="F195" s="69" t="s">
        <v>367</v>
      </c>
      <c r="G195" s="69" t="s">
        <v>368</v>
      </c>
      <c r="K195" s="222"/>
    </row>
    <row r="196" spans="1:11" s="38" customFormat="1" ht="45">
      <c r="A196" s="20">
        <v>12424</v>
      </c>
      <c r="B196" s="70" t="s">
        <v>2400</v>
      </c>
      <c r="C196" s="21" t="s">
        <v>44</v>
      </c>
      <c r="D196" s="21" t="s">
        <v>68</v>
      </c>
      <c r="E196" s="22">
        <v>1</v>
      </c>
      <c r="F196" s="22">
        <f>H196</f>
        <v>382.5</v>
      </c>
      <c r="G196" s="22">
        <f>ROUND(F196*E196,2)</f>
        <v>382.5</v>
      </c>
      <c r="H196" s="336">
        <v>382.5</v>
      </c>
      <c r="I196" s="38" t="e">
        <f>IF(A196&lt;&gt;0,VLOOKUP(A196,#REF!,2,FALSE),"")</f>
        <v>#REF!</v>
      </c>
      <c r="J196" s="336"/>
      <c r="K196" s="222"/>
    </row>
    <row r="197" spans="1:11" ht="15" customHeight="1">
      <c r="A197" s="719" t="s">
        <v>1893</v>
      </c>
      <c r="B197" s="719"/>
      <c r="C197" s="719"/>
      <c r="D197" s="719"/>
      <c r="E197" s="719"/>
      <c r="F197" s="719"/>
      <c r="G197" s="71">
        <f>ROUND(SUM(G196),2)</f>
        <v>382.5</v>
      </c>
      <c r="K197" s="222"/>
    </row>
    <row r="198" spans="1:11" ht="29.25" customHeight="1">
      <c r="A198" s="72"/>
      <c r="B198" s="72"/>
      <c r="C198" s="327"/>
      <c r="D198" s="328"/>
      <c r="E198" s="72"/>
      <c r="F198" s="72"/>
      <c r="G198" s="72"/>
      <c r="K198" s="222"/>
    </row>
    <row r="199" spans="1:11" ht="72" customHeight="1">
      <c r="A199" s="612" t="s">
        <v>2498</v>
      </c>
      <c r="B199" s="613"/>
      <c r="C199" s="613"/>
      <c r="D199" s="613"/>
      <c r="E199" s="614"/>
      <c r="F199" s="67" t="s">
        <v>1914</v>
      </c>
      <c r="G199" s="74" t="s">
        <v>2497</v>
      </c>
      <c r="K199" s="222"/>
    </row>
    <row r="200" spans="1:11" ht="28.5">
      <c r="A200" s="69" t="s">
        <v>1916</v>
      </c>
      <c r="B200" s="230"/>
      <c r="C200" s="69" t="s">
        <v>3</v>
      </c>
      <c r="D200" s="69" t="s">
        <v>4</v>
      </c>
      <c r="E200" s="69" t="s">
        <v>1826</v>
      </c>
      <c r="F200" s="69" t="s">
        <v>367</v>
      </c>
      <c r="G200" s="69" t="s">
        <v>368</v>
      </c>
      <c r="K200" s="222"/>
    </row>
    <row r="201" spans="1:11" s="23" customFormat="1" ht="50.25" customHeight="1">
      <c r="A201" s="161">
        <v>90801</v>
      </c>
      <c r="B201" s="70" t="e">
        <f>I201</f>
        <v>#REF!</v>
      </c>
      <c r="C201" s="21" t="s">
        <v>12</v>
      </c>
      <c r="D201" s="21" t="s">
        <v>17</v>
      </c>
      <c r="E201" s="22">
        <v>1</v>
      </c>
      <c r="F201" s="22">
        <f>H201</f>
        <v>170.595</v>
      </c>
      <c r="G201" s="22">
        <f>ROUND(F201*E201,2)</f>
        <v>170.6</v>
      </c>
      <c r="H201" s="346">
        <v>170.595</v>
      </c>
      <c r="I201" s="23" t="e">
        <f>IF(A201&lt;&gt;0,VLOOKUP(A201,#REF!,2,FALSE),"")</f>
        <v>#REF!</v>
      </c>
      <c r="J201" s="346"/>
      <c r="K201" s="222"/>
    </row>
    <row r="202" spans="1:11" s="23" customFormat="1" ht="48" customHeight="1">
      <c r="A202" s="20">
        <v>100659</v>
      </c>
      <c r="B202" s="70" t="e">
        <f>I202</f>
        <v>#REF!</v>
      </c>
      <c r="C202" s="21" t="s">
        <v>12</v>
      </c>
      <c r="D202" s="21" t="s">
        <v>52</v>
      </c>
      <c r="E202" s="22">
        <v>10</v>
      </c>
      <c r="F202" s="22">
        <f>H202</f>
        <v>5.4994999999999994</v>
      </c>
      <c r="G202" s="22">
        <f>ROUND(F202*E202,2)</f>
        <v>55</v>
      </c>
      <c r="H202" s="346">
        <v>5.4994999999999994</v>
      </c>
      <c r="I202" s="23" t="e">
        <f>IF(A202&lt;&gt;0,VLOOKUP(A202,#REF!,2,FALSE),"")</f>
        <v>#REF!</v>
      </c>
      <c r="J202" s="346"/>
      <c r="K202" s="222"/>
    </row>
    <row r="203" spans="1:11" s="23" customFormat="1" ht="60">
      <c r="A203" s="20">
        <v>91297</v>
      </c>
      <c r="B203" s="70" t="s">
        <v>1790</v>
      </c>
      <c r="C203" s="21" t="s">
        <v>12</v>
      </c>
      <c r="D203" s="21" t="s">
        <v>17</v>
      </c>
      <c r="E203" s="22">
        <v>1</v>
      </c>
      <c r="F203" s="22">
        <f>H203</f>
        <v>319.54899999999998</v>
      </c>
      <c r="G203" s="22">
        <f>ROUND(F203*E203,2)</f>
        <v>319.55</v>
      </c>
      <c r="H203" s="346">
        <v>319.54899999999998</v>
      </c>
      <c r="I203" s="32" t="e">
        <f>IF(A203&lt;&gt;0,VLOOKUP(A203,#REF!,2,FALSE),"")</f>
        <v>#REF!</v>
      </c>
      <c r="J203" s="346"/>
      <c r="K203" s="222"/>
    </row>
    <row r="204" spans="1:11" s="23" customFormat="1" ht="30">
      <c r="A204" s="20">
        <v>1341</v>
      </c>
      <c r="B204" s="70" t="s">
        <v>633</v>
      </c>
      <c r="C204" s="21" t="s">
        <v>12</v>
      </c>
      <c r="D204" s="21" t="s">
        <v>26</v>
      </c>
      <c r="E204" s="22">
        <v>3.56</v>
      </c>
      <c r="F204" s="22">
        <f>H204</f>
        <v>34.0595</v>
      </c>
      <c r="G204" s="22">
        <f>ROUND(F204*E204,2)</f>
        <v>121.25</v>
      </c>
      <c r="H204" s="346">
        <v>34.0595</v>
      </c>
      <c r="I204" s="23" t="e">
        <f>IF(A204&lt;&gt;0,VLOOKUP(A204,#REF!,2,FALSE),"")</f>
        <v>#REF!</v>
      </c>
      <c r="J204" s="346"/>
      <c r="K204" s="222"/>
    </row>
    <row r="205" spans="1:11" s="23" customFormat="1" ht="60">
      <c r="A205" s="20">
        <v>91306</v>
      </c>
      <c r="B205" s="70" t="s">
        <v>1791</v>
      </c>
      <c r="C205" s="21" t="s">
        <v>12</v>
      </c>
      <c r="D205" s="21" t="s">
        <v>17</v>
      </c>
      <c r="E205" s="22">
        <v>1</v>
      </c>
      <c r="F205" s="22">
        <f>H205</f>
        <v>79.49199999999999</v>
      </c>
      <c r="G205" s="22">
        <f>ROUND(F205*E205,2)</f>
        <v>79.489999999999995</v>
      </c>
      <c r="H205" s="346">
        <v>79.49199999999999</v>
      </c>
      <c r="I205" s="23" t="e">
        <f>IF(A205&lt;&gt;0,VLOOKUP(A205,#REF!,2,FALSE),"")</f>
        <v>#REF!</v>
      </c>
      <c r="J205" s="346"/>
      <c r="K205" s="222"/>
    </row>
    <row r="206" spans="1:11">
      <c r="A206" s="719" t="s">
        <v>1893</v>
      </c>
      <c r="B206" s="719"/>
      <c r="C206" s="719"/>
      <c r="D206" s="719"/>
      <c r="E206" s="719"/>
      <c r="F206" s="719"/>
      <c r="G206" s="71">
        <f>ROUND(SUM(G201:G205),2)</f>
        <v>745.89</v>
      </c>
      <c r="K206" s="222"/>
    </row>
    <row r="207" spans="1:11" ht="42.75" customHeight="1">
      <c r="A207" s="72"/>
      <c r="B207" s="72"/>
      <c r="C207" s="327"/>
      <c r="D207" s="328"/>
      <c r="E207" s="72"/>
      <c r="F207" s="72"/>
      <c r="G207" s="72"/>
      <c r="K207" s="222"/>
    </row>
    <row r="208" spans="1:11" ht="80.25" customHeight="1">
      <c r="A208" s="612" t="s">
        <v>2500</v>
      </c>
      <c r="B208" s="613"/>
      <c r="C208" s="613"/>
      <c r="D208" s="613"/>
      <c r="E208" s="718"/>
      <c r="F208" s="67" t="s">
        <v>1914</v>
      </c>
      <c r="G208" s="74" t="s">
        <v>2499</v>
      </c>
      <c r="K208" s="222"/>
    </row>
    <row r="209" spans="1:11" ht="28.5">
      <c r="A209" s="69" t="s">
        <v>1916</v>
      </c>
      <c r="B209" s="230"/>
      <c r="C209" s="69" t="s">
        <v>3</v>
      </c>
      <c r="D209" s="69" t="s">
        <v>4</v>
      </c>
      <c r="E209" s="69" t="s">
        <v>1826</v>
      </c>
      <c r="F209" s="69" t="s">
        <v>367</v>
      </c>
      <c r="G209" s="69" t="s">
        <v>368</v>
      </c>
      <c r="K209" s="222"/>
    </row>
    <row r="210" spans="1:11" ht="45">
      <c r="A210" s="20">
        <v>12759</v>
      </c>
      <c r="B210" s="70" t="s">
        <v>422</v>
      </c>
      <c r="C210" s="21" t="s">
        <v>12</v>
      </c>
      <c r="D210" s="21" t="s">
        <v>26</v>
      </c>
      <c r="E210" s="22">
        <v>0.64</v>
      </c>
      <c r="F210" s="22">
        <f t="shared" ref="F210:F215" si="18">H210</f>
        <v>516.67250000000001</v>
      </c>
      <c r="G210" s="22">
        <f t="shared" ref="G210:G215" si="19">ROUND(F210*E210,2)</f>
        <v>330.67</v>
      </c>
      <c r="H210" s="337">
        <v>516.67250000000001</v>
      </c>
      <c r="I210" s="23" t="e">
        <f>IF(A210&lt;&gt;0,VLOOKUP(A210,#REF!,2,FALSE),"")</f>
        <v>#REF!</v>
      </c>
      <c r="K210" s="436"/>
    </row>
    <row r="211" spans="1:11">
      <c r="A211" s="161">
        <v>90801</v>
      </c>
      <c r="B211" s="70" t="e">
        <f>I211</f>
        <v>#REF!</v>
      </c>
      <c r="C211" s="21" t="s">
        <v>12</v>
      </c>
      <c r="D211" s="21" t="s">
        <v>17</v>
      </c>
      <c r="E211" s="22">
        <v>1</v>
      </c>
      <c r="F211" s="22">
        <f t="shared" si="18"/>
        <v>170.595</v>
      </c>
      <c r="G211" s="22">
        <f t="shared" si="19"/>
        <v>170.6</v>
      </c>
      <c r="H211" s="337">
        <v>170.595</v>
      </c>
      <c r="I211" s="23" t="e">
        <f>IF(A211&lt;&gt;0,VLOOKUP(A211,#REF!,2,FALSE),"")</f>
        <v>#REF!</v>
      </c>
      <c r="K211" s="436"/>
    </row>
    <row r="212" spans="1:11">
      <c r="A212" s="20">
        <v>100659</v>
      </c>
      <c r="B212" s="70" t="e">
        <f>I212</f>
        <v>#REF!</v>
      </c>
      <c r="C212" s="21" t="s">
        <v>12</v>
      </c>
      <c r="D212" s="21" t="s">
        <v>52</v>
      </c>
      <c r="E212" s="22">
        <v>10</v>
      </c>
      <c r="F212" s="22">
        <f>H212</f>
        <v>5.4994999999999994</v>
      </c>
      <c r="G212" s="22">
        <f>ROUND(F212*E212,2)</f>
        <v>55</v>
      </c>
      <c r="H212" s="337">
        <v>5.4994999999999994</v>
      </c>
      <c r="I212" s="23" t="e">
        <f>IF(A212&lt;&gt;0,VLOOKUP(A212,#REF!,2,FALSE),"")</f>
        <v>#REF!</v>
      </c>
      <c r="K212" s="222"/>
    </row>
    <row r="213" spans="1:11" ht="60">
      <c r="A213" s="20">
        <v>91297</v>
      </c>
      <c r="B213" s="70" t="s">
        <v>1790</v>
      </c>
      <c r="C213" s="21" t="s">
        <v>12</v>
      </c>
      <c r="D213" s="21" t="s">
        <v>17</v>
      </c>
      <c r="E213" s="22">
        <v>1</v>
      </c>
      <c r="F213" s="22">
        <f t="shared" si="18"/>
        <v>319.54899999999998</v>
      </c>
      <c r="G213" s="22">
        <f t="shared" si="19"/>
        <v>319.55</v>
      </c>
      <c r="H213" s="337">
        <v>319.54899999999998</v>
      </c>
      <c r="I213" s="23" t="e">
        <f>IF(A213&lt;&gt;0,VLOOKUP(A213,#REF!,2,FALSE),"")</f>
        <v>#REF!</v>
      </c>
      <c r="K213" s="222"/>
    </row>
    <row r="214" spans="1:11" ht="30">
      <c r="A214" s="20">
        <v>1341</v>
      </c>
      <c r="B214" s="70" t="s">
        <v>633</v>
      </c>
      <c r="C214" s="21" t="s">
        <v>12</v>
      </c>
      <c r="D214" s="21" t="s">
        <v>26</v>
      </c>
      <c r="E214" s="22">
        <v>3.56</v>
      </c>
      <c r="F214" s="22">
        <f t="shared" si="18"/>
        <v>34.0595</v>
      </c>
      <c r="G214" s="22">
        <f t="shared" si="19"/>
        <v>121.25</v>
      </c>
      <c r="H214" s="337">
        <v>34.0595</v>
      </c>
      <c r="I214" s="23" t="e">
        <f>IF(A214&lt;&gt;0,VLOOKUP(A214,#REF!,2,FALSE),"")</f>
        <v>#REF!</v>
      </c>
      <c r="K214" s="222"/>
    </row>
    <row r="215" spans="1:11" ht="60">
      <c r="A215" s="20">
        <v>91306</v>
      </c>
      <c r="B215" s="70" t="s">
        <v>1791</v>
      </c>
      <c r="C215" s="21" t="s">
        <v>12</v>
      </c>
      <c r="D215" s="21" t="s">
        <v>17</v>
      </c>
      <c r="E215" s="22">
        <v>1</v>
      </c>
      <c r="F215" s="22">
        <f t="shared" si="18"/>
        <v>79.49199999999999</v>
      </c>
      <c r="G215" s="22">
        <f t="shared" si="19"/>
        <v>79.489999999999995</v>
      </c>
      <c r="H215" s="337">
        <v>79.49199999999999</v>
      </c>
      <c r="I215" s="23" t="e">
        <f>IF(A215&lt;&gt;0,VLOOKUP(A215,#REF!,2,FALSE),"")</f>
        <v>#REF!</v>
      </c>
      <c r="K215" s="222"/>
    </row>
    <row r="216" spans="1:11" ht="15" customHeight="1">
      <c r="A216" s="719" t="s">
        <v>1893</v>
      </c>
      <c r="B216" s="719"/>
      <c r="C216" s="719"/>
      <c r="D216" s="719"/>
      <c r="E216" s="719"/>
      <c r="F216" s="719"/>
      <c r="G216" s="71">
        <f>ROUND(SUM(G210:G215),2)</f>
        <v>1076.56</v>
      </c>
      <c r="K216" s="222"/>
    </row>
    <row r="217" spans="1:11" ht="28.5" customHeight="1">
      <c r="A217" s="72"/>
      <c r="B217" s="72"/>
      <c r="C217" s="327"/>
      <c r="D217" s="328"/>
      <c r="E217" s="72"/>
      <c r="F217" s="72"/>
      <c r="G217" s="72"/>
      <c r="K217" s="222"/>
    </row>
    <row r="218" spans="1:11" ht="53.25" customHeight="1">
      <c r="A218" s="612" t="s">
        <v>2629</v>
      </c>
      <c r="B218" s="613"/>
      <c r="C218" s="613"/>
      <c r="D218" s="613"/>
      <c r="E218" s="614"/>
      <c r="F218" s="67" t="s">
        <v>1914</v>
      </c>
      <c r="G218" s="75" t="s">
        <v>2628</v>
      </c>
      <c r="K218" s="222"/>
    </row>
    <row r="219" spans="1:11" ht="28.5">
      <c r="A219" s="69" t="s">
        <v>1916</v>
      </c>
      <c r="B219" s="230"/>
      <c r="C219" s="69" t="s">
        <v>3</v>
      </c>
      <c r="D219" s="69" t="s">
        <v>4</v>
      </c>
      <c r="E219" s="69" t="s">
        <v>1826</v>
      </c>
      <c r="F219" s="69" t="s">
        <v>367</v>
      </c>
      <c r="G219" s="69" t="s">
        <v>368</v>
      </c>
      <c r="K219" s="222"/>
    </row>
    <row r="220" spans="1:11" ht="45">
      <c r="A220" s="20">
        <v>142</v>
      </c>
      <c r="B220" s="70" t="s">
        <v>423</v>
      </c>
      <c r="C220" s="21" t="s">
        <v>12</v>
      </c>
      <c r="D220" s="21" t="s">
        <v>424</v>
      </c>
      <c r="E220" s="22">
        <v>0.88290000000000002</v>
      </c>
      <c r="F220" s="22">
        <f t="shared" ref="F220:F225" si="20">H220</f>
        <v>28.126500000000004</v>
      </c>
      <c r="G220" s="22">
        <f t="shared" ref="G220:G225" si="21">ROUND(F220*E220,2)</f>
        <v>24.83</v>
      </c>
      <c r="H220" s="337">
        <v>28.126500000000004</v>
      </c>
      <c r="I220" s="23" t="e">
        <f>IF(A220&lt;&gt;0,VLOOKUP(A220,#REF!,2,FALSE),"")</f>
        <v>#REF!</v>
      </c>
      <c r="K220" s="222"/>
    </row>
    <row r="221" spans="1:11" ht="60">
      <c r="A221" s="20">
        <v>7568</v>
      </c>
      <c r="B221" s="70" t="s">
        <v>425</v>
      </c>
      <c r="C221" s="21" t="s">
        <v>12</v>
      </c>
      <c r="D221" s="21" t="s">
        <v>17</v>
      </c>
      <c r="E221" s="22">
        <v>4.8166000000000002</v>
      </c>
      <c r="F221" s="22">
        <f t="shared" si="20"/>
        <v>0.30599999999999999</v>
      </c>
      <c r="G221" s="22">
        <f t="shared" si="21"/>
        <v>1.47</v>
      </c>
      <c r="H221" s="337">
        <v>0.30599999999999999</v>
      </c>
      <c r="I221" s="23" t="e">
        <f>IF(A221&lt;&gt;0,VLOOKUP(A221,#REF!,2,FALSE),"")</f>
        <v>#REF!</v>
      </c>
      <c r="K221" s="222"/>
    </row>
    <row r="222" spans="1:11" ht="75">
      <c r="A222" s="20">
        <v>39024</v>
      </c>
      <c r="B222" s="70" t="s">
        <v>426</v>
      </c>
      <c r="C222" s="21" t="s">
        <v>12</v>
      </c>
      <c r="D222" s="21" t="s">
        <v>17</v>
      </c>
      <c r="E222" s="22">
        <v>1.84</v>
      </c>
      <c r="F222" s="22">
        <f t="shared" si="20"/>
        <v>555.25400000000002</v>
      </c>
      <c r="G222" s="22">
        <f t="shared" si="21"/>
        <v>1021.67</v>
      </c>
      <c r="H222" s="337">
        <v>555.25400000000002</v>
      </c>
      <c r="I222" s="23" t="e">
        <f>IF(A222&lt;&gt;0,VLOOKUP(A222,#REF!,2,FALSE),"")</f>
        <v>#REF!</v>
      </c>
      <c r="K222" s="222"/>
    </row>
    <row r="223" spans="1:11" ht="45">
      <c r="A223" s="20">
        <v>36888</v>
      </c>
      <c r="B223" s="70" t="s">
        <v>406</v>
      </c>
      <c r="C223" s="21" t="s">
        <v>12</v>
      </c>
      <c r="D223" s="21" t="s">
        <v>52</v>
      </c>
      <c r="E223" s="22">
        <v>6.8503999999999996</v>
      </c>
      <c r="F223" s="22">
        <f t="shared" si="20"/>
        <v>11.202999999999999</v>
      </c>
      <c r="G223" s="22">
        <f t="shared" si="21"/>
        <v>76.75</v>
      </c>
      <c r="H223" s="337">
        <v>11.202999999999999</v>
      </c>
      <c r="I223" s="23" t="e">
        <f>IF(A223&lt;&gt;0,VLOOKUP(A223,#REF!,2,FALSE),"")</f>
        <v>#REF!</v>
      </c>
      <c r="K223" s="222"/>
    </row>
    <row r="224" spans="1:11" ht="30">
      <c r="A224" s="20">
        <v>88309</v>
      </c>
      <c r="B224" s="70" t="s">
        <v>390</v>
      </c>
      <c r="C224" s="21" t="s">
        <v>12</v>
      </c>
      <c r="D224" s="21" t="s">
        <v>19</v>
      </c>
      <c r="E224" s="22">
        <v>0.35630000000000001</v>
      </c>
      <c r="F224" s="22">
        <f t="shared" si="20"/>
        <v>15.121499999999999</v>
      </c>
      <c r="G224" s="22">
        <f t="shared" si="21"/>
        <v>5.39</v>
      </c>
      <c r="H224" s="337">
        <v>15.121499999999999</v>
      </c>
      <c r="I224" s="23" t="e">
        <f>IF(A224&lt;&gt;0,VLOOKUP(A224,#REF!,2,FALSE),"")</f>
        <v>#REF!</v>
      </c>
      <c r="K224" s="222"/>
    </row>
    <row r="225" spans="1:11" ht="30">
      <c r="A225" s="20">
        <v>88316</v>
      </c>
      <c r="B225" s="70" t="s">
        <v>377</v>
      </c>
      <c r="C225" s="21" t="s">
        <v>12</v>
      </c>
      <c r="D225" s="21" t="s">
        <v>19</v>
      </c>
      <c r="E225" s="22">
        <v>0.1779</v>
      </c>
      <c r="F225" s="22">
        <f t="shared" si="20"/>
        <v>11.798000000000002</v>
      </c>
      <c r="G225" s="22">
        <f t="shared" si="21"/>
        <v>2.1</v>
      </c>
      <c r="H225" s="337">
        <v>11.798000000000002</v>
      </c>
      <c r="I225" s="23" t="e">
        <f>IF(A225&lt;&gt;0,VLOOKUP(A225,#REF!,2,FALSE),"")</f>
        <v>#REF!</v>
      </c>
      <c r="K225" s="222"/>
    </row>
    <row r="226" spans="1:11" ht="15" customHeight="1">
      <c r="A226" s="719" t="s">
        <v>1893</v>
      </c>
      <c r="B226" s="719"/>
      <c r="C226" s="719"/>
      <c r="D226" s="719"/>
      <c r="E226" s="719"/>
      <c r="F226" s="719"/>
      <c r="G226" s="71">
        <f>ROUND(SUM(G220:G225),2)</f>
        <v>1132.21</v>
      </c>
      <c r="K226" s="222"/>
    </row>
    <row r="227" spans="1:11" ht="27" customHeight="1">
      <c r="A227" s="72"/>
      <c r="B227" s="72"/>
      <c r="C227" s="327"/>
      <c r="D227" s="328"/>
      <c r="E227" s="72"/>
      <c r="F227" s="72"/>
      <c r="G227" s="72"/>
      <c r="K227" s="222"/>
    </row>
    <row r="228" spans="1:11" ht="36.75" customHeight="1">
      <c r="A228" s="612" t="s">
        <v>3423</v>
      </c>
      <c r="B228" s="613"/>
      <c r="C228" s="613"/>
      <c r="D228" s="613"/>
      <c r="E228" s="614"/>
      <c r="F228" s="67" t="s">
        <v>1914</v>
      </c>
      <c r="G228" s="74">
        <v>90838</v>
      </c>
      <c r="K228" s="222"/>
    </row>
    <row r="229" spans="1:11" ht="28.5">
      <c r="A229" s="69" t="s">
        <v>1916</v>
      </c>
      <c r="B229" s="230"/>
      <c r="C229" s="69" t="s">
        <v>3</v>
      </c>
      <c r="D229" s="69" t="s">
        <v>4</v>
      </c>
      <c r="E229" s="69" t="s">
        <v>1826</v>
      </c>
      <c r="F229" s="69" t="s">
        <v>367</v>
      </c>
      <c r="G229" s="69" t="s">
        <v>368</v>
      </c>
      <c r="K229" s="222"/>
    </row>
    <row r="230" spans="1:11" ht="45">
      <c r="A230" s="20">
        <v>11154</v>
      </c>
      <c r="B230" s="70" t="s">
        <v>427</v>
      </c>
      <c r="C230" s="21" t="s">
        <v>12</v>
      </c>
      <c r="D230" s="21" t="s">
        <v>17</v>
      </c>
      <c r="E230" s="22">
        <v>1.11111111</v>
      </c>
      <c r="F230" s="22">
        <f>H230</f>
        <v>612.82450000000006</v>
      </c>
      <c r="G230" s="22">
        <f>ROUND(F230*E230,2)</f>
        <v>680.92</v>
      </c>
      <c r="H230" s="337">
        <v>612.82450000000006</v>
      </c>
      <c r="I230" s="23" t="e">
        <f>IF(A230&lt;&gt;0,VLOOKUP(A230,#REF!,2,FALSE),"")</f>
        <v>#REF!</v>
      </c>
      <c r="K230" s="222"/>
    </row>
    <row r="231" spans="1:11" ht="30">
      <c r="A231" s="20">
        <v>39621</v>
      </c>
      <c r="B231" s="70" t="s">
        <v>428</v>
      </c>
      <c r="C231" s="21" t="s">
        <v>12</v>
      </c>
      <c r="D231" s="21" t="s">
        <v>337</v>
      </c>
      <c r="E231" s="22">
        <v>1</v>
      </c>
      <c r="F231" s="22">
        <f>H231</f>
        <v>620.16000000000008</v>
      </c>
      <c r="G231" s="22">
        <f>ROUND(F231*E231,2)</f>
        <v>620.16</v>
      </c>
      <c r="H231" s="337">
        <v>620.16000000000008</v>
      </c>
      <c r="I231" s="23" t="e">
        <f>IF(A231&lt;&gt;0,VLOOKUP(A231,#REF!,2,FALSE),"")</f>
        <v>#REF!</v>
      </c>
      <c r="K231" s="222"/>
    </row>
    <row r="232" spans="1:11" ht="30">
      <c r="A232" s="20">
        <v>88309</v>
      </c>
      <c r="B232" s="70" t="s">
        <v>390</v>
      </c>
      <c r="C232" s="21" t="s">
        <v>12</v>
      </c>
      <c r="D232" s="21" t="s">
        <v>19</v>
      </c>
      <c r="E232" s="22">
        <v>3.464</v>
      </c>
      <c r="F232" s="22">
        <f>H232</f>
        <v>15.121499999999999</v>
      </c>
      <c r="G232" s="22">
        <f>ROUND(F232*E232,2)</f>
        <v>52.38</v>
      </c>
      <c r="H232" s="337">
        <v>15.121499999999999</v>
      </c>
      <c r="I232" s="23" t="e">
        <f>IF(A232&lt;&gt;0,VLOOKUP(A232,#REF!,2,FALSE),"")</f>
        <v>#REF!</v>
      </c>
      <c r="K232" s="222"/>
    </row>
    <row r="233" spans="1:11" ht="30">
      <c r="A233" s="20">
        <v>88316</v>
      </c>
      <c r="B233" s="70" t="s">
        <v>377</v>
      </c>
      <c r="C233" s="21" t="s">
        <v>12</v>
      </c>
      <c r="D233" s="21" t="s">
        <v>19</v>
      </c>
      <c r="E233" s="22">
        <v>1.732</v>
      </c>
      <c r="F233" s="22">
        <f>H233</f>
        <v>11.798000000000002</v>
      </c>
      <c r="G233" s="22">
        <f>ROUND(F233*E233,2)</f>
        <v>20.43</v>
      </c>
      <c r="H233" s="337">
        <v>11.798000000000002</v>
      </c>
      <c r="I233" s="23" t="e">
        <f>IF(A233&lt;&gt;0,VLOOKUP(A233,#REF!,2,FALSE),"")</f>
        <v>#REF!</v>
      </c>
      <c r="K233" s="222"/>
    </row>
    <row r="234" spans="1:11" ht="30">
      <c r="A234" s="20">
        <v>88629</v>
      </c>
      <c r="B234" s="70" t="s">
        <v>1785</v>
      </c>
      <c r="C234" s="21" t="s">
        <v>12</v>
      </c>
      <c r="D234" s="21" t="s">
        <v>35</v>
      </c>
      <c r="E234" s="22">
        <v>4.2200000000000001E-2</v>
      </c>
      <c r="F234" s="22">
        <f>H234</f>
        <v>438.04750000000001</v>
      </c>
      <c r="G234" s="22">
        <f>ROUND(F234*E234,2)</f>
        <v>18.489999999999998</v>
      </c>
      <c r="H234" s="337">
        <v>438.04750000000001</v>
      </c>
      <c r="I234" s="23" t="e">
        <f>IF(A234&lt;&gt;0,VLOOKUP(A234,#REF!,2,FALSE),"")</f>
        <v>#REF!</v>
      </c>
      <c r="K234" s="222"/>
    </row>
    <row r="235" spans="1:11" ht="15" customHeight="1">
      <c r="A235" s="719" t="s">
        <v>1893</v>
      </c>
      <c r="B235" s="719"/>
      <c r="C235" s="719"/>
      <c r="D235" s="719"/>
      <c r="E235" s="719"/>
      <c r="F235" s="719"/>
      <c r="G235" s="71">
        <f>ROUND(SUM(G230:G234),2)</f>
        <v>1392.38</v>
      </c>
      <c r="K235" s="222"/>
    </row>
    <row r="236" spans="1:11" ht="29.25" customHeight="1">
      <c r="A236" s="72"/>
      <c r="B236" s="72"/>
      <c r="C236" s="327"/>
      <c r="D236" s="328"/>
      <c r="E236" s="72"/>
      <c r="F236" s="72"/>
      <c r="G236" s="72"/>
      <c r="K236" s="222"/>
    </row>
    <row r="237" spans="1:11" ht="39.75" customHeight="1">
      <c r="A237" s="612" t="s">
        <v>2632</v>
      </c>
      <c r="B237" s="613"/>
      <c r="C237" s="613"/>
      <c r="D237" s="613"/>
      <c r="E237" s="718"/>
      <c r="F237" s="67" t="s">
        <v>1914</v>
      </c>
      <c r="G237" s="230"/>
      <c r="K237" s="222"/>
    </row>
    <row r="238" spans="1:11" ht="28.5">
      <c r="A238" s="69" t="s">
        <v>1916</v>
      </c>
      <c r="B238" s="230"/>
      <c r="C238" s="69" t="s">
        <v>3</v>
      </c>
      <c r="D238" s="69" t="s">
        <v>4</v>
      </c>
      <c r="E238" s="69" t="s">
        <v>1826</v>
      </c>
      <c r="F238" s="69" t="s">
        <v>367</v>
      </c>
      <c r="G238" s="69" t="s">
        <v>368</v>
      </c>
      <c r="K238" s="222"/>
    </row>
    <row r="239" spans="1:11" ht="60">
      <c r="A239" s="20">
        <v>11577</v>
      </c>
      <c r="B239" s="70" t="s">
        <v>429</v>
      </c>
      <c r="C239" s="21" t="s">
        <v>12</v>
      </c>
      <c r="D239" s="21" t="s">
        <v>17</v>
      </c>
      <c r="E239" s="22">
        <v>2</v>
      </c>
      <c r="F239" s="22">
        <f t="shared" ref="F239:F248" si="22">H239</f>
        <v>7.7519999999999989</v>
      </c>
      <c r="G239" s="22">
        <f t="shared" ref="G239:G248" si="23">ROUND(F239*E239,2)</f>
        <v>15.5</v>
      </c>
      <c r="H239" s="337">
        <v>7.7519999999999989</v>
      </c>
      <c r="I239" s="23" t="e">
        <f>IF(A239&lt;&gt;0,VLOOKUP(A239,#REF!,2,FALSE),"")</f>
        <v>#REF!</v>
      </c>
      <c r="K239" s="222"/>
    </row>
    <row r="240" spans="1:11" ht="75">
      <c r="A240" s="20">
        <v>3081</v>
      </c>
      <c r="B240" s="70" t="s">
        <v>430</v>
      </c>
      <c r="C240" s="21" t="s">
        <v>12</v>
      </c>
      <c r="D240" s="21" t="s">
        <v>383</v>
      </c>
      <c r="E240" s="22">
        <v>1</v>
      </c>
      <c r="F240" s="22">
        <f t="shared" si="22"/>
        <v>70.626500000000007</v>
      </c>
      <c r="G240" s="22">
        <f t="shared" si="23"/>
        <v>70.63</v>
      </c>
      <c r="H240" s="337">
        <v>70.626500000000007</v>
      </c>
      <c r="I240" s="23" t="e">
        <f>IF(A240&lt;&gt;0,VLOOKUP(A240,#REF!,2,FALSE),"")</f>
        <v>#REF!</v>
      </c>
      <c r="K240" s="222"/>
    </row>
    <row r="241" spans="1:11" ht="60">
      <c r="A241" s="20">
        <v>4982</v>
      </c>
      <c r="B241" s="70" t="s">
        <v>431</v>
      </c>
      <c r="C241" s="21" t="s">
        <v>12</v>
      </c>
      <c r="D241" s="21" t="s">
        <v>17</v>
      </c>
      <c r="E241" s="22">
        <v>1.74</v>
      </c>
      <c r="F241" s="22">
        <f t="shared" si="22"/>
        <v>278.46000000000004</v>
      </c>
      <c r="G241" s="22">
        <f t="shared" si="23"/>
        <v>484.52</v>
      </c>
      <c r="H241" s="337">
        <v>278.46000000000004</v>
      </c>
      <c r="I241" s="23" t="e">
        <f>IF(A241&lt;&gt;0,VLOOKUP(A241,#REF!,2,FALSE),"")</f>
        <v>#REF!</v>
      </c>
      <c r="K241" s="222"/>
    </row>
    <row r="242" spans="1:11" ht="45">
      <c r="A242" s="20">
        <v>2432</v>
      </c>
      <c r="B242" s="70" t="s">
        <v>432</v>
      </c>
      <c r="C242" s="21" t="s">
        <v>12</v>
      </c>
      <c r="D242" s="21" t="s">
        <v>17</v>
      </c>
      <c r="E242" s="22">
        <v>6</v>
      </c>
      <c r="F242" s="22">
        <f t="shared" si="22"/>
        <v>13.209</v>
      </c>
      <c r="G242" s="22">
        <f t="shared" si="23"/>
        <v>79.25</v>
      </c>
      <c r="H242" s="337">
        <v>13.209</v>
      </c>
      <c r="I242" s="23" t="e">
        <f>IF(A242&lt;&gt;0,VLOOKUP(A242,#REF!,2,FALSE),"")</f>
        <v>#REF!</v>
      </c>
      <c r="K242" s="222"/>
    </row>
    <row r="243" spans="1:11" ht="45">
      <c r="A243" s="20">
        <v>11055</v>
      </c>
      <c r="B243" s="70" t="s">
        <v>433</v>
      </c>
      <c r="C243" s="21" t="s">
        <v>12</v>
      </c>
      <c r="D243" s="21" t="s">
        <v>17</v>
      </c>
      <c r="E243" s="22">
        <v>19</v>
      </c>
      <c r="F243" s="22">
        <f t="shared" si="22"/>
        <v>3.4000000000000002E-2</v>
      </c>
      <c r="G243" s="22">
        <f t="shared" si="23"/>
        <v>0.65</v>
      </c>
      <c r="H243" s="337">
        <v>3.4000000000000002E-2</v>
      </c>
      <c r="I243" s="23" t="e">
        <f>IF(A243&lt;&gt;0,VLOOKUP(A243,#REF!,2,FALSE),"")</f>
        <v>#REF!</v>
      </c>
      <c r="K243" s="222"/>
    </row>
    <row r="244" spans="1:11" ht="30">
      <c r="A244" s="20">
        <v>39615</v>
      </c>
      <c r="B244" s="70" t="s">
        <v>434</v>
      </c>
      <c r="C244" s="21" t="s">
        <v>12</v>
      </c>
      <c r="D244" s="21" t="s">
        <v>17</v>
      </c>
      <c r="E244" s="22">
        <v>2</v>
      </c>
      <c r="F244" s="22">
        <f t="shared" si="22"/>
        <v>276.43700000000001</v>
      </c>
      <c r="G244" s="22">
        <f t="shared" si="23"/>
        <v>552.87</v>
      </c>
      <c r="H244" s="337">
        <v>276.43700000000001</v>
      </c>
      <c r="I244" s="23" t="e">
        <f>IF(A244&lt;&gt;0,VLOOKUP(A244,#REF!,2,FALSE),"")</f>
        <v>#REF!</v>
      </c>
      <c r="K244" s="222"/>
    </row>
    <row r="245" spans="1:11" ht="56.25" customHeight="1">
      <c r="A245" s="20">
        <v>183</v>
      </c>
      <c r="B245" s="70" t="s">
        <v>1792</v>
      </c>
      <c r="C245" s="21" t="s">
        <v>12</v>
      </c>
      <c r="D245" s="21" t="s">
        <v>17</v>
      </c>
      <c r="E245" s="22">
        <v>1.67</v>
      </c>
      <c r="F245" s="22">
        <f t="shared" si="22"/>
        <v>114.75</v>
      </c>
      <c r="G245" s="22">
        <f t="shared" si="23"/>
        <v>191.63</v>
      </c>
      <c r="H245" s="337">
        <v>114.75</v>
      </c>
      <c r="I245" s="23" t="e">
        <f>IF(A245&lt;&gt;0,VLOOKUP(A245,#REF!,2,FALSE),"")</f>
        <v>#REF!</v>
      </c>
      <c r="K245" s="222"/>
    </row>
    <row r="246" spans="1:11">
      <c r="A246" s="20">
        <v>100659</v>
      </c>
      <c r="B246" s="70" t="e">
        <f>I246</f>
        <v>#REF!</v>
      </c>
      <c r="C246" s="21" t="s">
        <v>12</v>
      </c>
      <c r="D246" s="21" t="s">
        <v>52</v>
      </c>
      <c r="E246" s="22">
        <v>12</v>
      </c>
      <c r="F246" s="22">
        <f>H246</f>
        <v>5.4994999999999994</v>
      </c>
      <c r="G246" s="22">
        <f>ROUND(F246*E246,2)</f>
        <v>65.989999999999995</v>
      </c>
      <c r="H246" s="337">
        <v>5.4994999999999994</v>
      </c>
      <c r="I246" s="23" t="e">
        <f>IF(A246&lt;&gt;0,VLOOKUP(A246,#REF!,2,FALSE),"")</f>
        <v>#REF!</v>
      </c>
      <c r="K246" s="222"/>
    </row>
    <row r="247" spans="1:11" ht="30">
      <c r="A247" s="20">
        <v>88261</v>
      </c>
      <c r="B247" s="70" t="s">
        <v>435</v>
      </c>
      <c r="C247" s="21" t="s">
        <v>12</v>
      </c>
      <c r="D247" s="21" t="s">
        <v>19</v>
      </c>
      <c r="E247" s="22">
        <v>1.6878</v>
      </c>
      <c r="F247" s="22">
        <f t="shared" si="22"/>
        <v>14.314</v>
      </c>
      <c r="G247" s="22">
        <f t="shared" si="23"/>
        <v>24.16</v>
      </c>
      <c r="H247" s="337">
        <v>14.314</v>
      </c>
      <c r="I247" s="23" t="e">
        <f>IF(A247&lt;&gt;0,VLOOKUP(A247,#REF!,2,FALSE),"")</f>
        <v>#REF!</v>
      </c>
      <c r="K247" s="222"/>
    </row>
    <row r="248" spans="1:11" ht="30">
      <c r="A248" s="20">
        <v>88316</v>
      </c>
      <c r="B248" s="70" t="s">
        <v>377</v>
      </c>
      <c r="C248" s="21" t="s">
        <v>12</v>
      </c>
      <c r="D248" s="21" t="s">
        <v>19</v>
      </c>
      <c r="E248" s="22">
        <v>0.83899999999999997</v>
      </c>
      <c r="F248" s="22">
        <f t="shared" si="22"/>
        <v>11.798000000000002</v>
      </c>
      <c r="G248" s="22">
        <f t="shared" si="23"/>
        <v>9.9</v>
      </c>
      <c r="H248" s="337">
        <v>11.798000000000002</v>
      </c>
      <c r="I248" s="23" t="e">
        <f>IF(A248&lt;&gt;0,VLOOKUP(A248,#REF!,2,FALSE),"")</f>
        <v>#REF!</v>
      </c>
      <c r="K248" s="222"/>
    </row>
    <row r="249" spans="1:11" ht="15" customHeight="1">
      <c r="A249" s="719" t="s">
        <v>1893</v>
      </c>
      <c r="B249" s="719"/>
      <c r="C249" s="719"/>
      <c r="D249" s="719"/>
      <c r="E249" s="719"/>
      <c r="F249" s="719"/>
      <c r="G249" s="71">
        <f>ROUND(SUM(G239:G248),2)</f>
        <v>1495.1</v>
      </c>
      <c r="K249" s="222"/>
    </row>
    <row r="250" spans="1:11" ht="29.25" customHeight="1">
      <c r="A250" s="72"/>
      <c r="B250" s="72"/>
      <c r="C250" s="327"/>
      <c r="D250" s="328"/>
      <c r="E250" s="72"/>
      <c r="F250" s="72"/>
      <c r="G250" s="72"/>
      <c r="K250" s="222"/>
    </row>
    <row r="251" spans="1:11" ht="35.25" customHeight="1">
      <c r="A251" s="612" t="s">
        <v>2633</v>
      </c>
      <c r="B251" s="613"/>
      <c r="C251" s="613"/>
      <c r="D251" s="613"/>
      <c r="E251" s="614"/>
      <c r="F251" s="67" t="s">
        <v>1914</v>
      </c>
      <c r="G251" s="230"/>
      <c r="K251" s="222"/>
    </row>
    <row r="252" spans="1:11" ht="28.5">
      <c r="A252" s="69" t="s">
        <v>1916</v>
      </c>
      <c r="B252" s="230"/>
      <c r="C252" s="69" t="s">
        <v>3</v>
      </c>
      <c r="D252" s="69" t="s">
        <v>4</v>
      </c>
      <c r="E252" s="69" t="s">
        <v>1826</v>
      </c>
      <c r="F252" s="69" t="s">
        <v>367</v>
      </c>
      <c r="G252" s="69" t="s">
        <v>368</v>
      </c>
      <c r="K252" s="222"/>
    </row>
    <row r="253" spans="1:11" ht="60">
      <c r="A253" s="20">
        <v>11577</v>
      </c>
      <c r="B253" s="70" t="s">
        <v>429</v>
      </c>
      <c r="C253" s="21" t="s">
        <v>12</v>
      </c>
      <c r="D253" s="21" t="s">
        <v>17</v>
      </c>
      <c r="E253" s="22">
        <v>2</v>
      </c>
      <c r="F253" s="22">
        <f t="shared" ref="F253:F262" si="24">H253</f>
        <v>7.7519999999999989</v>
      </c>
      <c r="G253" s="22">
        <f t="shared" ref="G253:G262" si="25">ROUND(F253*E253,2)</f>
        <v>15.5</v>
      </c>
      <c r="H253" s="337">
        <v>7.7519999999999989</v>
      </c>
      <c r="I253" s="23" t="e">
        <f>IF(A253&lt;&gt;0,VLOOKUP(A253,#REF!,2,FALSE),"")</f>
        <v>#REF!</v>
      </c>
      <c r="K253" s="222"/>
    </row>
    <row r="254" spans="1:11" ht="75">
      <c r="A254" s="20">
        <v>3081</v>
      </c>
      <c r="B254" s="70" t="s">
        <v>430</v>
      </c>
      <c r="C254" s="21" t="s">
        <v>12</v>
      </c>
      <c r="D254" s="21" t="s">
        <v>383</v>
      </c>
      <c r="E254" s="22">
        <v>1</v>
      </c>
      <c r="F254" s="22">
        <f t="shared" si="24"/>
        <v>70.626500000000007</v>
      </c>
      <c r="G254" s="22">
        <f t="shared" si="25"/>
        <v>70.63</v>
      </c>
      <c r="H254" s="337">
        <v>70.626500000000007</v>
      </c>
      <c r="I254" s="23" t="e">
        <f>IF(A254&lt;&gt;0,VLOOKUP(A254,#REF!,2,FALSE),"")</f>
        <v>#REF!</v>
      </c>
      <c r="K254" s="222"/>
    </row>
    <row r="255" spans="1:11" ht="60">
      <c r="A255" s="20">
        <v>4982</v>
      </c>
      <c r="B255" s="70" t="s">
        <v>431</v>
      </c>
      <c r="C255" s="21" t="s">
        <v>12</v>
      </c>
      <c r="D255" s="21" t="s">
        <v>17</v>
      </c>
      <c r="E255" s="22">
        <v>2.23</v>
      </c>
      <c r="F255" s="22">
        <f t="shared" si="24"/>
        <v>278.46000000000004</v>
      </c>
      <c r="G255" s="22">
        <f t="shared" si="25"/>
        <v>620.97</v>
      </c>
      <c r="H255" s="337">
        <v>278.46000000000004</v>
      </c>
      <c r="I255" s="23" t="e">
        <f>IF(A255&lt;&gt;0,VLOOKUP(A255,#REF!,2,FALSE),"")</f>
        <v>#REF!</v>
      </c>
      <c r="K255" s="222"/>
    </row>
    <row r="256" spans="1:11" ht="45">
      <c r="A256" s="20">
        <v>2432</v>
      </c>
      <c r="B256" s="70" t="s">
        <v>432</v>
      </c>
      <c r="C256" s="21" t="s">
        <v>12</v>
      </c>
      <c r="D256" s="21" t="s">
        <v>17</v>
      </c>
      <c r="E256" s="22">
        <v>6</v>
      </c>
      <c r="F256" s="22">
        <f t="shared" si="24"/>
        <v>13.209</v>
      </c>
      <c r="G256" s="22">
        <f t="shared" si="25"/>
        <v>79.25</v>
      </c>
      <c r="H256" s="337">
        <v>13.209</v>
      </c>
      <c r="I256" s="23" t="e">
        <f>IF(A256&lt;&gt;0,VLOOKUP(A256,#REF!,2,FALSE),"")</f>
        <v>#REF!</v>
      </c>
      <c r="K256" s="222"/>
    </row>
    <row r="257" spans="1:11" ht="45">
      <c r="A257" s="20">
        <v>11055</v>
      </c>
      <c r="B257" s="70" t="s">
        <v>433</v>
      </c>
      <c r="C257" s="21" t="s">
        <v>12</v>
      </c>
      <c r="D257" s="21" t="s">
        <v>17</v>
      </c>
      <c r="E257" s="22">
        <v>19</v>
      </c>
      <c r="F257" s="22">
        <f t="shared" si="24"/>
        <v>3.4000000000000002E-2</v>
      </c>
      <c r="G257" s="22">
        <f t="shared" si="25"/>
        <v>0.65</v>
      </c>
      <c r="H257" s="337">
        <v>3.4000000000000002E-2</v>
      </c>
      <c r="I257" s="23" t="e">
        <f>IF(A257&lt;&gt;0,VLOOKUP(A257,#REF!,2,FALSE),"")</f>
        <v>#REF!</v>
      </c>
      <c r="K257" s="222"/>
    </row>
    <row r="258" spans="1:11" ht="30">
      <c r="A258" s="20">
        <v>39615</v>
      </c>
      <c r="B258" s="70" t="s">
        <v>434</v>
      </c>
      <c r="C258" s="21" t="s">
        <v>12</v>
      </c>
      <c r="D258" s="21" t="s">
        <v>17</v>
      </c>
      <c r="E258" s="22">
        <v>2</v>
      </c>
      <c r="F258" s="22">
        <f t="shared" si="24"/>
        <v>276.43700000000001</v>
      </c>
      <c r="G258" s="22">
        <f t="shared" si="25"/>
        <v>552.87</v>
      </c>
      <c r="H258" s="337">
        <v>276.43700000000001</v>
      </c>
      <c r="I258" s="23" t="e">
        <f>IF(A258&lt;&gt;0,VLOOKUP(A258,#REF!,2,FALSE),"")</f>
        <v>#REF!</v>
      </c>
      <c r="K258" s="222"/>
    </row>
    <row r="259" spans="1:11">
      <c r="A259" s="20">
        <v>183</v>
      </c>
      <c r="B259" s="70" t="e">
        <f>I259</f>
        <v>#REF!</v>
      </c>
      <c r="C259" s="21" t="s">
        <v>12</v>
      </c>
      <c r="D259" s="21" t="s">
        <v>17</v>
      </c>
      <c r="E259" s="22">
        <v>1.67</v>
      </c>
      <c r="F259" s="22">
        <f t="shared" si="24"/>
        <v>114.75</v>
      </c>
      <c r="G259" s="22">
        <f t="shared" si="25"/>
        <v>191.63</v>
      </c>
      <c r="H259" s="337">
        <v>114.75</v>
      </c>
      <c r="I259" s="23" t="e">
        <f>IF(A259&lt;&gt;0,VLOOKUP(A259,#REF!,2,FALSE),"")</f>
        <v>#REF!</v>
      </c>
      <c r="K259" s="222"/>
    </row>
    <row r="260" spans="1:11">
      <c r="A260" s="20">
        <v>100659</v>
      </c>
      <c r="B260" s="70" t="e">
        <f>I260</f>
        <v>#REF!</v>
      </c>
      <c r="C260" s="21" t="s">
        <v>12</v>
      </c>
      <c r="D260" s="21" t="s">
        <v>52</v>
      </c>
      <c r="E260" s="22">
        <v>12</v>
      </c>
      <c r="F260" s="22">
        <f>H260</f>
        <v>5.4994999999999994</v>
      </c>
      <c r="G260" s="22">
        <f>ROUND(F260*E260,2)</f>
        <v>65.989999999999995</v>
      </c>
      <c r="H260" s="337">
        <v>5.4994999999999994</v>
      </c>
      <c r="I260" s="23" t="e">
        <f>IF(A260&lt;&gt;0,VLOOKUP(A260,#REF!,2,FALSE),"")</f>
        <v>#REF!</v>
      </c>
      <c r="K260" s="222"/>
    </row>
    <row r="261" spans="1:11" ht="30">
      <c r="A261" s="20">
        <v>88261</v>
      </c>
      <c r="B261" s="70" t="s">
        <v>435</v>
      </c>
      <c r="C261" s="21" t="s">
        <v>12</v>
      </c>
      <c r="D261" s="21" t="s">
        <v>19</v>
      </c>
      <c r="E261" s="22">
        <v>1.6878</v>
      </c>
      <c r="F261" s="22">
        <f t="shared" si="24"/>
        <v>14.314</v>
      </c>
      <c r="G261" s="22">
        <f t="shared" si="25"/>
        <v>24.16</v>
      </c>
      <c r="H261" s="337">
        <v>14.314</v>
      </c>
      <c r="I261" s="23" t="e">
        <f>IF(A261&lt;&gt;0,VLOOKUP(A261,#REF!,2,FALSE),"")</f>
        <v>#REF!</v>
      </c>
      <c r="K261" s="222"/>
    </row>
    <row r="262" spans="1:11" ht="30">
      <c r="A262" s="20">
        <v>88316</v>
      </c>
      <c r="B262" s="70" t="s">
        <v>377</v>
      </c>
      <c r="C262" s="21" t="s">
        <v>12</v>
      </c>
      <c r="D262" s="21" t="s">
        <v>19</v>
      </c>
      <c r="E262" s="22">
        <v>0.83899999999999997</v>
      </c>
      <c r="F262" s="22">
        <f t="shared" si="24"/>
        <v>11.798000000000002</v>
      </c>
      <c r="G262" s="22">
        <f t="shared" si="25"/>
        <v>9.9</v>
      </c>
      <c r="H262" s="337">
        <v>11.798000000000002</v>
      </c>
      <c r="I262" s="23" t="e">
        <f>IF(A262&lt;&gt;0,VLOOKUP(A262,#REF!,2,FALSE),"")</f>
        <v>#REF!</v>
      </c>
      <c r="K262" s="222"/>
    </row>
    <row r="263" spans="1:11" ht="15" customHeight="1">
      <c r="A263" s="719" t="s">
        <v>1893</v>
      </c>
      <c r="B263" s="719"/>
      <c r="C263" s="719"/>
      <c r="D263" s="719"/>
      <c r="E263" s="719"/>
      <c r="F263" s="719"/>
      <c r="G263" s="71">
        <f>ROUND(SUM(G253:G262),2)</f>
        <v>1631.55</v>
      </c>
      <c r="K263" s="222"/>
    </row>
    <row r="264" spans="1:11" ht="32.25" customHeight="1">
      <c r="A264" s="72"/>
      <c r="B264" s="72"/>
      <c r="C264" s="327"/>
      <c r="D264" s="328"/>
      <c r="E264" s="72"/>
      <c r="F264" s="72"/>
      <c r="G264" s="72"/>
      <c r="K264" s="222"/>
    </row>
    <row r="265" spans="1:11" ht="33" customHeight="1">
      <c r="A265" s="612" t="s">
        <v>2635</v>
      </c>
      <c r="B265" s="613"/>
      <c r="C265" s="613"/>
      <c r="D265" s="613"/>
      <c r="E265" s="614"/>
      <c r="F265" s="67" t="s">
        <v>1914</v>
      </c>
      <c r="G265" s="230"/>
      <c r="K265" s="222"/>
    </row>
    <row r="266" spans="1:11" ht="28.5">
      <c r="A266" s="69" t="s">
        <v>1916</v>
      </c>
      <c r="B266" s="230"/>
      <c r="C266" s="69" t="s">
        <v>3</v>
      </c>
      <c r="D266" s="69" t="s">
        <v>4</v>
      </c>
      <c r="E266" s="69" t="s">
        <v>1826</v>
      </c>
      <c r="F266" s="69" t="s">
        <v>367</v>
      </c>
      <c r="G266" s="69" t="s">
        <v>368</v>
      </c>
      <c r="K266" s="222"/>
    </row>
    <row r="267" spans="1:11" ht="60">
      <c r="A267" s="20">
        <v>11577</v>
      </c>
      <c r="B267" s="70" t="s">
        <v>429</v>
      </c>
      <c r="C267" s="21" t="s">
        <v>12</v>
      </c>
      <c r="D267" s="21" t="s">
        <v>17</v>
      </c>
      <c r="E267" s="22">
        <v>2</v>
      </c>
      <c r="F267" s="22">
        <f>H267</f>
        <v>7.7519999999999989</v>
      </c>
      <c r="G267" s="22">
        <f>ROUND(F267*E267,2)</f>
        <v>15.5</v>
      </c>
      <c r="H267" s="337">
        <v>7.7519999999999989</v>
      </c>
      <c r="I267" s="23" t="e">
        <f>IF(A267&lt;&gt;0,VLOOKUP(A267,#REF!,2,FALSE),"")</f>
        <v>#REF!</v>
      </c>
      <c r="K267" s="222"/>
    </row>
    <row r="268" spans="1:11" ht="75">
      <c r="A268" s="20">
        <v>3081</v>
      </c>
      <c r="B268" s="70" t="s">
        <v>430</v>
      </c>
      <c r="C268" s="21" t="s">
        <v>12</v>
      </c>
      <c r="D268" s="21" t="s">
        <v>383</v>
      </c>
      <c r="E268" s="22">
        <v>1</v>
      </c>
      <c r="F268" s="22">
        <f t="shared" ref="F268:F276" si="26">H268</f>
        <v>70.626500000000007</v>
      </c>
      <c r="G268" s="22">
        <f t="shared" ref="G268:G276" si="27">ROUND(F268*E268,2)</f>
        <v>70.63</v>
      </c>
      <c r="H268" s="337">
        <v>70.626500000000007</v>
      </c>
      <c r="I268" s="23" t="e">
        <f>IF(A268&lt;&gt;0,VLOOKUP(A268,#REF!,2,FALSE),"")</f>
        <v>#REF!</v>
      </c>
      <c r="K268" s="222"/>
    </row>
    <row r="269" spans="1:11" ht="60">
      <c r="A269" s="20">
        <v>4982</v>
      </c>
      <c r="B269" s="70" t="s">
        <v>431</v>
      </c>
      <c r="C269" s="21" t="s">
        <v>12</v>
      </c>
      <c r="D269" s="21" t="s">
        <v>17</v>
      </c>
      <c r="E269" s="22">
        <v>1.5</v>
      </c>
      <c r="F269" s="22">
        <f t="shared" si="26"/>
        <v>278.46000000000004</v>
      </c>
      <c r="G269" s="22">
        <f t="shared" si="27"/>
        <v>417.69</v>
      </c>
      <c r="H269" s="337">
        <v>278.46000000000004</v>
      </c>
      <c r="I269" s="23" t="e">
        <f>IF(A269&lt;&gt;0,VLOOKUP(A269,#REF!,2,FALSE),"")</f>
        <v>#REF!</v>
      </c>
      <c r="K269" s="222"/>
    </row>
    <row r="270" spans="1:11" ht="45">
      <c r="A270" s="20">
        <v>2432</v>
      </c>
      <c r="B270" s="70" t="s">
        <v>432</v>
      </c>
      <c r="C270" s="21" t="s">
        <v>12</v>
      </c>
      <c r="D270" s="21" t="s">
        <v>17</v>
      </c>
      <c r="E270" s="22">
        <v>6</v>
      </c>
      <c r="F270" s="22">
        <f t="shared" si="26"/>
        <v>13.209</v>
      </c>
      <c r="G270" s="22">
        <f t="shared" si="27"/>
        <v>79.25</v>
      </c>
      <c r="H270" s="337">
        <v>13.209</v>
      </c>
      <c r="I270" s="23" t="e">
        <f>IF(A270&lt;&gt;0,VLOOKUP(A270,#REF!,2,FALSE),"")</f>
        <v>#REF!</v>
      </c>
      <c r="K270" s="222"/>
    </row>
    <row r="271" spans="1:11" ht="45">
      <c r="A271" s="20">
        <v>11055</v>
      </c>
      <c r="B271" s="70" t="s">
        <v>433</v>
      </c>
      <c r="C271" s="21" t="s">
        <v>12</v>
      </c>
      <c r="D271" s="21" t="s">
        <v>17</v>
      </c>
      <c r="E271" s="22">
        <v>19</v>
      </c>
      <c r="F271" s="22">
        <f t="shared" si="26"/>
        <v>3.4000000000000002E-2</v>
      </c>
      <c r="G271" s="22">
        <f t="shared" si="27"/>
        <v>0.65</v>
      </c>
      <c r="H271" s="337">
        <v>3.4000000000000002E-2</v>
      </c>
      <c r="I271" s="23" t="e">
        <f>IF(A271&lt;&gt;0,VLOOKUP(A271,#REF!,2,FALSE),"")</f>
        <v>#REF!</v>
      </c>
      <c r="K271" s="222"/>
    </row>
    <row r="272" spans="1:11" ht="30">
      <c r="A272" s="20">
        <v>39615</v>
      </c>
      <c r="B272" s="70" t="s">
        <v>434</v>
      </c>
      <c r="C272" s="21" t="s">
        <v>12</v>
      </c>
      <c r="D272" s="21" t="s">
        <v>17</v>
      </c>
      <c r="E272" s="22">
        <v>2</v>
      </c>
      <c r="F272" s="22">
        <f t="shared" si="26"/>
        <v>276.43700000000001</v>
      </c>
      <c r="G272" s="22">
        <f t="shared" si="27"/>
        <v>552.87</v>
      </c>
      <c r="H272" s="337">
        <v>276.43700000000001</v>
      </c>
      <c r="I272" s="23" t="e">
        <f>IF(A272&lt;&gt;0,VLOOKUP(A272,#REF!,2,FALSE),"")</f>
        <v>#REF!</v>
      </c>
      <c r="K272" s="222"/>
    </row>
    <row r="273" spans="1:11" ht="45">
      <c r="A273" s="20">
        <v>183</v>
      </c>
      <c r="B273" s="70" t="s">
        <v>1792</v>
      </c>
      <c r="C273" s="21" t="s">
        <v>12</v>
      </c>
      <c r="D273" s="21" t="s">
        <v>17</v>
      </c>
      <c r="E273" s="22">
        <v>1.67</v>
      </c>
      <c r="F273" s="22">
        <f t="shared" si="26"/>
        <v>114.75</v>
      </c>
      <c r="G273" s="22">
        <f t="shared" si="27"/>
        <v>191.63</v>
      </c>
      <c r="H273" s="337">
        <v>114.75</v>
      </c>
      <c r="I273" s="23" t="e">
        <f>IF(A273&lt;&gt;0,VLOOKUP(A273,#REF!,2,FALSE),"")</f>
        <v>#REF!</v>
      </c>
      <c r="K273" s="222"/>
    </row>
    <row r="274" spans="1:11">
      <c r="A274" s="20">
        <v>100659</v>
      </c>
      <c r="B274" s="70" t="e">
        <f>I274</f>
        <v>#REF!</v>
      </c>
      <c r="C274" s="21" t="s">
        <v>12</v>
      </c>
      <c r="D274" s="21" t="s">
        <v>52</v>
      </c>
      <c r="E274" s="22">
        <v>12</v>
      </c>
      <c r="F274" s="22">
        <f>H274</f>
        <v>5.4994999999999994</v>
      </c>
      <c r="G274" s="22">
        <f>ROUND(F274*E274,2)</f>
        <v>65.989999999999995</v>
      </c>
      <c r="H274" s="337">
        <v>5.4994999999999994</v>
      </c>
      <c r="I274" s="23" t="e">
        <f>IF(A274&lt;&gt;0,VLOOKUP(A274,#REF!,2,FALSE),"")</f>
        <v>#REF!</v>
      </c>
      <c r="K274" s="222"/>
    </row>
    <row r="275" spans="1:11" ht="30">
      <c r="A275" s="20">
        <v>88261</v>
      </c>
      <c r="B275" s="70" t="s">
        <v>435</v>
      </c>
      <c r="C275" s="21" t="s">
        <v>12</v>
      </c>
      <c r="D275" s="21" t="s">
        <v>19</v>
      </c>
      <c r="E275" s="22">
        <v>1.6878</v>
      </c>
      <c r="F275" s="22">
        <f t="shared" si="26"/>
        <v>14.314</v>
      </c>
      <c r="G275" s="22">
        <f t="shared" si="27"/>
        <v>24.16</v>
      </c>
      <c r="H275" s="337">
        <v>14.314</v>
      </c>
      <c r="I275" s="23" t="e">
        <f>IF(A275&lt;&gt;0,VLOOKUP(A275,#REF!,2,FALSE),"")</f>
        <v>#REF!</v>
      </c>
      <c r="K275" s="222"/>
    </row>
    <row r="276" spans="1:11" ht="30">
      <c r="A276" s="20">
        <v>88316</v>
      </c>
      <c r="B276" s="70" t="s">
        <v>377</v>
      </c>
      <c r="C276" s="21" t="s">
        <v>12</v>
      </c>
      <c r="D276" s="21" t="s">
        <v>19</v>
      </c>
      <c r="E276" s="22">
        <v>0.83899999999999997</v>
      </c>
      <c r="F276" s="22">
        <f t="shared" si="26"/>
        <v>11.798000000000002</v>
      </c>
      <c r="G276" s="22">
        <f t="shared" si="27"/>
        <v>9.9</v>
      </c>
      <c r="H276" s="337">
        <v>11.798000000000002</v>
      </c>
      <c r="I276" s="23" t="e">
        <f>IF(A276&lt;&gt;0,VLOOKUP(A276,#REF!,2,FALSE),"")</f>
        <v>#REF!</v>
      </c>
      <c r="K276" s="222"/>
    </row>
    <row r="277" spans="1:11" ht="15" customHeight="1">
      <c r="A277" s="719" t="s">
        <v>1893</v>
      </c>
      <c r="B277" s="719"/>
      <c r="C277" s="719"/>
      <c r="D277" s="719"/>
      <c r="E277" s="719"/>
      <c r="F277" s="719"/>
      <c r="G277" s="71">
        <f>ROUND(SUM(G267:G276),2)</f>
        <v>1428.27</v>
      </c>
      <c r="K277" s="222"/>
    </row>
    <row r="278" spans="1:11" ht="27.75" customHeight="1">
      <c r="A278" s="72"/>
      <c r="B278" s="72"/>
      <c r="C278" s="327"/>
      <c r="D278" s="328"/>
      <c r="E278" s="72"/>
      <c r="F278" s="72"/>
      <c r="G278" s="72"/>
      <c r="K278" s="222"/>
    </row>
    <row r="279" spans="1:11" ht="51.75" customHeight="1">
      <c r="A279" s="612" t="s">
        <v>2061</v>
      </c>
      <c r="B279" s="613"/>
      <c r="C279" s="613"/>
      <c r="D279" s="613"/>
      <c r="E279" s="718"/>
      <c r="F279" s="67" t="s">
        <v>1914</v>
      </c>
      <c r="G279" s="230"/>
      <c r="K279" s="222"/>
    </row>
    <row r="280" spans="1:11" ht="28.5">
      <c r="A280" s="69" t="s">
        <v>1916</v>
      </c>
      <c r="B280" s="230"/>
      <c r="C280" s="69" t="s">
        <v>3</v>
      </c>
      <c r="D280" s="69" t="s">
        <v>4</v>
      </c>
      <c r="E280" s="69" t="s">
        <v>1826</v>
      </c>
      <c r="F280" s="69" t="s">
        <v>367</v>
      </c>
      <c r="G280" s="69" t="s">
        <v>368</v>
      </c>
      <c r="K280" s="222"/>
    </row>
    <row r="281" spans="1:11" ht="60">
      <c r="A281" s="76">
        <v>4930</v>
      </c>
      <c r="B281" s="77" t="s">
        <v>436</v>
      </c>
      <c r="C281" s="78" t="s">
        <v>12</v>
      </c>
      <c r="D281" s="78" t="s">
        <v>26</v>
      </c>
      <c r="E281" s="73">
        <v>1.89</v>
      </c>
      <c r="F281" s="22">
        <f t="shared" ref="F281:F287" si="28">H281</f>
        <v>296.24199999999996</v>
      </c>
      <c r="G281" s="22">
        <f t="shared" ref="G281:G287" si="29">ROUND(F281*E281,2)</f>
        <v>559.9</v>
      </c>
      <c r="H281" s="337">
        <v>296.24199999999996</v>
      </c>
      <c r="I281" s="23" t="e">
        <f>IF(A281&lt;&gt;0,VLOOKUP(A281,#REF!,2,FALSE),"")</f>
        <v>#REF!</v>
      </c>
      <c r="K281" s="222"/>
    </row>
    <row r="282" spans="1:11" ht="60">
      <c r="A282" s="76">
        <v>11577</v>
      </c>
      <c r="B282" s="77" t="s">
        <v>429</v>
      </c>
      <c r="C282" s="78" t="s">
        <v>12</v>
      </c>
      <c r="D282" s="78" t="s">
        <v>17</v>
      </c>
      <c r="E282" s="73">
        <v>1</v>
      </c>
      <c r="F282" s="22">
        <f t="shared" si="28"/>
        <v>7.7519999999999989</v>
      </c>
      <c r="G282" s="22">
        <f t="shared" si="29"/>
        <v>7.75</v>
      </c>
      <c r="H282" s="337">
        <v>7.7519999999999989</v>
      </c>
      <c r="I282" s="23" t="e">
        <f>IF(A282&lt;&gt;0,VLOOKUP(A282,#REF!,2,FALSE),"")</f>
        <v>#REF!</v>
      </c>
      <c r="K282" s="222"/>
    </row>
    <row r="283" spans="1:11" ht="59.25" customHeight="1">
      <c r="A283" s="76">
        <v>5080</v>
      </c>
      <c r="B283" s="77" t="s">
        <v>437</v>
      </c>
      <c r="C283" s="78" t="s">
        <v>12</v>
      </c>
      <c r="D283" s="78" t="s">
        <v>17</v>
      </c>
      <c r="E283" s="73">
        <v>1</v>
      </c>
      <c r="F283" s="22">
        <f t="shared" si="28"/>
        <v>13.616999999999999</v>
      </c>
      <c r="G283" s="22">
        <f t="shared" si="29"/>
        <v>13.62</v>
      </c>
      <c r="H283" s="337">
        <v>13.616999999999999</v>
      </c>
      <c r="I283" s="23" t="e">
        <f>IF(A283&lt;&gt;0,VLOOKUP(A283,#REF!,2,FALSE),"")</f>
        <v>#REF!</v>
      </c>
      <c r="K283" s="222"/>
    </row>
    <row r="284" spans="1:11" ht="30">
      <c r="A284" s="76">
        <v>88309</v>
      </c>
      <c r="B284" s="77" t="s">
        <v>390</v>
      </c>
      <c r="C284" s="78" t="s">
        <v>12</v>
      </c>
      <c r="D284" s="78" t="s">
        <v>19</v>
      </c>
      <c r="E284" s="73">
        <v>0.8</v>
      </c>
      <c r="F284" s="22">
        <f t="shared" si="28"/>
        <v>15.121499999999999</v>
      </c>
      <c r="G284" s="22">
        <f t="shared" si="29"/>
        <v>12.1</v>
      </c>
      <c r="H284" s="337">
        <v>15.121499999999999</v>
      </c>
      <c r="I284" s="23" t="e">
        <f>IF(A284&lt;&gt;0,VLOOKUP(A284,#REF!,2,FALSE),"")</f>
        <v>#REF!</v>
      </c>
      <c r="K284" s="222"/>
    </row>
    <row r="285" spans="1:11" ht="30">
      <c r="A285" s="76">
        <v>88315</v>
      </c>
      <c r="B285" s="77" t="s">
        <v>420</v>
      </c>
      <c r="C285" s="78" t="s">
        <v>12</v>
      </c>
      <c r="D285" s="78" t="s">
        <v>19</v>
      </c>
      <c r="E285" s="73">
        <v>1.6</v>
      </c>
      <c r="F285" s="22">
        <f t="shared" si="28"/>
        <v>15.045</v>
      </c>
      <c r="G285" s="22">
        <f t="shared" si="29"/>
        <v>24.07</v>
      </c>
      <c r="H285" s="337">
        <v>15.045</v>
      </c>
      <c r="I285" s="23" t="e">
        <f>IF(A285&lt;&gt;0,VLOOKUP(A285,#REF!,2,FALSE),"")</f>
        <v>#REF!</v>
      </c>
      <c r="K285" s="222"/>
    </row>
    <row r="286" spans="1:11" ht="30">
      <c r="A286" s="76">
        <v>88316</v>
      </c>
      <c r="B286" s="77" t="s">
        <v>377</v>
      </c>
      <c r="C286" s="78" t="s">
        <v>12</v>
      </c>
      <c r="D286" s="78" t="s">
        <v>19</v>
      </c>
      <c r="E286" s="73">
        <v>2.8</v>
      </c>
      <c r="F286" s="22">
        <f t="shared" si="28"/>
        <v>11.798000000000002</v>
      </c>
      <c r="G286" s="22">
        <f t="shared" si="29"/>
        <v>33.03</v>
      </c>
      <c r="H286" s="337">
        <v>11.798000000000002</v>
      </c>
      <c r="I286" s="23" t="e">
        <f>IF(A286&lt;&gt;0,VLOOKUP(A286,#REF!,2,FALSE),"")</f>
        <v>#REF!</v>
      </c>
      <c r="K286" s="222"/>
    </row>
    <row r="287" spans="1:11" ht="45">
      <c r="A287" s="76">
        <v>88627</v>
      </c>
      <c r="B287" s="77" t="s">
        <v>1793</v>
      </c>
      <c r="C287" s="78" t="s">
        <v>12</v>
      </c>
      <c r="D287" s="78" t="s">
        <v>35</v>
      </c>
      <c r="E287" s="73">
        <v>6.0000000000000001E-3</v>
      </c>
      <c r="F287" s="22">
        <f t="shared" si="28"/>
        <v>414.29849999999999</v>
      </c>
      <c r="G287" s="22">
        <f t="shared" si="29"/>
        <v>2.4900000000000002</v>
      </c>
      <c r="H287" s="337">
        <v>414.29849999999999</v>
      </c>
      <c r="I287" s="23" t="e">
        <f>IF(A287&lt;&gt;0,VLOOKUP(A287,#REF!,2,FALSE),"")</f>
        <v>#REF!</v>
      </c>
      <c r="K287" s="222"/>
    </row>
    <row r="288" spans="1:11" ht="15" customHeight="1">
      <c r="A288" s="719" t="s">
        <v>1893</v>
      </c>
      <c r="B288" s="719"/>
      <c r="C288" s="719"/>
      <c r="D288" s="719"/>
      <c r="E288" s="719"/>
      <c r="F288" s="719"/>
      <c r="G288" s="71">
        <f>ROUND(SUM(G281:G287),2)</f>
        <v>652.96</v>
      </c>
      <c r="K288" s="222"/>
    </row>
    <row r="289" spans="1:11" ht="36" customHeight="1">
      <c r="A289" s="72"/>
      <c r="B289" s="72"/>
      <c r="C289" s="327"/>
      <c r="D289" s="328"/>
      <c r="E289" s="72"/>
      <c r="F289" s="72"/>
      <c r="G289" s="72"/>
      <c r="K289" s="222"/>
    </row>
    <row r="290" spans="1:11" ht="35.25" customHeight="1">
      <c r="A290" s="612" t="s">
        <v>2064</v>
      </c>
      <c r="B290" s="613"/>
      <c r="C290" s="613"/>
      <c r="D290" s="613"/>
      <c r="E290" s="718"/>
      <c r="F290" s="67" t="s">
        <v>1914</v>
      </c>
      <c r="G290" s="230"/>
      <c r="K290" s="222"/>
    </row>
    <row r="291" spans="1:11" ht="28.5">
      <c r="A291" s="69" t="s">
        <v>1916</v>
      </c>
      <c r="B291" s="230"/>
      <c r="C291" s="69" t="s">
        <v>3</v>
      </c>
      <c r="D291" s="69" t="s">
        <v>4</v>
      </c>
      <c r="E291" s="69" t="s">
        <v>1826</v>
      </c>
      <c r="F291" s="69" t="s">
        <v>367</v>
      </c>
      <c r="G291" s="69" t="s">
        <v>368</v>
      </c>
      <c r="K291" s="222"/>
    </row>
    <row r="292" spans="1:11" ht="45">
      <c r="A292" s="20">
        <v>142</v>
      </c>
      <c r="B292" s="70" t="s">
        <v>423</v>
      </c>
      <c r="C292" s="21" t="s">
        <v>12</v>
      </c>
      <c r="D292" s="21" t="s">
        <v>424</v>
      </c>
      <c r="E292" s="22">
        <v>0.59030000000000005</v>
      </c>
      <c r="F292" s="22">
        <f t="shared" ref="F292:F298" si="30">H292</f>
        <v>28.126500000000004</v>
      </c>
      <c r="G292" s="22">
        <f t="shared" ref="G292:G298" si="31">ROUND(F292*E292,2)</f>
        <v>16.600000000000001</v>
      </c>
      <c r="H292" s="337">
        <v>28.126500000000004</v>
      </c>
      <c r="I292" s="23" t="e">
        <f>IF(A292&lt;&gt;0,VLOOKUP(A292,#REF!,2,FALSE),"")</f>
        <v>#REF!</v>
      </c>
      <c r="K292" s="222"/>
    </row>
    <row r="293" spans="1:11" ht="45">
      <c r="A293" s="20">
        <v>34381</v>
      </c>
      <c r="B293" s="70" t="s">
        <v>438</v>
      </c>
      <c r="C293" s="21" t="s">
        <v>12</v>
      </c>
      <c r="D293" s="21" t="s">
        <v>26</v>
      </c>
      <c r="E293" s="22">
        <v>1.0001</v>
      </c>
      <c r="F293" s="22">
        <f t="shared" si="30"/>
        <v>258.96100000000001</v>
      </c>
      <c r="G293" s="22">
        <f t="shared" si="31"/>
        <v>258.99</v>
      </c>
      <c r="H293" s="337">
        <v>258.96100000000001</v>
      </c>
      <c r="I293" s="23" t="e">
        <f>IF(A293&lt;&gt;0,VLOOKUP(A293,#REF!,2,FALSE),"")</f>
        <v>#REF!</v>
      </c>
      <c r="K293" s="222"/>
    </row>
    <row r="294" spans="1:11" ht="60">
      <c r="A294" s="20">
        <v>11950</v>
      </c>
      <c r="B294" s="70" t="s">
        <v>404</v>
      </c>
      <c r="C294" s="21" t="s">
        <v>12</v>
      </c>
      <c r="D294" s="21" t="s">
        <v>17</v>
      </c>
      <c r="E294" s="22">
        <v>24.4</v>
      </c>
      <c r="F294" s="22">
        <f t="shared" si="30"/>
        <v>0.10199999999999999</v>
      </c>
      <c r="G294" s="22">
        <f t="shared" si="31"/>
        <v>2.4900000000000002</v>
      </c>
      <c r="H294" s="337">
        <v>0.10199999999999999</v>
      </c>
      <c r="I294" s="23" t="e">
        <f>IF(A294&lt;&gt;0,VLOOKUP(A294,#REF!,2,FALSE),"")</f>
        <v>#REF!</v>
      </c>
      <c r="K294" s="222"/>
    </row>
    <row r="295" spans="1:11" ht="30">
      <c r="A295" s="20">
        <v>88309</v>
      </c>
      <c r="B295" s="70" t="s">
        <v>390</v>
      </c>
      <c r="C295" s="21" t="s">
        <v>12</v>
      </c>
      <c r="D295" s="21" t="s">
        <v>19</v>
      </c>
      <c r="E295" s="22">
        <v>2</v>
      </c>
      <c r="F295" s="22">
        <f t="shared" si="30"/>
        <v>15.121499999999999</v>
      </c>
      <c r="G295" s="22">
        <f t="shared" si="31"/>
        <v>30.24</v>
      </c>
      <c r="H295" s="337">
        <v>15.121499999999999</v>
      </c>
      <c r="I295" s="23" t="e">
        <f>IF(A295&lt;&gt;0,VLOOKUP(A295,#REF!,2,FALSE),"")</f>
        <v>#REF!</v>
      </c>
      <c r="K295" s="222"/>
    </row>
    <row r="296" spans="1:11" ht="30">
      <c r="A296" s="20">
        <v>88316</v>
      </c>
      <c r="B296" s="70" t="s">
        <v>377</v>
      </c>
      <c r="C296" s="21" t="s">
        <v>12</v>
      </c>
      <c r="D296" s="21" t="s">
        <v>19</v>
      </c>
      <c r="E296" s="22">
        <v>1</v>
      </c>
      <c r="F296" s="22">
        <f t="shared" si="30"/>
        <v>11.798000000000002</v>
      </c>
      <c r="G296" s="22">
        <f t="shared" si="31"/>
        <v>11.8</v>
      </c>
      <c r="H296" s="337">
        <v>11.798000000000002</v>
      </c>
      <c r="I296" s="23" t="e">
        <f>IF(A296&lt;&gt;0,VLOOKUP(A296,#REF!,2,FALSE),"")</f>
        <v>#REF!</v>
      </c>
      <c r="K296" s="222"/>
    </row>
    <row r="297" spans="1:11">
      <c r="A297" s="20">
        <v>88325</v>
      </c>
      <c r="B297" s="70" t="e">
        <f>I297</f>
        <v>#REF!</v>
      </c>
      <c r="C297" s="21" t="s">
        <v>12</v>
      </c>
      <c r="D297" s="21" t="s">
        <v>19</v>
      </c>
      <c r="E297" s="22">
        <v>1</v>
      </c>
      <c r="F297" s="22">
        <f t="shared" si="30"/>
        <v>12.699</v>
      </c>
      <c r="G297" s="22">
        <f t="shared" si="31"/>
        <v>12.7</v>
      </c>
      <c r="H297" s="337">
        <v>12.699</v>
      </c>
      <c r="I297" s="23" t="e">
        <f>IF(A297&lt;&gt;0,VLOOKUP(A297,#REF!,2,FALSE),"")</f>
        <v>#REF!</v>
      </c>
      <c r="K297" s="222"/>
    </row>
    <row r="298" spans="1:11">
      <c r="A298" s="20">
        <v>10498</v>
      </c>
      <c r="B298" s="70" t="e">
        <f>I298</f>
        <v>#REF!</v>
      </c>
      <c r="C298" s="21" t="s">
        <v>12</v>
      </c>
      <c r="D298" s="21" t="s">
        <v>45</v>
      </c>
      <c r="E298" s="22">
        <v>1.5</v>
      </c>
      <c r="F298" s="22">
        <f t="shared" si="30"/>
        <v>8.6445000000000007</v>
      </c>
      <c r="G298" s="22">
        <f t="shared" si="31"/>
        <v>12.97</v>
      </c>
      <c r="H298" s="337">
        <v>8.6445000000000007</v>
      </c>
      <c r="I298" s="23" t="e">
        <f>IF(A298&lt;&gt;0,VLOOKUP(A298,#REF!,2,FALSE),"")</f>
        <v>#REF!</v>
      </c>
      <c r="K298" s="222"/>
    </row>
    <row r="299" spans="1:11" ht="17.25" customHeight="1">
      <c r="A299" s="719" t="s">
        <v>1893</v>
      </c>
      <c r="B299" s="719"/>
      <c r="C299" s="719"/>
      <c r="D299" s="719"/>
      <c r="E299" s="719"/>
      <c r="F299" s="719"/>
      <c r="G299" s="71">
        <f>ROUND(SUM(G292:G298),2)</f>
        <v>345.79</v>
      </c>
      <c r="K299" s="222"/>
    </row>
    <row r="300" spans="1:11" ht="33" customHeight="1">
      <c r="A300" s="72"/>
      <c r="B300" s="72"/>
      <c r="C300" s="327"/>
      <c r="D300" s="328"/>
      <c r="E300" s="72"/>
      <c r="F300" s="72"/>
      <c r="G300" s="72"/>
      <c r="K300" s="222"/>
    </row>
    <row r="301" spans="1:11" ht="38.25" customHeight="1">
      <c r="A301" s="612" t="s">
        <v>2637</v>
      </c>
      <c r="B301" s="613"/>
      <c r="C301" s="613"/>
      <c r="D301" s="613"/>
      <c r="E301" s="718"/>
      <c r="F301" s="67" t="s">
        <v>1914</v>
      </c>
      <c r="G301" s="230"/>
      <c r="K301" s="222"/>
    </row>
    <row r="302" spans="1:11" ht="28.5">
      <c r="A302" s="69" t="s">
        <v>1916</v>
      </c>
      <c r="B302" s="230"/>
      <c r="C302" s="69" t="s">
        <v>3</v>
      </c>
      <c r="D302" s="69" t="s">
        <v>4</v>
      </c>
      <c r="E302" s="69" t="s">
        <v>1826</v>
      </c>
      <c r="F302" s="69" t="s">
        <v>367</v>
      </c>
      <c r="G302" s="69" t="s">
        <v>368</v>
      </c>
      <c r="K302" s="222"/>
    </row>
    <row r="303" spans="1:11" ht="45">
      <c r="A303" s="20">
        <v>599</v>
      </c>
      <c r="B303" s="70" t="s">
        <v>439</v>
      </c>
      <c r="C303" s="21" t="s">
        <v>12</v>
      </c>
      <c r="D303" s="21" t="s">
        <v>26</v>
      </c>
      <c r="E303" s="22">
        <v>0.5</v>
      </c>
      <c r="F303" s="22">
        <f>H303</f>
        <v>383.16300000000001</v>
      </c>
      <c r="G303" s="22">
        <f>ROUND(F303*E303,2)</f>
        <v>191.58</v>
      </c>
      <c r="H303" s="337">
        <v>383.16300000000001</v>
      </c>
      <c r="I303" s="23" t="e">
        <f>IF(A303&lt;&gt;0,VLOOKUP(A303,#REF!,2,FALSE),"")</f>
        <v>#REF!</v>
      </c>
      <c r="K303" s="222"/>
    </row>
    <row r="304" spans="1:11" s="38" customFormat="1" ht="30">
      <c r="A304" s="20">
        <v>2583</v>
      </c>
      <c r="B304" s="70" t="s">
        <v>440</v>
      </c>
      <c r="C304" s="21" t="s">
        <v>44</v>
      </c>
      <c r="D304" s="21" t="s">
        <v>26</v>
      </c>
      <c r="E304" s="22">
        <v>1</v>
      </c>
      <c r="F304" s="22">
        <f t="shared" ref="F304:F311" si="32">H304</f>
        <v>31.058999999999997</v>
      </c>
      <c r="G304" s="22">
        <f t="shared" ref="G304:G311" si="33">ROUND(F304*E304,2)</f>
        <v>31.06</v>
      </c>
      <c r="H304" s="336">
        <v>31.058999999999997</v>
      </c>
      <c r="I304" s="38" t="e">
        <f>IF(A304&lt;&gt;0,VLOOKUP(A304,#REF!,2,FALSE),"")</f>
        <v>#REF!</v>
      </c>
      <c r="J304" s="336"/>
      <c r="K304" s="222"/>
    </row>
    <row r="305" spans="1:11" ht="30">
      <c r="A305" s="20">
        <v>88309</v>
      </c>
      <c r="B305" s="70" t="s">
        <v>390</v>
      </c>
      <c r="C305" s="21" t="s">
        <v>12</v>
      </c>
      <c r="D305" s="21" t="s">
        <v>19</v>
      </c>
      <c r="E305" s="22">
        <v>0.3</v>
      </c>
      <c r="F305" s="22">
        <f t="shared" si="32"/>
        <v>15.121499999999999</v>
      </c>
      <c r="G305" s="22">
        <f t="shared" si="33"/>
        <v>4.54</v>
      </c>
      <c r="H305" s="337">
        <v>15.121499999999999</v>
      </c>
      <c r="I305" s="23" t="e">
        <f>IF(A305&lt;&gt;0,VLOOKUP(A305,#REF!,2,FALSE),"")</f>
        <v>#REF!</v>
      </c>
      <c r="K305" s="222"/>
    </row>
    <row r="306" spans="1:11" ht="30">
      <c r="A306" s="20">
        <v>88315</v>
      </c>
      <c r="B306" s="70" t="s">
        <v>420</v>
      </c>
      <c r="C306" s="21" t="s">
        <v>12</v>
      </c>
      <c r="D306" s="21" t="s">
        <v>19</v>
      </c>
      <c r="E306" s="22">
        <v>0.8</v>
      </c>
      <c r="F306" s="22">
        <f t="shared" si="32"/>
        <v>15.045</v>
      </c>
      <c r="G306" s="22">
        <f t="shared" si="33"/>
        <v>12.04</v>
      </c>
      <c r="H306" s="337">
        <v>15.045</v>
      </c>
      <c r="I306" s="23" t="e">
        <f>IF(A306&lt;&gt;0,VLOOKUP(A306,#REF!,2,FALSE),"")</f>
        <v>#REF!</v>
      </c>
      <c r="K306" s="222"/>
    </row>
    <row r="307" spans="1:11" ht="30">
      <c r="A307" s="20">
        <v>88316</v>
      </c>
      <c r="B307" s="70" t="s">
        <v>377</v>
      </c>
      <c r="C307" s="21" t="s">
        <v>12</v>
      </c>
      <c r="D307" s="21" t="s">
        <v>19</v>
      </c>
      <c r="E307" s="22">
        <v>1.2</v>
      </c>
      <c r="F307" s="22">
        <f t="shared" si="32"/>
        <v>11.798000000000002</v>
      </c>
      <c r="G307" s="22">
        <f t="shared" si="33"/>
        <v>14.16</v>
      </c>
      <c r="H307" s="337">
        <v>11.798000000000002</v>
      </c>
      <c r="I307" s="23" t="e">
        <f>IF(A307&lt;&gt;0,VLOOKUP(A307,#REF!,2,FALSE),"")</f>
        <v>#REF!</v>
      </c>
      <c r="K307" s="222"/>
    </row>
    <row r="308" spans="1:11">
      <c r="A308" s="20">
        <v>88325</v>
      </c>
      <c r="B308" s="70" t="e">
        <f>I308</f>
        <v>#REF!</v>
      </c>
      <c r="C308" s="21" t="s">
        <v>12</v>
      </c>
      <c r="D308" s="21" t="s">
        <v>19</v>
      </c>
      <c r="E308" s="22">
        <v>1</v>
      </c>
      <c r="F308" s="22">
        <f t="shared" si="32"/>
        <v>12.699</v>
      </c>
      <c r="G308" s="22">
        <f t="shared" si="33"/>
        <v>12.7</v>
      </c>
      <c r="H308" s="337">
        <v>12.699</v>
      </c>
      <c r="I308" s="23" t="e">
        <f>IF(A308&lt;&gt;0,VLOOKUP(A308,#REF!,2,FALSE),"")</f>
        <v>#REF!</v>
      </c>
      <c r="K308" s="222"/>
    </row>
    <row r="309" spans="1:11" ht="45">
      <c r="A309" s="20">
        <v>88627</v>
      </c>
      <c r="B309" s="70" t="s">
        <v>1793</v>
      </c>
      <c r="C309" s="21" t="s">
        <v>12</v>
      </c>
      <c r="D309" s="21" t="s">
        <v>35</v>
      </c>
      <c r="E309" s="22">
        <v>6.0000000000000001E-3</v>
      </c>
      <c r="F309" s="22">
        <f t="shared" si="32"/>
        <v>414.29849999999999</v>
      </c>
      <c r="G309" s="22">
        <f t="shared" si="33"/>
        <v>2.4900000000000002</v>
      </c>
      <c r="H309" s="337">
        <v>414.29849999999999</v>
      </c>
      <c r="I309" s="23" t="e">
        <f>IF(A309&lt;&gt;0,VLOOKUP(A309,#REF!,2,FALSE),"")</f>
        <v>#REF!</v>
      </c>
      <c r="K309" s="222"/>
    </row>
    <row r="310" spans="1:11" ht="60">
      <c r="A310" s="20">
        <v>94569</v>
      </c>
      <c r="B310" s="70" t="s">
        <v>1794</v>
      </c>
      <c r="C310" s="21" t="s">
        <v>12</v>
      </c>
      <c r="D310" s="21" t="s">
        <v>26</v>
      </c>
      <c r="E310" s="22">
        <v>0.5</v>
      </c>
      <c r="F310" s="22">
        <f t="shared" si="32"/>
        <v>600.58450000000005</v>
      </c>
      <c r="G310" s="22">
        <f t="shared" si="33"/>
        <v>300.29000000000002</v>
      </c>
      <c r="H310" s="337">
        <v>600.58450000000005</v>
      </c>
      <c r="I310" s="23" t="e">
        <f>IF(A310&lt;&gt;0,VLOOKUP(A310,#REF!,2,FALSE),"")</f>
        <v>#REF!</v>
      </c>
      <c r="K310" s="222"/>
    </row>
    <row r="311" spans="1:11">
      <c r="A311" s="20">
        <v>10498</v>
      </c>
      <c r="B311" s="70" t="e">
        <f>I311</f>
        <v>#REF!</v>
      </c>
      <c r="C311" s="21" t="s">
        <v>12</v>
      </c>
      <c r="D311" s="21" t="s">
        <v>45</v>
      </c>
      <c r="E311" s="22">
        <v>1.5</v>
      </c>
      <c r="F311" s="22">
        <f t="shared" si="32"/>
        <v>8.6445000000000007</v>
      </c>
      <c r="G311" s="22">
        <f t="shared" si="33"/>
        <v>12.97</v>
      </c>
      <c r="H311" s="337">
        <v>8.6445000000000007</v>
      </c>
      <c r="I311" s="23" t="e">
        <f>IF(A311&lt;&gt;0,VLOOKUP(A311,#REF!,2,FALSE),"")</f>
        <v>#REF!</v>
      </c>
      <c r="K311" s="222"/>
    </row>
    <row r="312" spans="1:11">
      <c r="A312" s="20">
        <v>10506</v>
      </c>
      <c r="B312" s="70" t="e">
        <f>I312</f>
        <v>#REF!</v>
      </c>
      <c r="C312" s="21" t="s">
        <v>12</v>
      </c>
      <c r="D312" s="21" t="s">
        <v>26</v>
      </c>
      <c r="E312" s="22">
        <v>0.5</v>
      </c>
      <c r="F312" s="22">
        <f>H312</f>
        <v>254.24350000000001</v>
      </c>
      <c r="G312" s="22">
        <f>ROUND(F312*E312,2)</f>
        <v>127.12</v>
      </c>
      <c r="H312" s="337">
        <v>254.24350000000001</v>
      </c>
      <c r="I312" s="23" t="e">
        <f>IF(A312&lt;&gt;0,VLOOKUP(A312,#REF!,2,FALSE),"")</f>
        <v>#REF!</v>
      </c>
      <c r="K312" s="222"/>
    </row>
    <row r="313" spans="1:11" ht="15" customHeight="1">
      <c r="A313" s="719" t="s">
        <v>1893</v>
      </c>
      <c r="B313" s="719"/>
      <c r="C313" s="719"/>
      <c r="D313" s="719"/>
      <c r="E313" s="719"/>
      <c r="F313" s="719"/>
      <c r="G313" s="71">
        <f>ROUND(SUM(G303:G312),2)</f>
        <v>708.95</v>
      </c>
      <c r="K313" s="222"/>
    </row>
    <row r="314" spans="1:11" ht="23.25" customHeight="1">
      <c r="A314" s="72"/>
      <c r="B314" s="72"/>
      <c r="C314" s="327"/>
      <c r="D314" s="328"/>
      <c r="E314" s="72"/>
      <c r="F314" s="72"/>
      <c r="G314" s="72"/>
      <c r="K314" s="222"/>
    </row>
    <row r="315" spans="1:11" ht="38.25" customHeight="1">
      <c r="A315" s="612" t="s">
        <v>2065</v>
      </c>
      <c r="B315" s="613"/>
      <c r="C315" s="613"/>
      <c r="D315" s="613"/>
      <c r="E315" s="718"/>
      <c r="F315" s="67" t="s">
        <v>1914</v>
      </c>
      <c r="G315" s="230"/>
      <c r="K315" s="222"/>
    </row>
    <row r="316" spans="1:11" ht="28.5">
      <c r="A316" s="69" t="s">
        <v>1916</v>
      </c>
      <c r="B316" s="230"/>
      <c r="C316" s="69" t="s">
        <v>3</v>
      </c>
      <c r="D316" s="69" t="s">
        <v>4</v>
      </c>
      <c r="E316" s="69" t="s">
        <v>1826</v>
      </c>
      <c r="F316" s="69" t="s">
        <v>367</v>
      </c>
      <c r="G316" s="69" t="s">
        <v>368</v>
      </c>
      <c r="K316" s="222"/>
    </row>
    <row r="317" spans="1:11" ht="45">
      <c r="A317" s="20">
        <v>599</v>
      </c>
      <c r="B317" s="70" t="s">
        <v>439</v>
      </c>
      <c r="C317" s="21" t="s">
        <v>12</v>
      </c>
      <c r="D317" s="21" t="s">
        <v>26</v>
      </c>
      <c r="E317" s="22">
        <v>1</v>
      </c>
      <c r="F317" s="22">
        <f t="shared" ref="F317:F322" si="34">H317</f>
        <v>383.16300000000001</v>
      </c>
      <c r="G317" s="22">
        <f t="shared" ref="G317:G322" si="35">ROUND(F317*E317,2)</f>
        <v>383.16</v>
      </c>
      <c r="H317" s="337">
        <v>383.16300000000001</v>
      </c>
      <c r="I317" s="23" t="e">
        <f>IF(A317&lt;&gt;0,VLOOKUP(A317,#REF!,2,FALSE),"")</f>
        <v>#REF!</v>
      </c>
      <c r="K317" s="222"/>
    </row>
    <row r="318" spans="1:11" ht="30">
      <c r="A318" s="20">
        <v>88309</v>
      </c>
      <c r="B318" s="70" t="s">
        <v>390</v>
      </c>
      <c r="C318" s="21" t="s">
        <v>12</v>
      </c>
      <c r="D318" s="21" t="s">
        <v>19</v>
      </c>
      <c r="E318" s="22">
        <v>0.3</v>
      </c>
      <c r="F318" s="22">
        <f t="shared" si="34"/>
        <v>15.121499999999999</v>
      </c>
      <c r="G318" s="22">
        <f t="shared" si="35"/>
        <v>4.54</v>
      </c>
      <c r="H318" s="337">
        <v>15.121499999999999</v>
      </c>
      <c r="I318" s="23" t="e">
        <f>IF(A318&lt;&gt;0,VLOOKUP(A318,#REF!,2,FALSE),"")</f>
        <v>#REF!</v>
      </c>
      <c r="K318" s="222"/>
    </row>
    <row r="319" spans="1:11" ht="30">
      <c r="A319" s="20">
        <v>88315</v>
      </c>
      <c r="B319" s="70" t="s">
        <v>420</v>
      </c>
      <c r="C319" s="21" t="s">
        <v>12</v>
      </c>
      <c r="D319" s="21" t="s">
        <v>19</v>
      </c>
      <c r="E319" s="22">
        <v>0.8</v>
      </c>
      <c r="F319" s="22">
        <f t="shared" si="34"/>
        <v>15.045</v>
      </c>
      <c r="G319" s="22">
        <f t="shared" si="35"/>
        <v>12.04</v>
      </c>
      <c r="H319" s="337">
        <v>15.045</v>
      </c>
      <c r="I319" s="23" t="e">
        <f>IF(A319&lt;&gt;0,VLOOKUP(A319,#REF!,2,FALSE),"")</f>
        <v>#REF!</v>
      </c>
      <c r="K319" s="222"/>
    </row>
    <row r="320" spans="1:11" ht="30">
      <c r="A320" s="20">
        <v>88316</v>
      </c>
      <c r="B320" s="70" t="s">
        <v>377</v>
      </c>
      <c r="C320" s="21" t="s">
        <v>12</v>
      </c>
      <c r="D320" s="21" t="s">
        <v>19</v>
      </c>
      <c r="E320" s="22">
        <v>1.2</v>
      </c>
      <c r="F320" s="22">
        <f t="shared" si="34"/>
        <v>11.798000000000002</v>
      </c>
      <c r="G320" s="22">
        <f t="shared" si="35"/>
        <v>14.16</v>
      </c>
      <c r="H320" s="337">
        <v>11.798000000000002</v>
      </c>
      <c r="I320" s="23" t="e">
        <f>IF(A320&lt;&gt;0,VLOOKUP(A320,#REF!,2,FALSE),"")</f>
        <v>#REF!</v>
      </c>
      <c r="K320" s="222"/>
    </row>
    <row r="321" spans="1:11">
      <c r="A321" s="20">
        <v>88325</v>
      </c>
      <c r="B321" s="70" t="e">
        <f>I321</f>
        <v>#REF!</v>
      </c>
      <c r="C321" s="21" t="s">
        <v>12</v>
      </c>
      <c r="D321" s="21" t="s">
        <v>19</v>
      </c>
      <c r="E321" s="22">
        <v>1</v>
      </c>
      <c r="F321" s="22">
        <f t="shared" si="34"/>
        <v>12.699</v>
      </c>
      <c r="G321" s="22">
        <f t="shared" si="35"/>
        <v>12.7</v>
      </c>
      <c r="H321" s="337">
        <v>12.699</v>
      </c>
      <c r="I321" s="23" t="e">
        <f>IF(A321&lt;&gt;0,VLOOKUP(A321,#REF!,2,FALSE),"")</f>
        <v>#REF!</v>
      </c>
      <c r="K321" s="222"/>
    </row>
    <row r="322" spans="1:11" ht="45">
      <c r="A322" s="20">
        <v>88627</v>
      </c>
      <c r="B322" s="70" t="s">
        <v>1793</v>
      </c>
      <c r="C322" s="21" t="s">
        <v>12</v>
      </c>
      <c r="D322" s="21" t="s">
        <v>35</v>
      </c>
      <c r="E322" s="22">
        <v>6.0000000000000001E-3</v>
      </c>
      <c r="F322" s="22">
        <f t="shared" si="34"/>
        <v>414.29849999999999</v>
      </c>
      <c r="G322" s="22">
        <f t="shared" si="35"/>
        <v>2.4900000000000002</v>
      </c>
      <c r="H322" s="337">
        <v>414.29849999999999</v>
      </c>
      <c r="I322" s="23" t="e">
        <f>IF(A322&lt;&gt;0,VLOOKUP(A322,#REF!,2,FALSE),"")</f>
        <v>#REF!</v>
      </c>
      <c r="K322" s="222"/>
    </row>
    <row r="323" spans="1:11" s="23" customFormat="1">
      <c r="A323" s="20">
        <v>100716</v>
      </c>
      <c r="B323" s="70" t="s">
        <v>441</v>
      </c>
      <c r="C323" s="21" t="s">
        <v>12</v>
      </c>
      <c r="D323" s="21" t="s">
        <v>26</v>
      </c>
      <c r="E323" s="22">
        <v>1</v>
      </c>
      <c r="F323" s="22">
        <f>H323</f>
        <v>20.587</v>
      </c>
      <c r="G323" s="22">
        <f>ROUND(F323*E323,2)</f>
        <v>20.59</v>
      </c>
      <c r="H323" s="346">
        <v>20.587</v>
      </c>
      <c r="I323" s="23" t="e">
        <f>IF(A323&lt;&gt;0,VLOOKUP(A323,#REF!,2,FALSE),"")</f>
        <v>#REF!</v>
      </c>
      <c r="J323" s="346"/>
      <c r="K323" s="222"/>
    </row>
    <row r="324" spans="1:11">
      <c r="A324" s="20">
        <v>10498</v>
      </c>
      <c r="B324" s="70" t="e">
        <f>I324</f>
        <v>#REF!</v>
      </c>
      <c r="C324" s="21" t="s">
        <v>12</v>
      </c>
      <c r="D324" s="21" t="s">
        <v>45</v>
      </c>
      <c r="E324" s="22">
        <v>1.5</v>
      </c>
      <c r="F324" s="22">
        <f>H324</f>
        <v>8.6445000000000007</v>
      </c>
      <c r="G324" s="22">
        <f>ROUND(F324*E324,2)</f>
        <v>12.97</v>
      </c>
      <c r="H324" s="337">
        <v>8.6445000000000007</v>
      </c>
      <c r="I324" s="23" t="e">
        <f>IF(A324&lt;&gt;0,VLOOKUP(A324,#REF!,2,FALSE),"")</f>
        <v>#REF!</v>
      </c>
      <c r="K324" s="222"/>
    </row>
    <row r="325" spans="1:11" ht="15" customHeight="1">
      <c r="A325" s="719" t="s">
        <v>1893</v>
      </c>
      <c r="B325" s="719"/>
      <c r="C325" s="719"/>
      <c r="D325" s="719"/>
      <c r="E325" s="719"/>
      <c r="F325" s="719"/>
      <c r="G325" s="71">
        <f>ROUND(SUM(G317:G324),2)</f>
        <v>462.65</v>
      </c>
      <c r="K325" s="222"/>
    </row>
    <row r="326" spans="1:11" ht="24" customHeight="1">
      <c r="A326" s="72"/>
      <c r="B326" s="72"/>
      <c r="C326" s="327"/>
      <c r="D326" s="328"/>
      <c r="E326" s="72"/>
      <c r="F326" s="72"/>
      <c r="G326" s="72"/>
      <c r="K326" s="222"/>
    </row>
    <row r="327" spans="1:11" ht="44.25" customHeight="1">
      <c r="A327" s="612" t="s">
        <v>2684</v>
      </c>
      <c r="B327" s="613"/>
      <c r="C327" s="613"/>
      <c r="D327" s="613"/>
      <c r="E327" s="718"/>
      <c r="F327" s="67" t="s">
        <v>1914</v>
      </c>
      <c r="G327" s="230"/>
      <c r="K327" s="222"/>
    </row>
    <row r="328" spans="1:11" ht="28.5">
      <c r="A328" s="69" t="s">
        <v>1916</v>
      </c>
      <c r="B328" s="230"/>
      <c r="C328" s="69" t="s">
        <v>3</v>
      </c>
      <c r="D328" s="69" t="s">
        <v>4</v>
      </c>
      <c r="E328" s="69" t="s">
        <v>1826</v>
      </c>
      <c r="F328" s="69" t="s">
        <v>367</v>
      </c>
      <c r="G328" s="69" t="s">
        <v>368</v>
      </c>
      <c r="K328" s="222"/>
    </row>
    <row r="329" spans="1:11" ht="60">
      <c r="A329" s="76">
        <v>4377</v>
      </c>
      <c r="B329" s="77" t="s">
        <v>442</v>
      </c>
      <c r="C329" s="78" t="s">
        <v>12</v>
      </c>
      <c r="D329" s="78" t="s">
        <v>17</v>
      </c>
      <c r="E329" s="73">
        <v>9.1999999999999993</v>
      </c>
      <c r="F329" s="22">
        <f t="shared" ref="F329:F336" si="36">H329</f>
        <v>8.5000000000000006E-2</v>
      </c>
      <c r="G329" s="22">
        <f t="shared" ref="G329:G336" si="37">ROUND(F329*E329,2)</f>
        <v>0.78</v>
      </c>
      <c r="H329" s="337">
        <v>8.5000000000000006E-2</v>
      </c>
      <c r="I329" s="23" t="e">
        <f>IF(A329&lt;&gt;0,VLOOKUP(A329,#REF!,2,FALSE),"")</f>
        <v>#REF!</v>
      </c>
      <c r="K329" s="222"/>
    </row>
    <row r="330" spans="1:11" ht="30">
      <c r="A330" s="76">
        <v>39961</v>
      </c>
      <c r="B330" s="77" t="s">
        <v>405</v>
      </c>
      <c r="C330" s="78" t="s">
        <v>12</v>
      </c>
      <c r="D330" s="78" t="s">
        <v>17</v>
      </c>
      <c r="E330" s="73">
        <v>0.62329999999999997</v>
      </c>
      <c r="F330" s="22">
        <f t="shared" si="36"/>
        <v>18.581</v>
      </c>
      <c r="G330" s="22">
        <f t="shared" si="37"/>
        <v>11.58</v>
      </c>
      <c r="H330" s="337">
        <v>18.581</v>
      </c>
      <c r="I330" s="23" t="e">
        <f>IF(A330&lt;&gt;0,VLOOKUP(A330,#REF!,2,FALSE),"")</f>
        <v>#REF!</v>
      </c>
      <c r="K330" s="222"/>
    </row>
    <row r="331" spans="1:11" ht="45">
      <c r="A331" s="162">
        <v>599</v>
      </c>
      <c r="B331" s="163" t="s">
        <v>439</v>
      </c>
      <c r="C331" s="78" t="s">
        <v>12</v>
      </c>
      <c r="D331" s="78" t="s">
        <v>26</v>
      </c>
      <c r="E331" s="73">
        <v>1</v>
      </c>
      <c r="F331" s="22">
        <f t="shared" si="36"/>
        <v>383.16300000000001</v>
      </c>
      <c r="G331" s="22">
        <f t="shared" si="37"/>
        <v>383.16</v>
      </c>
      <c r="H331" s="337">
        <v>383.16300000000001</v>
      </c>
      <c r="I331" s="23" t="e">
        <f>IF(A331&lt;&gt;0,VLOOKUP(A331,#REF!,2,FALSE),"")</f>
        <v>#REF!</v>
      </c>
      <c r="K331" s="222"/>
    </row>
    <row r="332" spans="1:11" ht="30">
      <c r="A332" s="76">
        <v>88309</v>
      </c>
      <c r="B332" s="77" t="s">
        <v>390</v>
      </c>
      <c r="C332" s="78" t="s">
        <v>12</v>
      </c>
      <c r="D332" s="78" t="s">
        <v>19</v>
      </c>
      <c r="E332" s="73">
        <v>0.51900000000000002</v>
      </c>
      <c r="F332" s="22">
        <f t="shared" si="36"/>
        <v>15.121499999999999</v>
      </c>
      <c r="G332" s="22">
        <f t="shared" si="37"/>
        <v>7.85</v>
      </c>
      <c r="H332" s="337">
        <v>15.121499999999999</v>
      </c>
      <c r="I332" s="23" t="e">
        <f>IF(A332&lt;&gt;0,VLOOKUP(A332,#REF!,2,FALSE),"")</f>
        <v>#REF!</v>
      </c>
      <c r="K332" s="222"/>
    </row>
    <row r="333" spans="1:11" ht="30">
      <c r="A333" s="76">
        <v>88316</v>
      </c>
      <c r="B333" s="77" t="s">
        <v>377</v>
      </c>
      <c r="C333" s="78" t="s">
        <v>12</v>
      </c>
      <c r="D333" s="78" t="s">
        <v>19</v>
      </c>
      <c r="E333" s="73">
        <v>0.25900000000000001</v>
      </c>
      <c r="F333" s="22">
        <f t="shared" si="36"/>
        <v>11.798000000000002</v>
      </c>
      <c r="G333" s="22">
        <f t="shared" si="37"/>
        <v>3.06</v>
      </c>
      <c r="H333" s="337">
        <v>11.798000000000002</v>
      </c>
      <c r="I333" s="23" t="e">
        <f>IF(A333&lt;&gt;0,VLOOKUP(A333,#REF!,2,FALSE),"")</f>
        <v>#REF!</v>
      </c>
      <c r="K333" s="222"/>
    </row>
    <row r="334" spans="1:11">
      <c r="A334" s="20">
        <v>88325</v>
      </c>
      <c r="B334" s="70" t="e">
        <f>I334</f>
        <v>#REF!</v>
      </c>
      <c r="C334" s="21" t="s">
        <v>12</v>
      </c>
      <c r="D334" s="21" t="s">
        <v>19</v>
      </c>
      <c r="E334" s="22">
        <v>1</v>
      </c>
      <c r="F334" s="22">
        <f t="shared" si="36"/>
        <v>12.699</v>
      </c>
      <c r="G334" s="22">
        <f t="shared" si="37"/>
        <v>12.7</v>
      </c>
      <c r="H334" s="337">
        <v>12.699</v>
      </c>
      <c r="I334" s="23" t="e">
        <f>IF(A334&lt;&gt;0,VLOOKUP(A334,#REF!,2,FALSE),"")</f>
        <v>#REF!</v>
      </c>
      <c r="K334" s="222"/>
    </row>
    <row r="335" spans="1:11">
      <c r="A335" s="20">
        <v>10505</v>
      </c>
      <c r="B335" s="77" t="e">
        <f>I335</f>
        <v>#REF!</v>
      </c>
      <c r="C335" s="78" t="s">
        <v>12</v>
      </c>
      <c r="D335" s="78" t="s">
        <v>26</v>
      </c>
      <c r="E335" s="73">
        <v>1</v>
      </c>
      <c r="F335" s="22">
        <f t="shared" si="36"/>
        <v>194.76050000000001</v>
      </c>
      <c r="G335" s="22">
        <f t="shared" si="37"/>
        <v>194.76</v>
      </c>
      <c r="H335" s="337">
        <v>194.76050000000001</v>
      </c>
      <c r="I335" s="23" t="e">
        <f>IF(A335&lt;&gt;0,VLOOKUP(A335,#REF!,2,FALSE),"")</f>
        <v>#REF!</v>
      </c>
      <c r="K335" s="222"/>
    </row>
    <row r="336" spans="1:11">
      <c r="A336" s="20">
        <v>10498</v>
      </c>
      <c r="B336" s="70" t="e">
        <f>I336</f>
        <v>#REF!</v>
      </c>
      <c r="C336" s="21" t="s">
        <v>12</v>
      </c>
      <c r="D336" s="21" t="s">
        <v>45</v>
      </c>
      <c r="E336" s="22">
        <v>1.5</v>
      </c>
      <c r="F336" s="22">
        <f t="shared" si="36"/>
        <v>8.6445000000000007</v>
      </c>
      <c r="G336" s="22">
        <f t="shared" si="37"/>
        <v>12.97</v>
      </c>
      <c r="H336" s="337">
        <v>8.6445000000000007</v>
      </c>
      <c r="I336" s="23" t="e">
        <f>IF(A336&lt;&gt;0,VLOOKUP(A336,#REF!,2,FALSE),"")</f>
        <v>#REF!</v>
      </c>
      <c r="K336" s="222"/>
    </row>
    <row r="337" spans="1:11" ht="15" customHeight="1">
      <c r="A337" s="620" t="s">
        <v>1893</v>
      </c>
      <c r="B337" s="621"/>
      <c r="C337" s="621"/>
      <c r="D337" s="621"/>
      <c r="E337" s="621"/>
      <c r="F337" s="622"/>
      <c r="G337" s="71">
        <f>ROUND(SUM(G329:G336),2)</f>
        <v>626.86</v>
      </c>
      <c r="I337" s="23"/>
      <c r="K337" s="222"/>
    </row>
    <row r="338" spans="1:11" ht="35.25" customHeight="1">
      <c r="A338" s="72"/>
      <c r="B338" s="72"/>
      <c r="C338" s="327"/>
      <c r="D338" s="328"/>
      <c r="E338" s="72"/>
      <c r="F338" s="72"/>
      <c r="G338" s="72"/>
      <c r="K338" s="222"/>
    </row>
    <row r="339" spans="1:11" ht="48" customHeight="1">
      <c r="A339" s="612" t="s">
        <v>2068</v>
      </c>
      <c r="B339" s="613"/>
      <c r="C339" s="613"/>
      <c r="D339" s="613"/>
      <c r="E339" s="718"/>
      <c r="F339" s="67" t="s">
        <v>1914</v>
      </c>
      <c r="G339" s="230"/>
      <c r="K339" s="222"/>
    </row>
    <row r="340" spans="1:11" ht="28.5">
      <c r="A340" s="69" t="s">
        <v>1916</v>
      </c>
      <c r="B340" s="230"/>
      <c r="C340" s="69" t="s">
        <v>3</v>
      </c>
      <c r="D340" s="69" t="s">
        <v>4</v>
      </c>
      <c r="E340" s="69" t="s">
        <v>1826</v>
      </c>
      <c r="F340" s="69" t="s">
        <v>367</v>
      </c>
      <c r="G340" s="69" t="s">
        <v>368</v>
      </c>
      <c r="K340" s="222"/>
    </row>
    <row r="341" spans="1:11" ht="60">
      <c r="A341" s="76">
        <v>4377</v>
      </c>
      <c r="B341" s="77" t="s">
        <v>442</v>
      </c>
      <c r="C341" s="78" t="s">
        <v>12</v>
      </c>
      <c r="D341" s="78" t="s">
        <v>17</v>
      </c>
      <c r="E341" s="73">
        <v>9.1999999999999993</v>
      </c>
      <c r="F341" s="22">
        <f>H341</f>
        <v>8.5000000000000006E-2</v>
      </c>
      <c r="G341" s="22">
        <f>ROUND(F341*E341,2)</f>
        <v>0.78</v>
      </c>
      <c r="H341" s="337">
        <v>8.5000000000000006E-2</v>
      </c>
      <c r="I341" s="23" t="e">
        <f>IF(A341&lt;&gt;0,VLOOKUP(A341,#REF!,2,FALSE),"")</f>
        <v>#REF!</v>
      </c>
      <c r="K341" s="222"/>
    </row>
    <row r="342" spans="1:11" ht="30">
      <c r="A342" s="76">
        <v>39961</v>
      </c>
      <c r="B342" s="77" t="s">
        <v>405</v>
      </c>
      <c r="C342" s="78" t="s">
        <v>12</v>
      </c>
      <c r="D342" s="78" t="s">
        <v>17</v>
      </c>
      <c r="E342" s="73">
        <v>0.62329999999999997</v>
      </c>
      <c r="F342" s="22">
        <f t="shared" ref="F342:F348" si="38">H342</f>
        <v>18.581</v>
      </c>
      <c r="G342" s="22">
        <f t="shared" ref="G342:G348" si="39">ROUND(F342*E342,2)</f>
        <v>11.58</v>
      </c>
      <c r="H342" s="337">
        <v>18.581</v>
      </c>
      <c r="I342" s="23" t="e">
        <f>IF(A342&lt;&gt;0,VLOOKUP(A342,#REF!,2,FALSE),"")</f>
        <v>#REF!</v>
      </c>
      <c r="K342" s="222"/>
    </row>
    <row r="343" spans="1:11" ht="45">
      <c r="A343" s="76">
        <v>599</v>
      </c>
      <c r="B343" s="77" t="s">
        <v>439</v>
      </c>
      <c r="C343" s="78" t="s">
        <v>12</v>
      </c>
      <c r="D343" s="78" t="s">
        <v>26</v>
      </c>
      <c r="E343" s="73">
        <v>1</v>
      </c>
      <c r="F343" s="22">
        <f t="shared" si="38"/>
        <v>383.16300000000001</v>
      </c>
      <c r="G343" s="22">
        <f t="shared" si="39"/>
        <v>383.16</v>
      </c>
      <c r="H343" s="337">
        <v>383.16300000000001</v>
      </c>
      <c r="I343" s="23" t="e">
        <f>IF(A343&lt;&gt;0,VLOOKUP(A343,#REF!,2,FALSE),"")</f>
        <v>#REF!</v>
      </c>
      <c r="K343" s="222"/>
    </row>
    <row r="344" spans="1:11" ht="30">
      <c r="A344" s="76">
        <v>88309</v>
      </c>
      <c r="B344" s="77" t="s">
        <v>390</v>
      </c>
      <c r="C344" s="78" t="s">
        <v>12</v>
      </c>
      <c r="D344" s="78" t="s">
        <v>19</v>
      </c>
      <c r="E344" s="73">
        <v>0.51900000000000002</v>
      </c>
      <c r="F344" s="22">
        <f t="shared" si="38"/>
        <v>15.121499999999999</v>
      </c>
      <c r="G344" s="22">
        <f t="shared" si="39"/>
        <v>7.85</v>
      </c>
      <c r="H344" s="337">
        <v>15.121499999999999</v>
      </c>
      <c r="I344" s="23" t="e">
        <f>IF(A344&lt;&gt;0,VLOOKUP(A344,#REF!,2,FALSE),"")</f>
        <v>#REF!</v>
      </c>
      <c r="K344" s="222"/>
    </row>
    <row r="345" spans="1:11" ht="30">
      <c r="A345" s="76">
        <v>88316</v>
      </c>
      <c r="B345" s="77" t="s">
        <v>377</v>
      </c>
      <c r="C345" s="78" t="s">
        <v>12</v>
      </c>
      <c r="D345" s="78" t="s">
        <v>19</v>
      </c>
      <c r="E345" s="73">
        <v>0.25900000000000001</v>
      </c>
      <c r="F345" s="22">
        <f t="shared" si="38"/>
        <v>11.798000000000002</v>
      </c>
      <c r="G345" s="22">
        <f t="shared" si="39"/>
        <v>3.06</v>
      </c>
      <c r="H345" s="337">
        <v>11.798000000000002</v>
      </c>
      <c r="I345" s="23" t="e">
        <f>IF(A345&lt;&gt;0,VLOOKUP(A345,#REF!,2,FALSE),"")</f>
        <v>#REF!</v>
      </c>
      <c r="K345" s="222"/>
    </row>
    <row r="346" spans="1:11">
      <c r="A346" s="20">
        <v>88325</v>
      </c>
      <c r="B346" s="70" t="e">
        <f>I346</f>
        <v>#REF!</v>
      </c>
      <c r="C346" s="21" t="s">
        <v>12</v>
      </c>
      <c r="D346" s="21" t="s">
        <v>19</v>
      </c>
      <c r="E346" s="22">
        <v>1</v>
      </c>
      <c r="F346" s="22">
        <f t="shared" si="38"/>
        <v>12.699</v>
      </c>
      <c r="G346" s="22">
        <f t="shared" si="39"/>
        <v>12.7</v>
      </c>
      <c r="H346" s="337">
        <v>12.699</v>
      </c>
      <c r="I346" s="23" t="e">
        <f>IF(A346&lt;&gt;0,VLOOKUP(A346,#REF!,2,FALSE),"")</f>
        <v>#REF!</v>
      </c>
      <c r="K346" s="222"/>
    </row>
    <row r="347" spans="1:11">
      <c r="A347" s="20">
        <v>10506</v>
      </c>
      <c r="B347" s="70" t="e">
        <f>I347</f>
        <v>#REF!</v>
      </c>
      <c r="C347" s="21" t="s">
        <v>12</v>
      </c>
      <c r="D347" s="21" t="s">
        <v>26</v>
      </c>
      <c r="E347" s="22">
        <v>1</v>
      </c>
      <c r="F347" s="22">
        <f t="shared" si="38"/>
        <v>254.24350000000001</v>
      </c>
      <c r="G347" s="22">
        <f t="shared" si="39"/>
        <v>254.24</v>
      </c>
      <c r="H347" s="337">
        <v>254.24350000000001</v>
      </c>
      <c r="I347" s="23" t="e">
        <f>IF(A347&lt;&gt;0,VLOOKUP(A347,#REF!,2,FALSE),"")</f>
        <v>#REF!</v>
      </c>
      <c r="K347" s="222"/>
    </row>
    <row r="348" spans="1:11">
      <c r="A348" s="20">
        <v>10498</v>
      </c>
      <c r="B348" s="70" t="e">
        <f>I348</f>
        <v>#REF!</v>
      </c>
      <c r="C348" s="21" t="s">
        <v>12</v>
      </c>
      <c r="D348" s="21" t="s">
        <v>45</v>
      </c>
      <c r="E348" s="22">
        <v>1.5</v>
      </c>
      <c r="F348" s="22">
        <f t="shared" si="38"/>
        <v>8.6445000000000007</v>
      </c>
      <c r="G348" s="22">
        <f t="shared" si="39"/>
        <v>12.97</v>
      </c>
      <c r="H348" s="337">
        <v>8.6445000000000007</v>
      </c>
      <c r="I348" s="23" t="e">
        <f>IF(A348&lt;&gt;0,VLOOKUP(A348,#REF!,2,FALSE),"")</f>
        <v>#REF!</v>
      </c>
      <c r="K348" s="222"/>
    </row>
    <row r="349" spans="1:11" ht="15" customHeight="1">
      <c r="A349" s="719" t="s">
        <v>1893</v>
      </c>
      <c r="B349" s="719"/>
      <c r="C349" s="719"/>
      <c r="D349" s="719"/>
      <c r="E349" s="719"/>
      <c r="F349" s="719"/>
      <c r="G349" s="71">
        <f>ROUND(SUM(G341:G348),2)</f>
        <v>686.34</v>
      </c>
      <c r="K349" s="222"/>
    </row>
    <row r="350" spans="1:11" ht="26.25" customHeight="1">
      <c r="A350" s="72"/>
      <c r="B350" s="72"/>
      <c r="C350" s="327"/>
      <c r="D350" s="328"/>
      <c r="E350" s="72"/>
      <c r="F350" s="72"/>
      <c r="G350" s="72"/>
      <c r="K350" s="222"/>
    </row>
    <row r="351" spans="1:11" s="23" customFormat="1" ht="32.25" customHeight="1">
      <c r="A351" s="612" t="s">
        <v>3414</v>
      </c>
      <c r="B351" s="613"/>
      <c r="C351" s="613"/>
      <c r="D351" s="613"/>
      <c r="E351" s="718"/>
      <c r="F351" s="67" t="s">
        <v>44</v>
      </c>
      <c r="G351" s="74">
        <v>11347</v>
      </c>
      <c r="H351" s="346"/>
      <c r="J351" s="346"/>
      <c r="K351" s="222"/>
    </row>
    <row r="352" spans="1:11" ht="28.5">
      <c r="A352" s="69" t="s">
        <v>1916</v>
      </c>
      <c r="B352" s="230"/>
      <c r="C352" s="69" t="s">
        <v>3</v>
      </c>
      <c r="D352" s="69" t="s">
        <v>4</v>
      </c>
      <c r="E352" s="69" t="s">
        <v>1826</v>
      </c>
      <c r="F352" s="69" t="s">
        <v>367</v>
      </c>
      <c r="G352" s="69" t="s">
        <v>368</v>
      </c>
      <c r="K352" s="222"/>
    </row>
    <row r="353" spans="1:11" ht="30">
      <c r="A353" s="20">
        <v>12207</v>
      </c>
      <c r="B353" s="70" t="s">
        <v>3079</v>
      </c>
      <c r="C353" s="21" t="s">
        <v>44</v>
      </c>
      <c r="D353" s="21" t="s">
        <v>26</v>
      </c>
      <c r="E353" s="22">
        <v>1</v>
      </c>
      <c r="F353" s="22">
        <f>H353</f>
        <v>1062.5</v>
      </c>
      <c r="G353" s="22">
        <f>ROUND(F353*E353,2)</f>
        <v>1062.5</v>
      </c>
      <c r="H353" s="337">
        <v>1062.5</v>
      </c>
      <c r="I353" s="23" t="e">
        <f>IF(A353&lt;&gt;0,VLOOKUP(A353,#REF!,2,FALSE),"")</f>
        <v>#REF!</v>
      </c>
      <c r="K353" s="222"/>
    </row>
    <row r="354" spans="1:11" ht="15" customHeight="1">
      <c r="A354" s="719" t="s">
        <v>1893</v>
      </c>
      <c r="B354" s="719"/>
      <c r="C354" s="719"/>
      <c r="D354" s="719"/>
      <c r="E354" s="719"/>
      <c r="F354" s="719"/>
      <c r="G354" s="71">
        <f>ROUND(SUM(G353:G353),2)</f>
        <v>1062.5</v>
      </c>
      <c r="K354" s="222"/>
    </row>
    <row r="355" spans="1:11">
      <c r="A355" s="72"/>
      <c r="B355" s="72"/>
      <c r="C355" s="327"/>
      <c r="D355" s="328"/>
      <c r="E355" s="72"/>
      <c r="F355" s="72"/>
      <c r="G355" s="72"/>
      <c r="K355" s="222"/>
    </row>
    <row r="356" spans="1:11" ht="55.5" customHeight="1">
      <c r="A356" s="612" t="s">
        <v>2070</v>
      </c>
      <c r="B356" s="613"/>
      <c r="C356" s="613"/>
      <c r="D356" s="613"/>
      <c r="E356" s="614"/>
      <c r="F356" s="67" t="s">
        <v>1914</v>
      </c>
      <c r="G356" s="230"/>
      <c r="K356" s="222"/>
    </row>
    <row r="357" spans="1:11" ht="28.5">
      <c r="A357" s="69" t="s">
        <v>1916</v>
      </c>
      <c r="B357" s="230"/>
      <c r="C357" s="69" t="s">
        <v>3</v>
      </c>
      <c r="D357" s="69" t="s">
        <v>4</v>
      </c>
      <c r="E357" s="69" t="s">
        <v>1826</v>
      </c>
      <c r="F357" s="69" t="s">
        <v>367</v>
      </c>
      <c r="G357" s="69" t="s">
        <v>368</v>
      </c>
      <c r="K357" s="222"/>
    </row>
    <row r="358" spans="1:11" ht="30">
      <c r="A358" s="76">
        <v>43132</v>
      </c>
      <c r="B358" s="77" t="s">
        <v>385</v>
      </c>
      <c r="C358" s="78" t="s">
        <v>12</v>
      </c>
      <c r="D358" s="78" t="s">
        <v>45</v>
      </c>
      <c r="E358" s="73">
        <v>0.02</v>
      </c>
      <c r="F358" s="22">
        <f>H358</f>
        <v>17.8415</v>
      </c>
      <c r="G358" s="22">
        <f>ROUND(F358*E358,2)</f>
        <v>0.36</v>
      </c>
      <c r="H358" s="337">
        <v>17.8415</v>
      </c>
      <c r="I358" s="23" t="e">
        <f>IF(A358&lt;&gt;0,VLOOKUP(A358,#REF!,2,FALSE),"")</f>
        <v>#REF!</v>
      </c>
      <c r="K358" s="222"/>
    </row>
    <row r="359" spans="1:11" ht="45">
      <c r="A359" s="76">
        <v>1346</v>
      </c>
      <c r="B359" s="77" t="s">
        <v>451</v>
      </c>
      <c r="C359" s="78" t="s">
        <v>12</v>
      </c>
      <c r="D359" s="78" t="s">
        <v>26</v>
      </c>
      <c r="E359" s="73">
        <v>0.2</v>
      </c>
      <c r="F359" s="22">
        <f t="shared" ref="F359:F366" si="40">H359</f>
        <v>34.688500000000005</v>
      </c>
      <c r="G359" s="22">
        <f t="shared" ref="G359:G366" si="41">ROUND(F359*E359,2)</f>
        <v>6.94</v>
      </c>
      <c r="H359" s="337">
        <v>34.688500000000005</v>
      </c>
      <c r="I359" s="23" t="e">
        <f>IF(A359&lt;&gt;0,VLOOKUP(A359,#REF!,2,FALSE),"")</f>
        <v>#REF!</v>
      </c>
      <c r="K359" s="222"/>
    </row>
    <row r="360" spans="1:11" ht="30">
      <c r="A360" s="76">
        <v>5075</v>
      </c>
      <c r="B360" s="77" t="s">
        <v>375</v>
      </c>
      <c r="C360" s="78" t="s">
        <v>12</v>
      </c>
      <c r="D360" s="78" t="s">
        <v>45</v>
      </c>
      <c r="E360" s="73">
        <v>0.02</v>
      </c>
      <c r="F360" s="22">
        <f t="shared" si="40"/>
        <v>15.997</v>
      </c>
      <c r="G360" s="22">
        <f t="shared" si="41"/>
        <v>0.32</v>
      </c>
      <c r="H360" s="337">
        <v>15.997</v>
      </c>
      <c r="I360" s="23" t="e">
        <f>IF(A360&lt;&gt;0,VLOOKUP(A360,#REF!,2,FALSE),"")</f>
        <v>#REF!</v>
      </c>
      <c r="K360" s="222"/>
    </row>
    <row r="361" spans="1:11" ht="30">
      <c r="A361" s="76">
        <v>6189</v>
      </c>
      <c r="B361" s="77" t="s">
        <v>387</v>
      </c>
      <c r="C361" s="78" t="s">
        <v>12</v>
      </c>
      <c r="D361" s="78" t="s">
        <v>52</v>
      </c>
      <c r="E361" s="73">
        <v>0.13</v>
      </c>
      <c r="F361" s="22">
        <f t="shared" si="40"/>
        <v>17.527000000000001</v>
      </c>
      <c r="G361" s="22">
        <f t="shared" si="41"/>
        <v>2.2799999999999998</v>
      </c>
      <c r="H361" s="337">
        <v>17.527000000000001</v>
      </c>
      <c r="I361" s="23" t="e">
        <f>IF(A361&lt;&gt;0,VLOOKUP(A361,#REF!,2,FALSE),"")</f>
        <v>#REF!</v>
      </c>
      <c r="K361" s="222"/>
    </row>
    <row r="362" spans="1:11" ht="30">
      <c r="A362" s="76">
        <v>10567</v>
      </c>
      <c r="B362" s="77" t="s">
        <v>452</v>
      </c>
      <c r="C362" s="78" t="s">
        <v>12</v>
      </c>
      <c r="D362" s="78" t="s">
        <v>52</v>
      </c>
      <c r="E362" s="73">
        <v>0.18</v>
      </c>
      <c r="F362" s="22">
        <f t="shared" si="40"/>
        <v>6.1795</v>
      </c>
      <c r="G362" s="22">
        <f t="shared" si="41"/>
        <v>1.1100000000000001</v>
      </c>
      <c r="H362" s="337">
        <v>6.1795</v>
      </c>
      <c r="I362" s="23" t="e">
        <f>IF(A362&lt;&gt;0,VLOOKUP(A362,#REF!,2,FALSE),"")</f>
        <v>#REF!</v>
      </c>
      <c r="K362" s="222"/>
    </row>
    <row r="363" spans="1:11" ht="30">
      <c r="A363" s="76">
        <v>88262</v>
      </c>
      <c r="B363" s="77" t="s">
        <v>376</v>
      </c>
      <c r="C363" s="78" t="s">
        <v>12</v>
      </c>
      <c r="D363" s="78" t="s">
        <v>19</v>
      </c>
      <c r="E363" s="73">
        <v>0.13</v>
      </c>
      <c r="F363" s="22">
        <f t="shared" si="40"/>
        <v>14.96</v>
      </c>
      <c r="G363" s="22">
        <f t="shared" si="41"/>
        <v>1.94</v>
      </c>
      <c r="H363" s="337">
        <v>14.96</v>
      </c>
      <c r="I363" s="23" t="e">
        <f>IF(A363&lt;&gt;0,VLOOKUP(A363,#REF!,2,FALSE),"")</f>
        <v>#REF!</v>
      </c>
      <c r="K363" s="222"/>
    </row>
    <row r="364" spans="1:11" ht="30">
      <c r="A364" s="76">
        <v>88309</v>
      </c>
      <c r="B364" s="77" t="s">
        <v>390</v>
      </c>
      <c r="C364" s="78" t="s">
        <v>12</v>
      </c>
      <c r="D364" s="78" t="s">
        <v>19</v>
      </c>
      <c r="E364" s="73">
        <v>0.3</v>
      </c>
      <c r="F364" s="22">
        <f t="shared" si="40"/>
        <v>15.121499999999999</v>
      </c>
      <c r="G364" s="22">
        <f t="shared" si="41"/>
        <v>4.54</v>
      </c>
      <c r="H364" s="337">
        <v>15.121499999999999</v>
      </c>
      <c r="I364" s="23" t="e">
        <f>IF(A364&lt;&gt;0,VLOOKUP(A364,#REF!,2,FALSE),"")</f>
        <v>#REF!</v>
      </c>
      <c r="K364" s="222"/>
    </row>
    <row r="365" spans="1:11" ht="30">
      <c r="A365" s="76">
        <v>88316</v>
      </c>
      <c r="B365" s="77" t="s">
        <v>377</v>
      </c>
      <c r="C365" s="78" t="s">
        <v>12</v>
      </c>
      <c r="D365" s="78" t="s">
        <v>19</v>
      </c>
      <c r="E365" s="73">
        <v>0.45</v>
      </c>
      <c r="F365" s="22">
        <f t="shared" si="40"/>
        <v>11.798000000000002</v>
      </c>
      <c r="G365" s="22">
        <f t="shared" si="41"/>
        <v>5.31</v>
      </c>
      <c r="H365" s="337">
        <v>11.798000000000002</v>
      </c>
      <c r="I365" s="23" t="e">
        <f>IF(A365&lt;&gt;0,VLOOKUP(A365,#REF!,2,FALSE),"")</f>
        <v>#REF!</v>
      </c>
      <c r="K365" s="222"/>
    </row>
    <row r="366" spans="1:11" ht="45">
      <c r="A366" s="76">
        <v>94969</v>
      </c>
      <c r="B366" s="77" t="s">
        <v>1795</v>
      </c>
      <c r="C366" s="78" t="s">
        <v>12</v>
      </c>
      <c r="D366" s="78" t="s">
        <v>35</v>
      </c>
      <c r="E366" s="73">
        <v>1.4E-2</v>
      </c>
      <c r="F366" s="22">
        <f t="shared" si="40"/>
        <v>291.31200000000001</v>
      </c>
      <c r="G366" s="22">
        <f t="shared" si="41"/>
        <v>4.08</v>
      </c>
      <c r="H366" s="337">
        <v>291.31200000000001</v>
      </c>
      <c r="I366" s="23" t="e">
        <f>IF(A366&lt;&gt;0,VLOOKUP(A366,#REF!,2,FALSE),"")</f>
        <v>#REF!</v>
      </c>
      <c r="K366" s="222"/>
    </row>
    <row r="367" spans="1:11" ht="15" customHeight="1">
      <c r="A367" s="719" t="s">
        <v>1893</v>
      </c>
      <c r="B367" s="719"/>
      <c r="C367" s="719"/>
      <c r="D367" s="719"/>
      <c r="E367" s="719"/>
      <c r="F367" s="719"/>
      <c r="G367" s="71">
        <f>ROUND(SUM(G358:G366),2)</f>
        <v>26.88</v>
      </c>
      <c r="K367" s="222"/>
    </row>
    <row r="368" spans="1:11" ht="21.75" customHeight="1">
      <c r="A368" s="72"/>
      <c r="B368" s="72"/>
      <c r="C368" s="327"/>
      <c r="D368" s="328"/>
      <c r="E368" s="72"/>
      <c r="F368" s="72"/>
      <c r="G368" s="72"/>
      <c r="K368" s="222"/>
    </row>
    <row r="369" spans="1:11" ht="25.5" customHeight="1">
      <c r="A369" s="612" t="s">
        <v>2071</v>
      </c>
      <c r="B369" s="613"/>
      <c r="C369" s="613"/>
      <c r="D369" s="613"/>
      <c r="E369" s="718"/>
      <c r="F369" s="67" t="s">
        <v>1914</v>
      </c>
      <c r="G369" s="230"/>
      <c r="K369" s="222"/>
    </row>
    <row r="370" spans="1:11" ht="28.5">
      <c r="A370" s="69" t="s">
        <v>1916</v>
      </c>
      <c r="B370" s="230"/>
      <c r="C370" s="69" t="s">
        <v>3</v>
      </c>
      <c r="D370" s="69" t="s">
        <v>4</v>
      </c>
      <c r="E370" s="69" t="s">
        <v>1826</v>
      </c>
      <c r="F370" s="69" t="s">
        <v>367</v>
      </c>
      <c r="G370" s="69" t="s">
        <v>368</v>
      </c>
      <c r="K370" s="222"/>
    </row>
    <row r="371" spans="1:11" ht="30">
      <c r="A371" s="76">
        <v>370</v>
      </c>
      <c r="B371" s="77" t="s">
        <v>396</v>
      </c>
      <c r="C371" s="78" t="s">
        <v>12</v>
      </c>
      <c r="D371" s="78" t="s">
        <v>35</v>
      </c>
      <c r="E371" s="73">
        <v>1E-3</v>
      </c>
      <c r="F371" s="22">
        <f>H371</f>
        <v>42.5</v>
      </c>
      <c r="G371" s="22">
        <f>ROUND(F371*E371,2)</f>
        <v>0.04</v>
      </c>
      <c r="H371" s="337">
        <v>42.5</v>
      </c>
      <c r="I371" s="23" t="e">
        <f>IF(A371&lt;&gt;0,VLOOKUP(A371,#REF!,2,FALSE),"")</f>
        <v>#REF!</v>
      </c>
      <c r="K371" s="222"/>
    </row>
    <row r="372" spans="1:11">
      <c r="A372" s="76">
        <v>1379</v>
      </c>
      <c r="B372" s="77" t="s">
        <v>397</v>
      </c>
      <c r="C372" s="78" t="s">
        <v>12</v>
      </c>
      <c r="D372" s="78" t="s">
        <v>45</v>
      </c>
      <c r="E372" s="73">
        <v>0.35</v>
      </c>
      <c r="F372" s="22">
        <f>H372</f>
        <v>0.60349999999999993</v>
      </c>
      <c r="G372" s="22">
        <f>ROUND(F372*E372,2)</f>
        <v>0.21</v>
      </c>
      <c r="H372" s="337">
        <v>0.60349999999999993</v>
      </c>
      <c r="I372" s="23" t="e">
        <f>IF(A372&lt;&gt;0,VLOOKUP(A372,#REF!,2,FALSE),"")</f>
        <v>#REF!</v>
      </c>
      <c r="K372" s="222"/>
    </row>
    <row r="373" spans="1:11" ht="45">
      <c r="A373" s="76">
        <v>10542</v>
      </c>
      <c r="B373" s="77" t="s">
        <v>453</v>
      </c>
      <c r="C373" s="78" t="s">
        <v>12</v>
      </c>
      <c r="D373" s="78" t="s">
        <v>52</v>
      </c>
      <c r="E373" s="73">
        <v>1.05</v>
      </c>
      <c r="F373" s="22">
        <f>H373</f>
        <v>20.366</v>
      </c>
      <c r="G373" s="22">
        <f>ROUND(F373*E373,2)</f>
        <v>21.38</v>
      </c>
      <c r="H373" s="337">
        <v>20.366</v>
      </c>
      <c r="I373" s="23" t="e">
        <f>IF(A373&lt;&gt;0,VLOOKUP(A373,#REF!,2,FALSE),"")</f>
        <v>#REF!</v>
      </c>
      <c r="K373" s="222"/>
    </row>
    <row r="374" spans="1:11" ht="30">
      <c r="A374" s="76">
        <v>88309</v>
      </c>
      <c r="B374" s="77" t="s">
        <v>390</v>
      </c>
      <c r="C374" s="78" t="s">
        <v>12</v>
      </c>
      <c r="D374" s="78" t="s">
        <v>19</v>
      </c>
      <c r="E374" s="73">
        <v>0.2</v>
      </c>
      <c r="F374" s="22">
        <f>H374</f>
        <v>15.121499999999999</v>
      </c>
      <c r="G374" s="22">
        <f>ROUND(F374*E374,2)</f>
        <v>3.02</v>
      </c>
      <c r="H374" s="337">
        <v>15.121499999999999</v>
      </c>
      <c r="I374" s="23" t="e">
        <f>IF(A374&lt;&gt;0,VLOOKUP(A374,#REF!,2,FALSE),"")</f>
        <v>#REF!</v>
      </c>
      <c r="K374" s="222"/>
    </row>
    <row r="375" spans="1:11" ht="30">
      <c r="A375" s="76">
        <v>88316</v>
      </c>
      <c r="B375" s="77" t="s">
        <v>377</v>
      </c>
      <c r="C375" s="78" t="s">
        <v>12</v>
      </c>
      <c r="D375" s="78" t="s">
        <v>19</v>
      </c>
      <c r="E375" s="73">
        <v>0.4</v>
      </c>
      <c r="F375" s="22">
        <f>H375</f>
        <v>11.798000000000002</v>
      </c>
      <c r="G375" s="22">
        <f>ROUND(F375*E375,2)</f>
        <v>4.72</v>
      </c>
      <c r="H375" s="337">
        <v>11.798000000000002</v>
      </c>
      <c r="I375" s="23" t="e">
        <f>IF(A375&lt;&gt;0,VLOOKUP(A375,#REF!,2,FALSE),"")</f>
        <v>#REF!</v>
      </c>
      <c r="K375" s="222"/>
    </row>
    <row r="376" spans="1:11" ht="15" customHeight="1">
      <c r="A376" s="719" t="s">
        <v>1893</v>
      </c>
      <c r="B376" s="719"/>
      <c r="C376" s="719"/>
      <c r="D376" s="719"/>
      <c r="E376" s="719"/>
      <c r="F376" s="719"/>
      <c r="G376" s="71">
        <f>ROUND(SUM(G371:G375),2)</f>
        <v>29.37</v>
      </c>
      <c r="K376" s="222"/>
    </row>
    <row r="377" spans="1:11" ht="21" customHeight="1">
      <c r="A377" s="72"/>
      <c r="B377" s="72"/>
      <c r="C377" s="327"/>
      <c r="D377" s="328"/>
      <c r="E377" s="72"/>
      <c r="F377" s="72"/>
      <c r="G377" s="72"/>
      <c r="K377" s="222"/>
    </row>
    <row r="378" spans="1:11" ht="23.25" customHeight="1">
      <c r="A378" s="612" t="s">
        <v>2073</v>
      </c>
      <c r="B378" s="613"/>
      <c r="C378" s="613"/>
      <c r="D378" s="613"/>
      <c r="E378" s="718"/>
      <c r="F378" s="67" t="s">
        <v>1914</v>
      </c>
      <c r="G378" s="230"/>
      <c r="K378" s="222"/>
    </row>
    <row r="379" spans="1:11" ht="28.5">
      <c r="A379" s="69" t="s">
        <v>1916</v>
      </c>
      <c r="B379" s="230"/>
      <c r="C379" s="69" t="s">
        <v>3</v>
      </c>
      <c r="D379" s="69" t="s">
        <v>4</v>
      </c>
      <c r="E379" s="69" t="s">
        <v>1826</v>
      </c>
      <c r="F379" s="69" t="s">
        <v>367</v>
      </c>
      <c r="G379" s="69" t="s">
        <v>368</v>
      </c>
      <c r="K379" s="222"/>
    </row>
    <row r="380" spans="1:11" ht="30">
      <c r="A380" s="76">
        <v>370</v>
      </c>
      <c r="B380" s="77" t="s">
        <v>396</v>
      </c>
      <c r="C380" s="78" t="s">
        <v>12</v>
      </c>
      <c r="D380" s="78" t="s">
        <v>35</v>
      </c>
      <c r="E380" s="73">
        <v>3.0000000000000001E-3</v>
      </c>
      <c r="F380" s="22">
        <f t="shared" ref="F380:F385" si="42">H380</f>
        <v>42.5</v>
      </c>
      <c r="G380" s="22">
        <f t="shared" ref="G380:G385" si="43">ROUND(F380*E380,2)</f>
        <v>0.13</v>
      </c>
      <c r="H380" s="337">
        <v>42.5</v>
      </c>
      <c r="I380" s="23" t="e">
        <f>IF(A380&lt;&gt;0,VLOOKUP(A380,#REF!,2,FALSE),"")</f>
        <v>#REF!</v>
      </c>
      <c r="K380" s="222"/>
    </row>
    <row r="381" spans="1:11" ht="30">
      <c r="A381" s="76">
        <v>13284</v>
      </c>
      <c r="B381" s="77" t="s">
        <v>443</v>
      </c>
      <c r="C381" s="78" t="s">
        <v>12</v>
      </c>
      <c r="D381" s="78" t="s">
        <v>45</v>
      </c>
      <c r="E381" s="73">
        <v>2.76</v>
      </c>
      <c r="F381" s="22">
        <f t="shared" si="42"/>
        <v>0.60349999999999993</v>
      </c>
      <c r="G381" s="22">
        <f t="shared" si="43"/>
        <v>1.67</v>
      </c>
      <c r="H381" s="337">
        <v>0.60349999999999993</v>
      </c>
      <c r="I381" s="23" t="e">
        <f>IF(A381&lt;&gt;0,VLOOKUP(A381,#REF!,2,FALSE),"")</f>
        <v>#REF!</v>
      </c>
      <c r="K381" s="222"/>
    </row>
    <row r="382" spans="1:11" ht="30">
      <c r="A382" s="76">
        <v>11047</v>
      </c>
      <c r="B382" s="77" t="s">
        <v>454</v>
      </c>
      <c r="C382" s="78" t="s">
        <v>12</v>
      </c>
      <c r="D382" s="78" t="s">
        <v>45</v>
      </c>
      <c r="E382" s="73">
        <v>0.56999999999999995</v>
      </c>
      <c r="F382" s="22">
        <f t="shared" si="42"/>
        <v>10.760999999999999</v>
      </c>
      <c r="G382" s="22">
        <f t="shared" si="43"/>
        <v>6.13</v>
      </c>
      <c r="H382" s="337">
        <v>10.760999999999999</v>
      </c>
      <c r="I382" s="23" t="e">
        <f>IF(A382&lt;&gt;0,VLOOKUP(A382,#REF!,2,FALSE),"")</f>
        <v>#REF!</v>
      </c>
      <c r="K382" s="222"/>
    </row>
    <row r="383" spans="1:11" ht="30">
      <c r="A383" s="76">
        <v>88309</v>
      </c>
      <c r="B383" s="77" t="s">
        <v>390</v>
      </c>
      <c r="C383" s="78" t="s">
        <v>12</v>
      </c>
      <c r="D383" s="78" t="s">
        <v>19</v>
      </c>
      <c r="E383" s="73">
        <v>1.34</v>
      </c>
      <c r="F383" s="22">
        <f t="shared" si="42"/>
        <v>15.121499999999999</v>
      </c>
      <c r="G383" s="22">
        <f t="shared" si="43"/>
        <v>20.260000000000002</v>
      </c>
      <c r="H383" s="337">
        <v>15.121499999999999</v>
      </c>
      <c r="I383" s="23" t="e">
        <f>IF(A383&lt;&gt;0,VLOOKUP(A383,#REF!,2,FALSE),"")</f>
        <v>#REF!</v>
      </c>
      <c r="K383" s="222"/>
    </row>
    <row r="384" spans="1:11" ht="30">
      <c r="A384" s="76">
        <v>88261</v>
      </c>
      <c r="B384" s="77" t="s">
        <v>435</v>
      </c>
      <c r="C384" s="78" t="s">
        <v>12</v>
      </c>
      <c r="D384" s="78" t="s">
        <v>19</v>
      </c>
      <c r="E384" s="73">
        <v>0.61899999999999999</v>
      </c>
      <c r="F384" s="22">
        <f t="shared" si="42"/>
        <v>14.314</v>
      </c>
      <c r="G384" s="22">
        <f t="shared" si="43"/>
        <v>8.86</v>
      </c>
      <c r="H384" s="337">
        <v>14.314</v>
      </c>
      <c r="I384" s="23" t="e">
        <f>IF(A384&lt;&gt;0,VLOOKUP(A384,#REF!,2,FALSE),"")</f>
        <v>#REF!</v>
      </c>
      <c r="K384" s="222"/>
    </row>
    <row r="385" spans="1:11" ht="30">
      <c r="A385" s="76">
        <v>88239</v>
      </c>
      <c r="B385" s="77" t="s">
        <v>393</v>
      </c>
      <c r="C385" s="78" t="s">
        <v>12</v>
      </c>
      <c r="D385" s="78" t="s">
        <v>19</v>
      </c>
      <c r="E385" s="73">
        <v>0.84499999999999997</v>
      </c>
      <c r="F385" s="22">
        <f t="shared" si="42"/>
        <v>12.622499999999999</v>
      </c>
      <c r="G385" s="22">
        <f t="shared" si="43"/>
        <v>10.67</v>
      </c>
      <c r="H385" s="337">
        <v>12.622499999999999</v>
      </c>
      <c r="I385" s="23" t="e">
        <f>IF(A385&lt;&gt;0,VLOOKUP(A385,#REF!,2,FALSE),"")</f>
        <v>#REF!</v>
      </c>
      <c r="K385" s="222"/>
    </row>
    <row r="386" spans="1:11" ht="15" customHeight="1">
      <c r="A386" s="719" t="s">
        <v>1893</v>
      </c>
      <c r="B386" s="719"/>
      <c r="C386" s="719"/>
      <c r="D386" s="719"/>
      <c r="E386" s="719"/>
      <c r="F386" s="719"/>
      <c r="G386" s="71">
        <f>ROUND(SUM(G380:G385),2)</f>
        <v>47.72</v>
      </c>
      <c r="K386" s="222"/>
    </row>
    <row r="387" spans="1:11" ht="28.5" customHeight="1">
      <c r="A387" s="72"/>
      <c r="B387" s="72"/>
      <c r="C387" s="327"/>
      <c r="D387" s="328"/>
      <c r="E387" s="72"/>
      <c r="F387" s="72"/>
      <c r="G387" s="72"/>
      <c r="K387" s="222"/>
    </row>
    <row r="388" spans="1:11" ht="62.25" customHeight="1">
      <c r="A388" s="612" t="s">
        <v>2076</v>
      </c>
      <c r="B388" s="613"/>
      <c r="C388" s="613"/>
      <c r="D388" s="613"/>
      <c r="E388" s="614"/>
      <c r="F388" s="79" t="s">
        <v>44</v>
      </c>
      <c r="G388" s="230"/>
      <c r="K388" s="222"/>
    </row>
    <row r="389" spans="1:11" ht="28.5">
      <c r="A389" s="69" t="s">
        <v>1916</v>
      </c>
      <c r="B389" s="230"/>
      <c r="C389" s="69" t="s">
        <v>3</v>
      </c>
      <c r="D389" s="69" t="s">
        <v>4</v>
      </c>
      <c r="E389" s="69" t="s">
        <v>1826</v>
      </c>
      <c r="F389" s="69" t="s">
        <v>367</v>
      </c>
      <c r="G389" s="69" t="s">
        <v>368</v>
      </c>
      <c r="K389" s="222"/>
    </row>
    <row r="390" spans="1:11" s="38" customFormat="1" ht="105">
      <c r="A390" s="20">
        <v>12737</v>
      </c>
      <c r="B390" s="70" t="s">
        <v>97</v>
      </c>
      <c r="C390" s="21" t="s">
        <v>44</v>
      </c>
      <c r="D390" s="21" t="s">
        <v>26</v>
      </c>
      <c r="E390" s="22">
        <v>1</v>
      </c>
      <c r="F390" s="22">
        <f>H390</f>
        <v>494.50450000000001</v>
      </c>
      <c r="G390" s="22">
        <f>ROUND(F390*E390,2)</f>
        <v>494.5</v>
      </c>
      <c r="H390" s="336">
        <v>494.50450000000001</v>
      </c>
      <c r="I390" s="38" t="e">
        <f>IF(A390&lt;&gt;0,VLOOKUP(A390,#REF!,2,FALSE),"")</f>
        <v>#REF!</v>
      </c>
      <c r="J390" s="336"/>
      <c r="K390" s="222"/>
    </row>
    <row r="391" spans="1:11" ht="15" customHeight="1">
      <c r="A391" s="719" t="s">
        <v>1893</v>
      </c>
      <c r="B391" s="719"/>
      <c r="C391" s="719"/>
      <c r="D391" s="719"/>
      <c r="E391" s="719"/>
      <c r="F391" s="719"/>
      <c r="G391" s="71">
        <f>ROUND(SUM(G390),2)</f>
        <v>494.5</v>
      </c>
      <c r="K391" s="222"/>
    </row>
    <row r="392" spans="1:11" ht="22.5" customHeight="1">
      <c r="A392" s="72"/>
      <c r="B392" s="72"/>
      <c r="C392" s="327"/>
      <c r="D392" s="328"/>
      <c r="E392" s="72"/>
      <c r="F392" s="72"/>
      <c r="G392" s="72"/>
      <c r="K392" s="222"/>
    </row>
    <row r="393" spans="1:11" ht="50.25" customHeight="1">
      <c r="A393" s="612" t="s">
        <v>2077</v>
      </c>
      <c r="B393" s="613"/>
      <c r="C393" s="613"/>
      <c r="D393" s="613"/>
      <c r="E393" s="614"/>
      <c r="F393" s="79" t="s">
        <v>44</v>
      </c>
      <c r="G393" s="230"/>
      <c r="K393" s="222"/>
    </row>
    <row r="394" spans="1:11" ht="28.5">
      <c r="A394" s="69" t="s">
        <v>1916</v>
      </c>
      <c r="B394" s="230"/>
      <c r="C394" s="69" t="s">
        <v>3</v>
      </c>
      <c r="D394" s="69" t="s">
        <v>4</v>
      </c>
      <c r="E394" s="69" t="s">
        <v>1826</v>
      </c>
      <c r="F394" s="69" t="s">
        <v>367</v>
      </c>
      <c r="G394" s="69" t="s">
        <v>368</v>
      </c>
      <c r="K394" s="222"/>
    </row>
    <row r="395" spans="1:11" s="38" customFormat="1" ht="75">
      <c r="A395" s="20">
        <v>10768</v>
      </c>
      <c r="B395" s="70" t="s">
        <v>102</v>
      </c>
      <c r="C395" s="21" t="s">
        <v>44</v>
      </c>
      <c r="D395" s="21" t="s">
        <v>26</v>
      </c>
      <c r="E395" s="22">
        <v>1</v>
      </c>
      <c r="F395" s="22">
        <f>H395</f>
        <v>567.35800000000006</v>
      </c>
      <c r="G395" s="22">
        <f>ROUND(F395*E395,2)</f>
        <v>567.36</v>
      </c>
      <c r="H395" s="336">
        <v>567.35800000000006</v>
      </c>
      <c r="I395" s="38" t="e">
        <f>IF(A395&lt;&gt;0,VLOOKUP(A395,#REF!,2,FALSE),"")</f>
        <v>#REF!</v>
      </c>
      <c r="J395" s="336"/>
      <c r="K395" s="222"/>
    </row>
    <row r="396" spans="1:11" ht="15" customHeight="1">
      <c r="A396" s="719" t="s">
        <v>1893</v>
      </c>
      <c r="B396" s="719"/>
      <c r="C396" s="719"/>
      <c r="D396" s="719"/>
      <c r="E396" s="719"/>
      <c r="F396" s="719"/>
      <c r="G396" s="71">
        <f>ROUND(SUM(G395),2)</f>
        <v>567.36</v>
      </c>
      <c r="K396" s="222"/>
    </row>
    <row r="397" spans="1:11" ht="23.25" customHeight="1">
      <c r="A397" s="72"/>
      <c r="B397" s="72"/>
      <c r="C397" s="327"/>
      <c r="D397" s="328"/>
      <c r="E397" s="72"/>
      <c r="F397" s="72"/>
      <c r="G397" s="72"/>
      <c r="K397" s="222"/>
    </row>
    <row r="398" spans="1:11" s="23" customFormat="1" ht="36" customHeight="1">
      <c r="A398" s="612" t="s">
        <v>2078</v>
      </c>
      <c r="B398" s="613"/>
      <c r="C398" s="613"/>
      <c r="D398" s="613"/>
      <c r="E398" s="718"/>
      <c r="F398" s="67" t="s">
        <v>70</v>
      </c>
      <c r="G398" s="230"/>
      <c r="H398" s="346"/>
      <c r="J398" s="346"/>
      <c r="K398" s="222"/>
    </row>
    <row r="399" spans="1:11" s="23" customFormat="1" ht="28.5">
      <c r="A399" s="69" t="s">
        <v>1916</v>
      </c>
      <c r="B399" s="230"/>
      <c r="C399" s="69" t="s">
        <v>3</v>
      </c>
      <c r="D399" s="69" t="s">
        <v>4</v>
      </c>
      <c r="E399" s="69" t="s">
        <v>1826</v>
      </c>
      <c r="F399" s="69" t="s">
        <v>367</v>
      </c>
      <c r="G399" s="69" t="s">
        <v>368</v>
      </c>
      <c r="H399" s="346"/>
      <c r="J399" s="346"/>
      <c r="K399" s="222"/>
    </row>
    <row r="400" spans="1:11" s="23" customFormat="1" ht="31.5" customHeight="1">
      <c r="A400" s="20">
        <v>536</v>
      </c>
      <c r="B400" s="70" t="s">
        <v>2079</v>
      </c>
      <c r="C400" s="21" t="s">
        <v>12</v>
      </c>
      <c r="D400" s="21" t="s">
        <v>26</v>
      </c>
      <c r="E400" s="22">
        <v>1.1000000000000001</v>
      </c>
      <c r="F400" s="22">
        <f>H400</f>
        <v>27.735500000000002</v>
      </c>
      <c r="G400" s="22">
        <f>ROUND(F400*E400,2)</f>
        <v>30.51</v>
      </c>
      <c r="H400" s="346">
        <v>27.735500000000002</v>
      </c>
      <c r="I400" s="23" t="e">
        <f>IF(A400&lt;&gt;0,VLOOKUP(A400,#REF!,2,FALSE),"")</f>
        <v>#REF!</v>
      </c>
      <c r="J400" s="346"/>
      <c r="K400" s="222"/>
    </row>
    <row r="401" spans="1:11">
      <c r="A401" s="20">
        <v>1381</v>
      </c>
      <c r="B401" s="70" t="e">
        <f>I401</f>
        <v>#REF!</v>
      </c>
      <c r="C401" s="21" t="s">
        <v>12</v>
      </c>
      <c r="D401" s="21" t="s">
        <v>45</v>
      </c>
      <c r="E401" s="22">
        <v>4</v>
      </c>
      <c r="F401" s="22">
        <f>H401</f>
        <v>0.48449999999999993</v>
      </c>
      <c r="G401" s="22">
        <f>ROUND(F401*E401,2)</f>
        <v>1.94</v>
      </c>
      <c r="H401" s="337">
        <v>0.48449999999999993</v>
      </c>
      <c r="I401" s="23" t="e">
        <f>IF(A401&lt;&gt;0,VLOOKUP(A401,#REF!,2,FALSE),"")</f>
        <v>#REF!</v>
      </c>
      <c r="K401" s="222"/>
    </row>
    <row r="402" spans="1:11" ht="30">
      <c r="A402" s="20">
        <v>88256</v>
      </c>
      <c r="B402" s="70" t="s">
        <v>455</v>
      </c>
      <c r="C402" s="21" t="s">
        <v>12</v>
      </c>
      <c r="D402" s="21" t="s">
        <v>19</v>
      </c>
      <c r="E402" s="22">
        <v>0.72</v>
      </c>
      <c r="F402" s="22">
        <f>H402</f>
        <v>17.6205</v>
      </c>
      <c r="G402" s="22">
        <f>ROUND(F402*E402,2)</f>
        <v>12.69</v>
      </c>
      <c r="H402" s="337">
        <v>17.6205</v>
      </c>
      <c r="I402" s="23" t="e">
        <f>IF(A402&lt;&gt;0,VLOOKUP(A402,#REF!,2,FALSE),"")</f>
        <v>#REF!</v>
      </c>
      <c r="K402" s="222"/>
    </row>
    <row r="403" spans="1:11" ht="30">
      <c r="A403" s="20">
        <v>88316</v>
      </c>
      <c r="B403" s="70" t="s">
        <v>377</v>
      </c>
      <c r="C403" s="21" t="s">
        <v>12</v>
      </c>
      <c r="D403" s="21" t="s">
        <v>19</v>
      </c>
      <c r="E403" s="22">
        <v>0.72</v>
      </c>
      <c r="F403" s="22">
        <f>H403</f>
        <v>11.798000000000002</v>
      </c>
      <c r="G403" s="22">
        <f>ROUND(F403*E403,2)</f>
        <v>8.49</v>
      </c>
      <c r="H403" s="337">
        <v>11.798000000000002</v>
      </c>
      <c r="I403" s="23" t="e">
        <f>IF(A403&lt;&gt;0,VLOOKUP(A403,#REF!,2,FALSE),"")</f>
        <v>#REF!</v>
      </c>
      <c r="K403" s="222"/>
    </row>
    <row r="404" spans="1:11" ht="15" customHeight="1">
      <c r="A404" s="719" t="s">
        <v>1893</v>
      </c>
      <c r="B404" s="719"/>
      <c r="C404" s="719"/>
      <c r="D404" s="719"/>
      <c r="E404" s="719"/>
      <c r="F404" s="719"/>
      <c r="G404" s="71">
        <f>ROUND(SUM(G400:G403),2)</f>
        <v>53.63</v>
      </c>
      <c r="K404" s="222"/>
    </row>
    <row r="405" spans="1:11" ht="24" customHeight="1">
      <c r="A405" s="72"/>
      <c r="B405" s="72"/>
      <c r="C405" s="327"/>
      <c r="D405" s="328"/>
      <c r="E405" s="72"/>
      <c r="F405" s="72"/>
      <c r="G405" s="72"/>
      <c r="K405" s="222"/>
    </row>
    <row r="406" spans="1:11" ht="37.5" customHeight="1">
      <c r="A406" s="612" t="s">
        <v>2081</v>
      </c>
      <c r="B406" s="613"/>
      <c r="C406" s="613"/>
      <c r="D406" s="613"/>
      <c r="E406" s="718"/>
      <c r="F406" s="67" t="s">
        <v>1914</v>
      </c>
      <c r="G406" s="230"/>
      <c r="K406" s="222"/>
    </row>
    <row r="407" spans="1:11" ht="28.5">
      <c r="A407" s="69" t="s">
        <v>1916</v>
      </c>
      <c r="B407" s="230"/>
      <c r="C407" s="69" t="s">
        <v>3</v>
      </c>
      <c r="D407" s="69" t="s">
        <v>4</v>
      </c>
      <c r="E407" s="69" t="s">
        <v>1826</v>
      </c>
      <c r="F407" s="69" t="s">
        <v>367</v>
      </c>
      <c r="G407" s="69" t="s">
        <v>368</v>
      </c>
      <c r="K407" s="222"/>
    </row>
    <row r="408" spans="1:11" s="38" customFormat="1" ht="30">
      <c r="A408" s="20">
        <v>13218</v>
      </c>
      <c r="B408" s="70" t="s">
        <v>457</v>
      </c>
      <c r="C408" s="21" t="s">
        <v>44</v>
      </c>
      <c r="D408" s="21" t="s">
        <v>26</v>
      </c>
      <c r="E408" s="22">
        <v>1.05</v>
      </c>
      <c r="F408" s="22">
        <f>H408</f>
        <v>57.689500000000002</v>
      </c>
      <c r="G408" s="22">
        <f>ROUND(F408*E408,2)</f>
        <v>60.57</v>
      </c>
      <c r="H408" s="336">
        <v>57.689500000000002</v>
      </c>
      <c r="I408" s="38" t="e">
        <f>IF(A408&lt;&gt;0,VLOOKUP(A408,#REF!,2,FALSE),"")</f>
        <v>#REF!</v>
      </c>
      <c r="J408" s="336"/>
      <c r="K408" s="222"/>
    </row>
    <row r="409" spans="1:11" ht="30">
      <c r="A409" s="20">
        <v>1381</v>
      </c>
      <c r="B409" s="70" t="s">
        <v>456</v>
      </c>
      <c r="C409" s="21" t="s">
        <v>12</v>
      </c>
      <c r="D409" s="21" t="s">
        <v>45</v>
      </c>
      <c r="E409" s="22">
        <v>0.45</v>
      </c>
      <c r="F409" s="22">
        <f>H409</f>
        <v>0.48449999999999993</v>
      </c>
      <c r="G409" s="22">
        <f>ROUND(F409*E409,2)</f>
        <v>0.22</v>
      </c>
      <c r="H409" s="337">
        <v>0.48449999999999993</v>
      </c>
      <c r="I409" s="23" t="e">
        <f>IF(A409&lt;&gt;0,VLOOKUP(A409,#REF!,2,FALSE),"")</f>
        <v>#REF!</v>
      </c>
      <c r="K409" s="222"/>
    </row>
    <row r="410" spans="1:11">
      <c r="A410" s="20">
        <v>37596</v>
      </c>
      <c r="B410" s="70" t="s">
        <v>458</v>
      </c>
      <c r="C410" s="21" t="s">
        <v>12</v>
      </c>
      <c r="D410" s="21" t="s">
        <v>45</v>
      </c>
      <c r="E410" s="22">
        <v>4.5</v>
      </c>
      <c r="F410" s="22">
        <f>H410</f>
        <v>1.7084999999999999</v>
      </c>
      <c r="G410" s="22">
        <f>ROUND(F410*E410,2)</f>
        <v>7.69</v>
      </c>
      <c r="H410" s="337">
        <v>1.7084999999999999</v>
      </c>
      <c r="I410" s="23" t="e">
        <f>IF(A410&lt;&gt;0,VLOOKUP(A410,#REF!,2,FALSE),"")</f>
        <v>#REF!</v>
      </c>
      <c r="K410" s="222"/>
    </row>
    <row r="411" spans="1:11" ht="30">
      <c r="A411" s="20">
        <v>88242</v>
      </c>
      <c r="B411" s="70" t="s">
        <v>459</v>
      </c>
      <c r="C411" s="21" t="s">
        <v>12</v>
      </c>
      <c r="D411" s="21" t="s">
        <v>19</v>
      </c>
      <c r="E411" s="22">
        <v>0.7</v>
      </c>
      <c r="F411" s="22">
        <f>H411</f>
        <v>11.849</v>
      </c>
      <c r="G411" s="22">
        <f>ROUND(F411*E411,2)</f>
        <v>8.2899999999999991</v>
      </c>
      <c r="H411" s="337">
        <v>11.849</v>
      </c>
      <c r="I411" s="23" t="e">
        <f>IF(A411&lt;&gt;0,VLOOKUP(A411,#REF!,2,FALSE),"")</f>
        <v>#REF!</v>
      </c>
      <c r="K411" s="222"/>
    </row>
    <row r="412" spans="1:11" ht="30">
      <c r="A412" s="20">
        <v>88256</v>
      </c>
      <c r="B412" s="70" t="s">
        <v>455</v>
      </c>
      <c r="C412" s="21" t="s">
        <v>12</v>
      </c>
      <c r="D412" s="21" t="s">
        <v>19</v>
      </c>
      <c r="E412" s="22">
        <v>0.66</v>
      </c>
      <c r="F412" s="22">
        <f>H412</f>
        <v>17.6205</v>
      </c>
      <c r="G412" s="22">
        <f>ROUND(F412*E412,2)</f>
        <v>11.63</v>
      </c>
      <c r="H412" s="337">
        <v>17.6205</v>
      </c>
      <c r="I412" s="23" t="e">
        <f>IF(A412&lt;&gt;0,VLOOKUP(A412,#REF!,2,FALSE),"")</f>
        <v>#REF!</v>
      </c>
      <c r="K412" s="222"/>
    </row>
    <row r="413" spans="1:11" ht="15" customHeight="1">
      <c r="A413" s="719" t="s">
        <v>1893</v>
      </c>
      <c r="B413" s="719"/>
      <c r="C413" s="719"/>
      <c r="D413" s="719"/>
      <c r="E413" s="719"/>
      <c r="F413" s="719"/>
      <c r="G413" s="71">
        <f>ROUND(SUM(G408:G412),2)</f>
        <v>88.4</v>
      </c>
      <c r="K413" s="222"/>
    </row>
    <row r="414" spans="1:11" ht="23.25" customHeight="1">
      <c r="A414" s="72"/>
      <c r="B414" s="72"/>
      <c r="C414" s="327"/>
      <c r="D414" s="328"/>
      <c r="E414" s="72"/>
      <c r="F414" s="72"/>
      <c r="G414" s="72"/>
      <c r="K414" s="222"/>
    </row>
    <row r="415" spans="1:11" ht="37.5" customHeight="1">
      <c r="A415" s="612" t="s">
        <v>2082</v>
      </c>
      <c r="B415" s="613"/>
      <c r="C415" s="613"/>
      <c r="D415" s="613"/>
      <c r="E415" s="718"/>
      <c r="F415" s="67" t="s">
        <v>44</v>
      </c>
      <c r="G415" s="230"/>
      <c r="K415" s="222"/>
    </row>
    <row r="416" spans="1:11" ht="28.5">
      <c r="A416" s="69" t="s">
        <v>1916</v>
      </c>
      <c r="B416" s="230"/>
      <c r="C416" s="69" t="s">
        <v>3</v>
      </c>
      <c r="D416" s="69" t="s">
        <v>4</v>
      </c>
      <c r="E416" s="69" t="s">
        <v>1826</v>
      </c>
      <c r="F416" s="69" t="s">
        <v>367</v>
      </c>
      <c r="G416" s="69" t="s">
        <v>368</v>
      </c>
      <c r="K416" s="222"/>
    </row>
    <row r="417" spans="1:11" s="38" customFormat="1" ht="30">
      <c r="A417" s="76">
        <v>3649</v>
      </c>
      <c r="B417" s="77" t="s">
        <v>461</v>
      </c>
      <c r="C417" s="78" t="s">
        <v>44</v>
      </c>
      <c r="D417" s="78" t="s">
        <v>52</v>
      </c>
      <c r="E417" s="73">
        <v>4</v>
      </c>
      <c r="F417" s="22">
        <f>H417</f>
        <v>0.28050000000000003</v>
      </c>
      <c r="G417" s="22">
        <f>ROUND(F417*E417,2)</f>
        <v>1.1200000000000001</v>
      </c>
      <c r="H417" s="336">
        <v>0.28050000000000003</v>
      </c>
      <c r="I417" s="38" t="e">
        <f>IF(A417&lt;&gt;0,VLOOKUP(A417,#REF!,2,FALSE),"")</f>
        <v>#REF!</v>
      </c>
      <c r="J417" s="336"/>
      <c r="K417" s="222"/>
    </row>
    <row r="418" spans="1:11" ht="30">
      <c r="A418" s="76">
        <v>34676</v>
      </c>
      <c r="B418" s="77" t="s">
        <v>462</v>
      </c>
      <c r="C418" s="78" t="s">
        <v>12</v>
      </c>
      <c r="D418" s="78" t="s">
        <v>26</v>
      </c>
      <c r="E418" s="73">
        <v>1</v>
      </c>
      <c r="F418" s="22">
        <f t="shared" ref="F418:F423" si="44">H418</f>
        <v>17.416499999999999</v>
      </c>
      <c r="G418" s="22">
        <f t="shared" ref="G418:G423" si="45">ROUND(F418*E418,2)</f>
        <v>17.420000000000002</v>
      </c>
      <c r="H418" s="337">
        <v>17.416499999999999</v>
      </c>
      <c r="I418" s="23" t="e">
        <f>IF(A418&lt;&gt;0,VLOOKUP(A418,#REF!,2,FALSE),"")</f>
        <v>#REF!</v>
      </c>
      <c r="K418" s="222"/>
    </row>
    <row r="419" spans="1:11" ht="30">
      <c r="A419" s="76">
        <v>1339</v>
      </c>
      <c r="B419" s="77" t="s">
        <v>463</v>
      </c>
      <c r="C419" s="78" t="s">
        <v>12</v>
      </c>
      <c r="D419" s="78" t="s">
        <v>45</v>
      </c>
      <c r="E419" s="73">
        <v>0.2</v>
      </c>
      <c r="F419" s="22">
        <f t="shared" si="44"/>
        <v>30.667999999999999</v>
      </c>
      <c r="G419" s="22">
        <f t="shared" si="45"/>
        <v>6.13</v>
      </c>
      <c r="H419" s="337">
        <v>30.667999999999999</v>
      </c>
      <c r="I419" s="23" t="e">
        <f>IF(A419&lt;&gt;0,VLOOKUP(A419,#REF!,2,FALSE),"")</f>
        <v>#REF!</v>
      </c>
      <c r="K419" s="222"/>
    </row>
    <row r="420" spans="1:11" ht="30">
      <c r="A420" s="76">
        <v>1340</v>
      </c>
      <c r="B420" s="77" t="s">
        <v>464</v>
      </c>
      <c r="C420" s="78" t="s">
        <v>12</v>
      </c>
      <c r="D420" s="78" t="s">
        <v>26</v>
      </c>
      <c r="E420" s="73">
        <v>1</v>
      </c>
      <c r="F420" s="22">
        <f t="shared" si="44"/>
        <v>35.368499999999997</v>
      </c>
      <c r="G420" s="22">
        <f t="shared" si="45"/>
        <v>35.369999999999997</v>
      </c>
      <c r="H420" s="337">
        <v>35.368499999999997</v>
      </c>
      <c r="I420" s="23" t="e">
        <f>IF(A420&lt;&gt;0,VLOOKUP(A420,#REF!,2,FALSE),"")</f>
        <v>#REF!</v>
      </c>
      <c r="K420" s="222"/>
    </row>
    <row r="421" spans="1:11" ht="30">
      <c r="A421" s="76">
        <v>88262</v>
      </c>
      <c r="B421" s="77" t="s">
        <v>376</v>
      </c>
      <c r="C421" s="78" t="s">
        <v>12</v>
      </c>
      <c r="D421" s="78" t="s">
        <v>19</v>
      </c>
      <c r="E421" s="73">
        <v>1</v>
      </c>
      <c r="F421" s="22">
        <f t="shared" si="44"/>
        <v>14.96</v>
      </c>
      <c r="G421" s="22">
        <f t="shared" si="45"/>
        <v>14.96</v>
      </c>
      <c r="H421" s="337">
        <v>14.96</v>
      </c>
      <c r="I421" s="23" t="e">
        <f>IF(A421&lt;&gt;0,VLOOKUP(A421,#REF!,2,FALSE),"")</f>
        <v>#REF!</v>
      </c>
      <c r="K421" s="222"/>
    </row>
    <row r="422" spans="1:11" ht="30">
      <c r="A422" s="76">
        <v>88309</v>
      </c>
      <c r="B422" s="77" t="s">
        <v>390</v>
      </c>
      <c r="C422" s="78" t="s">
        <v>12</v>
      </c>
      <c r="D422" s="78" t="s">
        <v>19</v>
      </c>
      <c r="E422" s="73">
        <v>0.3</v>
      </c>
      <c r="F422" s="22">
        <f t="shared" si="44"/>
        <v>15.121499999999999</v>
      </c>
      <c r="G422" s="22">
        <f t="shared" si="45"/>
        <v>4.54</v>
      </c>
      <c r="H422" s="337">
        <v>15.121499999999999</v>
      </c>
      <c r="I422" s="23" t="e">
        <f>IF(A422&lt;&gt;0,VLOOKUP(A422,#REF!,2,FALSE),"")</f>
        <v>#REF!</v>
      </c>
      <c r="K422" s="222"/>
    </row>
    <row r="423" spans="1:11" ht="30">
      <c r="A423" s="76">
        <v>88316</v>
      </c>
      <c r="B423" s="77" t="s">
        <v>377</v>
      </c>
      <c r="C423" s="78" t="s">
        <v>12</v>
      </c>
      <c r="D423" s="78" t="s">
        <v>19</v>
      </c>
      <c r="E423" s="73">
        <v>0.3</v>
      </c>
      <c r="F423" s="22">
        <f t="shared" si="44"/>
        <v>11.798000000000002</v>
      </c>
      <c r="G423" s="22">
        <f t="shared" si="45"/>
        <v>3.54</v>
      </c>
      <c r="H423" s="337">
        <v>11.798000000000002</v>
      </c>
      <c r="I423" s="23" t="e">
        <f>IF(A423&lt;&gt;0,VLOOKUP(A423,#REF!,2,FALSE),"")</f>
        <v>#REF!</v>
      </c>
      <c r="K423" s="222"/>
    </row>
    <row r="424" spans="1:11" ht="15" customHeight="1">
      <c r="A424" s="719" t="s">
        <v>1893</v>
      </c>
      <c r="B424" s="719"/>
      <c r="C424" s="719"/>
      <c r="D424" s="719"/>
      <c r="E424" s="719"/>
      <c r="F424" s="719"/>
      <c r="G424" s="71">
        <f>ROUND(SUM(G417:G423),2)</f>
        <v>83.08</v>
      </c>
      <c r="K424" s="222"/>
    </row>
    <row r="425" spans="1:11">
      <c r="A425" s="72"/>
      <c r="B425" s="72"/>
      <c r="C425" s="327"/>
      <c r="D425" s="328"/>
      <c r="E425" s="72"/>
      <c r="F425" s="72"/>
      <c r="G425" s="72"/>
      <c r="K425" s="222"/>
    </row>
    <row r="426" spans="1:11">
      <c r="A426" s="72"/>
      <c r="B426" s="72"/>
      <c r="C426" s="752"/>
      <c r="D426" s="753"/>
      <c r="E426" s="72"/>
      <c r="F426" s="72"/>
      <c r="G426" s="72"/>
      <c r="K426" s="222"/>
    </row>
    <row r="427" spans="1:11" ht="33.75" customHeight="1">
      <c r="A427" s="612" t="s">
        <v>2422</v>
      </c>
      <c r="B427" s="613"/>
      <c r="C427" s="613"/>
      <c r="D427" s="613"/>
      <c r="E427" s="613"/>
      <c r="F427" s="67" t="s">
        <v>44</v>
      </c>
      <c r="G427" s="80"/>
      <c r="K427" s="222"/>
    </row>
    <row r="428" spans="1:11" ht="28.5">
      <c r="A428" s="623" t="s">
        <v>1916</v>
      </c>
      <c r="B428" s="624"/>
      <c r="C428" s="69" t="s">
        <v>3</v>
      </c>
      <c r="D428" s="69" t="s">
        <v>4</v>
      </c>
      <c r="E428" s="69" t="s">
        <v>1826</v>
      </c>
      <c r="F428" s="69" t="s">
        <v>367</v>
      </c>
      <c r="G428" s="69" t="s">
        <v>368</v>
      </c>
      <c r="K428" s="222"/>
    </row>
    <row r="429" spans="1:11" s="38" customFormat="1" ht="30">
      <c r="A429" s="20">
        <v>6751</v>
      </c>
      <c r="B429" s="70" t="s">
        <v>2423</v>
      </c>
      <c r="C429" s="21" t="s">
        <v>44</v>
      </c>
      <c r="D429" s="21" t="s">
        <v>68</v>
      </c>
      <c r="E429" s="22">
        <v>1</v>
      </c>
      <c r="F429" s="22">
        <f>H429</f>
        <v>107.304</v>
      </c>
      <c r="G429" s="22">
        <f>ROUND(F429*E429,2)</f>
        <v>107.3</v>
      </c>
      <c r="H429" s="336">
        <v>107.304</v>
      </c>
      <c r="I429" s="38" t="e">
        <f>IF(A429&lt;&gt;0,VLOOKUP(A429,#REF!,2,FALSE),"")</f>
        <v>#REF!</v>
      </c>
      <c r="J429" s="336"/>
      <c r="K429" s="222"/>
    </row>
    <row r="430" spans="1:11" ht="15" customHeight="1">
      <c r="A430" s="719" t="s">
        <v>1893</v>
      </c>
      <c r="B430" s="719"/>
      <c r="C430" s="719"/>
      <c r="D430" s="719"/>
      <c r="E430" s="719"/>
      <c r="F430" s="719"/>
      <c r="G430" s="71">
        <f>ROUND(SUM(G429),2)</f>
        <v>107.3</v>
      </c>
      <c r="K430" s="222"/>
    </row>
    <row r="431" spans="1:11" ht="22.5" customHeight="1">
      <c r="A431" s="72"/>
      <c r="B431" s="72"/>
      <c r="C431" s="752"/>
      <c r="D431" s="753"/>
      <c r="E431" s="72"/>
      <c r="F431" s="72"/>
      <c r="G431" s="72"/>
      <c r="K431" s="222"/>
    </row>
    <row r="432" spans="1:11" ht="32.25" customHeight="1">
      <c r="A432" s="612" t="s">
        <v>2083</v>
      </c>
      <c r="B432" s="613"/>
      <c r="C432" s="613"/>
      <c r="D432" s="613"/>
      <c r="E432" s="718"/>
      <c r="F432" s="67" t="s">
        <v>1914</v>
      </c>
      <c r="G432" s="80"/>
      <c r="K432" s="222"/>
    </row>
    <row r="433" spans="1:11" ht="28.5">
      <c r="A433" s="623" t="s">
        <v>1916</v>
      </c>
      <c r="B433" s="624"/>
      <c r="C433" s="69" t="s">
        <v>3</v>
      </c>
      <c r="D433" s="69" t="s">
        <v>4</v>
      </c>
      <c r="E433" s="69" t="s">
        <v>1826</v>
      </c>
      <c r="F433" s="69" t="s">
        <v>367</v>
      </c>
      <c r="G433" s="69" t="s">
        <v>368</v>
      </c>
      <c r="K433" s="222"/>
    </row>
    <row r="434" spans="1:11" ht="90">
      <c r="A434" s="20">
        <v>5901</v>
      </c>
      <c r="B434" s="70" t="s">
        <v>1797</v>
      </c>
      <c r="C434" s="21" t="s">
        <v>12</v>
      </c>
      <c r="D434" s="21" t="s">
        <v>388</v>
      </c>
      <c r="E434" s="81">
        <v>1.6109E-3</v>
      </c>
      <c r="F434" s="22">
        <f>H434</f>
        <v>186.1925</v>
      </c>
      <c r="G434" s="22">
        <f>ROUND(F434*E434,2)</f>
        <v>0.3</v>
      </c>
      <c r="H434" s="337">
        <v>186.1925</v>
      </c>
      <c r="I434" s="23" t="e">
        <f>IF(A434&lt;&gt;0,VLOOKUP(A434,#REF!,2,FALSE),"")</f>
        <v>#REF!</v>
      </c>
      <c r="K434" s="222"/>
    </row>
    <row r="435" spans="1:11" ht="90">
      <c r="A435" s="20">
        <v>5903</v>
      </c>
      <c r="B435" s="70" t="s">
        <v>1798</v>
      </c>
      <c r="C435" s="21" t="s">
        <v>12</v>
      </c>
      <c r="D435" s="21" t="s">
        <v>389</v>
      </c>
      <c r="E435" s="81">
        <v>1.0739E-3</v>
      </c>
      <c r="F435" s="22">
        <f t="shared" ref="F435:F441" si="46">H435</f>
        <v>33.847000000000001</v>
      </c>
      <c r="G435" s="22">
        <f t="shared" ref="G435:G441" si="47">ROUND(F435*E435,2)</f>
        <v>0.04</v>
      </c>
      <c r="H435" s="337">
        <v>33.847000000000001</v>
      </c>
      <c r="I435" s="23" t="e">
        <f>IF(A435&lt;&gt;0,VLOOKUP(A435,#REF!,2,FALSE),"")</f>
        <v>#REF!</v>
      </c>
      <c r="K435" s="222"/>
    </row>
    <row r="436" spans="1:11" ht="60">
      <c r="A436" s="20">
        <v>5932</v>
      </c>
      <c r="B436" s="70" t="s">
        <v>1799</v>
      </c>
      <c r="C436" s="21" t="s">
        <v>12</v>
      </c>
      <c r="D436" s="21" t="s">
        <v>388</v>
      </c>
      <c r="E436" s="81">
        <v>1.8525E-3</v>
      </c>
      <c r="F436" s="22">
        <f t="shared" si="46"/>
        <v>141.88200000000001</v>
      </c>
      <c r="G436" s="22">
        <f t="shared" si="47"/>
        <v>0.26</v>
      </c>
      <c r="H436" s="337">
        <v>141.88200000000001</v>
      </c>
      <c r="I436" s="23" t="e">
        <f>IF(A436&lt;&gt;0,VLOOKUP(A436,#REF!,2,FALSE),"")</f>
        <v>#REF!</v>
      </c>
      <c r="K436" s="222"/>
    </row>
    <row r="437" spans="1:11" ht="60">
      <c r="A437" s="20">
        <v>5934</v>
      </c>
      <c r="B437" s="70" t="s">
        <v>1800</v>
      </c>
      <c r="C437" s="21" t="s">
        <v>12</v>
      </c>
      <c r="D437" s="21" t="s">
        <v>389</v>
      </c>
      <c r="E437" s="81">
        <v>8.3230000000000001E-4</v>
      </c>
      <c r="F437" s="22">
        <f t="shared" si="46"/>
        <v>49.027999999999999</v>
      </c>
      <c r="G437" s="22">
        <f t="shared" si="47"/>
        <v>0.04</v>
      </c>
      <c r="H437" s="337">
        <v>49.027999999999999</v>
      </c>
      <c r="I437" s="23" t="e">
        <f>IF(A437&lt;&gt;0,VLOOKUP(A437,#REF!,2,FALSE),"")</f>
        <v>#REF!</v>
      </c>
      <c r="K437" s="222"/>
    </row>
    <row r="438" spans="1:11" ht="75">
      <c r="A438" s="20">
        <v>7049</v>
      </c>
      <c r="B438" s="70" t="s">
        <v>1801</v>
      </c>
      <c r="C438" s="21" t="s">
        <v>12</v>
      </c>
      <c r="D438" s="21" t="s">
        <v>388</v>
      </c>
      <c r="E438" s="81">
        <v>2.6849E-3</v>
      </c>
      <c r="F438" s="22">
        <f t="shared" si="46"/>
        <v>129.94800000000001</v>
      </c>
      <c r="G438" s="22">
        <f t="shared" si="47"/>
        <v>0.35</v>
      </c>
      <c r="H438" s="337">
        <v>129.94800000000001</v>
      </c>
      <c r="I438" s="23" t="e">
        <f>IF(A438&lt;&gt;0,VLOOKUP(A438,#REF!,2,FALSE),"")</f>
        <v>#REF!</v>
      </c>
      <c r="K438" s="222"/>
    </row>
    <row r="439" spans="1:11" ht="30">
      <c r="A439" s="20">
        <v>88316</v>
      </c>
      <c r="B439" s="70" t="s">
        <v>377</v>
      </c>
      <c r="C439" s="21" t="s">
        <v>12</v>
      </c>
      <c r="D439" s="21" t="s">
        <v>19</v>
      </c>
      <c r="E439" s="81">
        <v>1.07396E-2</v>
      </c>
      <c r="F439" s="22">
        <f t="shared" si="46"/>
        <v>11.798000000000002</v>
      </c>
      <c r="G439" s="22">
        <f t="shared" si="47"/>
        <v>0.13</v>
      </c>
      <c r="H439" s="337">
        <v>11.798000000000002</v>
      </c>
      <c r="I439" s="23" t="e">
        <f>IF(A439&lt;&gt;0,VLOOKUP(A439,#REF!,2,FALSE),"")</f>
        <v>#REF!</v>
      </c>
      <c r="K439" s="222"/>
    </row>
    <row r="440" spans="1:11" ht="45">
      <c r="A440" s="20">
        <v>96028</v>
      </c>
      <c r="B440" s="70" t="s">
        <v>1802</v>
      </c>
      <c r="C440" s="21" t="s">
        <v>12</v>
      </c>
      <c r="D440" s="21" t="s">
        <v>388</v>
      </c>
      <c r="E440" s="81">
        <v>1.3424000000000001E-3</v>
      </c>
      <c r="F440" s="22">
        <f t="shared" si="46"/>
        <v>123.53050000000002</v>
      </c>
      <c r="G440" s="22">
        <f t="shared" si="47"/>
        <v>0.17</v>
      </c>
      <c r="H440" s="337">
        <v>123.53050000000002</v>
      </c>
      <c r="I440" s="23" t="e">
        <f>IF(A440&lt;&gt;0,VLOOKUP(A440,#REF!,2,FALSE),"")</f>
        <v>#REF!</v>
      </c>
      <c r="K440" s="222"/>
    </row>
    <row r="441" spans="1:11" ht="45">
      <c r="A441" s="20">
        <v>96029</v>
      </c>
      <c r="B441" s="70" t="s">
        <v>1803</v>
      </c>
      <c r="C441" s="21" t="s">
        <v>12</v>
      </c>
      <c r="D441" s="21" t="s">
        <v>389</v>
      </c>
      <c r="E441" s="81">
        <v>1.3424000000000001E-3</v>
      </c>
      <c r="F441" s="22">
        <f t="shared" si="46"/>
        <v>32.504000000000005</v>
      </c>
      <c r="G441" s="22">
        <f t="shared" si="47"/>
        <v>0.04</v>
      </c>
      <c r="H441" s="337">
        <v>32.504000000000005</v>
      </c>
      <c r="I441" s="23" t="e">
        <f>IF(A441&lt;&gt;0,VLOOKUP(A441,#REF!,2,FALSE),"")</f>
        <v>#REF!</v>
      </c>
      <c r="K441" s="222"/>
    </row>
    <row r="442" spans="1:11" ht="15" customHeight="1">
      <c r="A442" s="719" t="s">
        <v>1893</v>
      </c>
      <c r="B442" s="719"/>
      <c r="C442" s="719"/>
      <c r="D442" s="719"/>
      <c r="E442" s="719"/>
      <c r="F442" s="719"/>
      <c r="G442" s="71">
        <f>ROUND(SUM(G434:G441),2)</f>
        <v>1.33</v>
      </c>
      <c r="K442" s="222"/>
    </row>
    <row r="443" spans="1:11" ht="26.25" customHeight="1">
      <c r="A443" s="72"/>
      <c r="B443" s="72"/>
      <c r="C443" s="752"/>
      <c r="D443" s="753"/>
      <c r="E443" s="72"/>
      <c r="F443" s="72"/>
      <c r="G443" s="72"/>
      <c r="K443" s="222"/>
    </row>
    <row r="444" spans="1:11" ht="46.5" customHeight="1">
      <c r="A444" s="612" t="s">
        <v>2084</v>
      </c>
      <c r="B444" s="613"/>
      <c r="C444" s="613"/>
      <c r="D444" s="613"/>
      <c r="E444" s="613"/>
      <c r="F444" s="67" t="s">
        <v>1914</v>
      </c>
      <c r="G444" s="80"/>
      <c r="K444" s="222"/>
    </row>
    <row r="445" spans="1:11" ht="28.5">
      <c r="A445" s="623" t="s">
        <v>1916</v>
      </c>
      <c r="B445" s="624"/>
      <c r="C445" s="69" t="s">
        <v>3</v>
      </c>
      <c r="D445" s="69" t="s">
        <v>4</v>
      </c>
      <c r="E445" s="69" t="s">
        <v>1826</v>
      </c>
      <c r="F445" s="69" t="s">
        <v>367</v>
      </c>
      <c r="G445" s="69" t="s">
        <v>368</v>
      </c>
      <c r="K445" s="222"/>
    </row>
    <row r="446" spans="1:11" ht="30">
      <c r="A446" s="20">
        <v>88309</v>
      </c>
      <c r="B446" s="70" t="s">
        <v>390</v>
      </c>
      <c r="C446" s="21" t="s">
        <v>12</v>
      </c>
      <c r="D446" s="21" t="s">
        <v>19</v>
      </c>
      <c r="E446" s="22">
        <v>0.8</v>
      </c>
      <c r="F446" s="22">
        <f>H446</f>
        <v>15.121499999999999</v>
      </c>
      <c r="G446" s="22">
        <f>ROUND(F446*E446,2)</f>
        <v>12.1</v>
      </c>
      <c r="H446" s="337">
        <v>15.121499999999999</v>
      </c>
      <c r="I446" s="23" t="e">
        <f>IF(A446&lt;&gt;0,VLOOKUP(A446,#REF!,2,FALSE),"")</f>
        <v>#REF!</v>
      </c>
      <c r="K446" s="222"/>
    </row>
    <row r="447" spans="1:11" ht="30">
      <c r="A447" s="20">
        <v>88316</v>
      </c>
      <c r="B447" s="70" t="s">
        <v>377</v>
      </c>
      <c r="C447" s="21" t="s">
        <v>12</v>
      </c>
      <c r="D447" s="21" t="s">
        <v>19</v>
      </c>
      <c r="E447" s="22">
        <v>0.80300000000000005</v>
      </c>
      <c r="F447" s="22">
        <f>H447</f>
        <v>11.798000000000002</v>
      </c>
      <c r="G447" s="22">
        <f>ROUND(F447*E447,2)</f>
        <v>9.4700000000000006</v>
      </c>
      <c r="H447" s="337">
        <v>11.798000000000002</v>
      </c>
      <c r="I447" s="23" t="e">
        <f>IF(A447&lt;&gt;0,VLOOKUP(A447,#REF!,2,FALSE),"")</f>
        <v>#REF!</v>
      </c>
      <c r="K447" s="222"/>
    </row>
    <row r="448" spans="1:11" ht="45">
      <c r="A448" s="20">
        <v>88628</v>
      </c>
      <c r="B448" s="70" t="s">
        <v>1804</v>
      </c>
      <c r="C448" s="21" t="s">
        <v>12</v>
      </c>
      <c r="D448" s="21" t="s">
        <v>35</v>
      </c>
      <c r="E448" s="22">
        <v>1.4999999999999999E-2</v>
      </c>
      <c r="F448" s="22">
        <f>H448</f>
        <v>389.36799999999999</v>
      </c>
      <c r="G448" s="22">
        <f>ROUND(F448*E448,2)</f>
        <v>5.84</v>
      </c>
      <c r="H448" s="337">
        <v>389.36799999999999</v>
      </c>
      <c r="I448" s="23" t="e">
        <f>IF(A448&lt;&gt;0,VLOOKUP(A448,#REF!,2,FALSE),"")</f>
        <v>#REF!</v>
      </c>
      <c r="K448" s="222"/>
    </row>
    <row r="449" spans="1:11" ht="15" customHeight="1">
      <c r="A449" s="719" t="s">
        <v>1893</v>
      </c>
      <c r="B449" s="719"/>
      <c r="C449" s="719"/>
      <c r="D449" s="719"/>
      <c r="E449" s="719"/>
      <c r="F449" s="719"/>
      <c r="G449" s="71">
        <f>ROUND(SUM(G446:G448),2)</f>
        <v>27.41</v>
      </c>
      <c r="K449" s="222"/>
    </row>
    <row r="450" spans="1:11" ht="25.5" customHeight="1">
      <c r="A450" s="72"/>
      <c r="B450" s="72"/>
      <c r="C450" s="752"/>
      <c r="D450" s="753"/>
      <c r="E450" s="72"/>
      <c r="F450" s="72"/>
      <c r="G450" s="72"/>
      <c r="K450" s="222"/>
    </row>
    <row r="451" spans="1:11" ht="54.75" customHeight="1">
      <c r="A451" s="612" t="s">
        <v>2085</v>
      </c>
      <c r="B451" s="613"/>
      <c r="C451" s="613"/>
      <c r="D451" s="613"/>
      <c r="E451" s="613"/>
      <c r="F451" s="67" t="s">
        <v>70</v>
      </c>
      <c r="G451" s="80"/>
      <c r="K451" s="222"/>
    </row>
    <row r="452" spans="1:11" ht="28.5">
      <c r="A452" s="623" t="s">
        <v>1916</v>
      </c>
      <c r="B452" s="624"/>
      <c r="C452" s="69" t="s">
        <v>3</v>
      </c>
      <c r="D452" s="69" t="s">
        <v>4</v>
      </c>
      <c r="E452" s="69" t="s">
        <v>1826</v>
      </c>
      <c r="F452" s="69" t="s">
        <v>367</v>
      </c>
      <c r="G452" s="69" t="s">
        <v>368</v>
      </c>
      <c r="K452" s="222"/>
    </row>
    <row r="453" spans="1:11">
      <c r="A453" s="20">
        <v>88316</v>
      </c>
      <c r="B453" s="70" t="e">
        <f>I453</f>
        <v>#REF!</v>
      </c>
      <c r="C453" s="21" t="s">
        <v>12</v>
      </c>
      <c r="D453" s="21" t="s">
        <v>19</v>
      </c>
      <c r="E453" s="22">
        <v>20</v>
      </c>
      <c r="F453" s="22">
        <f t="shared" ref="F453:F459" si="48">H453</f>
        <v>11.798000000000002</v>
      </c>
      <c r="G453" s="22">
        <f t="shared" ref="G453:G459" si="49">ROUND(F453*E453,2)</f>
        <v>235.96</v>
      </c>
      <c r="H453" s="337">
        <v>11.798000000000002</v>
      </c>
      <c r="I453" s="23" t="e">
        <f>IF(A453&lt;&gt;0,VLOOKUP(A453,#REF!,2,FALSE),"")</f>
        <v>#REF!</v>
      </c>
      <c r="K453" s="222"/>
    </row>
    <row r="454" spans="1:11">
      <c r="A454" s="20">
        <v>88309</v>
      </c>
      <c r="B454" s="70" t="e">
        <f>I454</f>
        <v>#REF!</v>
      </c>
      <c r="C454" s="21" t="s">
        <v>12</v>
      </c>
      <c r="D454" s="21" t="s">
        <v>19</v>
      </c>
      <c r="E454" s="22">
        <v>1.2</v>
      </c>
      <c r="F454" s="22">
        <f t="shared" si="48"/>
        <v>15.121499999999999</v>
      </c>
      <c r="G454" s="22">
        <f t="shared" si="49"/>
        <v>18.149999999999999</v>
      </c>
      <c r="H454" s="337">
        <v>15.121499999999999</v>
      </c>
      <c r="I454" s="23" t="e">
        <f>IF(A454&lt;&gt;0,VLOOKUP(A454,#REF!,2,FALSE),"")</f>
        <v>#REF!</v>
      </c>
      <c r="K454" s="222"/>
    </row>
    <row r="455" spans="1:11" ht="30">
      <c r="A455" s="20">
        <v>370</v>
      </c>
      <c r="B455" s="70" t="s">
        <v>396</v>
      </c>
      <c r="C455" s="21" t="s">
        <v>12</v>
      </c>
      <c r="D455" s="21" t="s">
        <v>35</v>
      </c>
      <c r="E455" s="22">
        <v>0.05</v>
      </c>
      <c r="F455" s="22">
        <f t="shared" si="48"/>
        <v>42.5</v>
      </c>
      <c r="G455" s="22">
        <f t="shared" si="49"/>
        <v>2.13</v>
      </c>
      <c r="H455" s="337">
        <v>42.5</v>
      </c>
      <c r="I455" s="23" t="e">
        <f>IF(A455&lt;&gt;0,VLOOKUP(A455,#REF!,2,FALSE),"")</f>
        <v>#REF!</v>
      </c>
      <c r="K455" s="222"/>
    </row>
    <row r="456" spans="1:11" ht="30">
      <c r="A456" s="20">
        <v>4729</v>
      </c>
      <c r="B456" s="70" t="s">
        <v>467</v>
      </c>
      <c r="C456" s="21" t="s">
        <v>12</v>
      </c>
      <c r="D456" s="21" t="s">
        <v>35</v>
      </c>
      <c r="E456" s="22">
        <v>5.8500000000000003E-2</v>
      </c>
      <c r="F456" s="22">
        <f t="shared" si="48"/>
        <v>78.8035</v>
      </c>
      <c r="G456" s="22">
        <f t="shared" si="49"/>
        <v>4.6100000000000003</v>
      </c>
      <c r="H456" s="337">
        <v>78.8035</v>
      </c>
      <c r="I456" s="23" t="e">
        <f>IF(A456&lt;&gt;0,VLOOKUP(A456,#REF!,2,FALSE),"")</f>
        <v>#REF!</v>
      </c>
      <c r="K456" s="222"/>
    </row>
    <row r="457" spans="1:11">
      <c r="A457" s="20">
        <v>1379</v>
      </c>
      <c r="B457" s="70" t="s">
        <v>397</v>
      </c>
      <c r="C457" s="21" t="s">
        <v>12</v>
      </c>
      <c r="D457" s="21" t="s">
        <v>45</v>
      </c>
      <c r="E457" s="22">
        <v>20</v>
      </c>
      <c r="F457" s="22">
        <f t="shared" si="48"/>
        <v>0.60349999999999993</v>
      </c>
      <c r="G457" s="22">
        <f t="shared" si="49"/>
        <v>12.07</v>
      </c>
      <c r="H457" s="337">
        <v>0.60349999999999993</v>
      </c>
      <c r="I457" s="23" t="e">
        <f>IF(A457&lt;&gt;0,VLOOKUP(A457,#REF!,2,FALSE),"")</f>
        <v>#REF!</v>
      </c>
      <c r="K457" s="222"/>
    </row>
    <row r="458" spans="1:11" ht="45">
      <c r="A458" s="20">
        <v>4408</v>
      </c>
      <c r="B458" s="70" t="s">
        <v>468</v>
      </c>
      <c r="C458" s="21" t="s">
        <v>12</v>
      </c>
      <c r="D458" s="21" t="s">
        <v>52</v>
      </c>
      <c r="E458" s="22">
        <v>20</v>
      </c>
      <c r="F458" s="22">
        <f t="shared" si="48"/>
        <v>1.615</v>
      </c>
      <c r="G458" s="22">
        <f t="shared" si="49"/>
        <v>32.299999999999997</v>
      </c>
      <c r="H458" s="337">
        <v>1.615</v>
      </c>
      <c r="I458" s="23" t="e">
        <f>IF(A458&lt;&gt;0,VLOOKUP(A458,#REF!,2,FALSE),"")</f>
        <v>#REF!</v>
      </c>
      <c r="K458" s="222"/>
    </row>
    <row r="459" spans="1:11" ht="60">
      <c r="A459" s="20">
        <v>89225</v>
      </c>
      <c r="B459" s="70" t="s">
        <v>1805</v>
      </c>
      <c r="C459" s="21" t="s">
        <v>12</v>
      </c>
      <c r="D459" s="21" t="s">
        <v>388</v>
      </c>
      <c r="E459" s="22">
        <v>1.62</v>
      </c>
      <c r="F459" s="22">
        <f t="shared" si="48"/>
        <v>4.0374999999999996</v>
      </c>
      <c r="G459" s="22">
        <f t="shared" si="49"/>
        <v>6.54</v>
      </c>
      <c r="H459" s="337">
        <v>4.0374999999999996</v>
      </c>
      <c r="I459" s="23" t="e">
        <f>IF(A459&lt;&gt;0,VLOOKUP(A459,#REF!,2,FALSE),"")</f>
        <v>#REF!</v>
      </c>
      <c r="K459" s="222"/>
    </row>
    <row r="460" spans="1:11" ht="15" customHeight="1">
      <c r="A460" s="719" t="s">
        <v>1893</v>
      </c>
      <c r="B460" s="719"/>
      <c r="C460" s="719"/>
      <c r="D460" s="719"/>
      <c r="E460" s="719"/>
      <c r="F460" s="719"/>
      <c r="G460" s="71">
        <f>ROUND(SUM(G453:G459),2)</f>
        <v>311.76</v>
      </c>
      <c r="K460" s="222"/>
    </row>
    <row r="461" spans="1:11" ht="27.75" customHeight="1">
      <c r="A461" s="72"/>
      <c r="B461" s="72"/>
      <c r="C461" s="752"/>
      <c r="D461" s="753"/>
      <c r="E461" s="72"/>
      <c r="F461" s="72"/>
      <c r="G461" s="72"/>
      <c r="K461" s="222"/>
    </row>
    <row r="462" spans="1:11" ht="27" customHeight="1">
      <c r="A462" s="612" t="s">
        <v>2090</v>
      </c>
      <c r="B462" s="613"/>
      <c r="C462" s="613"/>
      <c r="D462" s="613"/>
      <c r="E462" s="718"/>
      <c r="F462" s="67" t="s">
        <v>70</v>
      </c>
      <c r="G462" s="80"/>
      <c r="K462" s="222"/>
    </row>
    <row r="463" spans="1:11" ht="28.5">
      <c r="A463" s="623" t="s">
        <v>1916</v>
      </c>
      <c r="B463" s="624"/>
      <c r="C463" s="69" t="s">
        <v>3</v>
      </c>
      <c r="D463" s="69" t="s">
        <v>4</v>
      </c>
      <c r="E463" s="69" t="s">
        <v>1826</v>
      </c>
      <c r="F463" s="69" t="s">
        <v>367</v>
      </c>
      <c r="G463" s="69" t="s">
        <v>368</v>
      </c>
      <c r="K463" s="222"/>
    </row>
    <row r="464" spans="1:11" ht="30">
      <c r="A464" s="20">
        <v>119</v>
      </c>
      <c r="B464" s="70" t="s">
        <v>469</v>
      </c>
      <c r="C464" s="21" t="s">
        <v>12</v>
      </c>
      <c r="D464" s="21" t="s">
        <v>17</v>
      </c>
      <c r="E464" s="22">
        <v>4.0000000000000001E-3</v>
      </c>
      <c r="F464" s="22">
        <f>H464</f>
        <v>6.1539999999999999</v>
      </c>
      <c r="G464" s="22">
        <f>ROUND(F464*E464,2)</f>
        <v>0.02</v>
      </c>
      <c r="H464" s="337">
        <v>6.1539999999999999</v>
      </c>
      <c r="I464" s="23" t="e">
        <f>IF(A464&lt;&gt;0,VLOOKUP(A464,#REF!,2,FALSE),"")</f>
        <v>#REF!</v>
      </c>
      <c r="K464" s="222"/>
    </row>
    <row r="465" spans="1:11" ht="45">
      <c r="A465" s="20">
        <v>108</v>
      </c>
      <c r="B465" s="70" t="s">
        <v>470</v>
      </c>
      <c r="C465" s="21" t="s">
        <v>12</v>
      </c>
      <c r="D465" s="21" t="s">
        <v>17</v>
      </c>
      <c r="E465" s="22">
        <v>1</v>
      </c>
      <c r="F465" s="22">
        <f>H465</f>
        <v>1.6915</v>
      </c>
      <c r="G465" s="22">
        <f>ROUND(F465*E465,2)</f>
        <v>1.69</v>
      </c>
      <c r="H465" s="337">
        <v>1.6915</v>
      </c>
      <c r="I465" s="23" t="e">
        <f>IF(A465&lt;&gt;0,VLOOKUP(A465,#REF!,2,FALSE),"")</f>
        <v>#REF!</v>
      </c>
      <c r="K465" s="222"/>
    </row>
    <row r="466" spans="1:11" ht="30">
      <c r="A466" s="20">
        <v>3146</v>
      </c>
      <c r="B466" s="70" t="s">
        <v>471</v>
      </c>
      <c r="C466" s="21" t="s">
        <v>12</v>
      </c>
      <c r="D466" s="21" t="s">
        <v>17</v>
      </c>
      <c r="E466" s="22">
        <v>0.05</v>
      </c>
      <c r="F466" s="22">
        <f>H466</f>
        <v>3.06</v>
      </c>
      <c r="G466" s="22">
        <f>ROUND(F466*E466,2)</f>
        <v>0.15</v>
      </c>
      <c r="H466" s="337">
        <v>3.06</v>
      </c>
      <c r="I466" s="23" t="e">
        <f>IF(A466&lt;&gt;0,VLOOKUP(A466,#REF!,2,FALSE),"")</f>
        <v>#REF!</v>
      </c>
      <c r="K466" s="222"/>
    </row>
    <row r="467" spans="1:11" ht="30">
      <c r="A467" s="20">
        <v>88267</v>
      </c>
      <c r="B467" s="70" t="s">
        <v>472</v>
      </c>
      <c r="C467" s="21" t="s">
        <v>12</v>
      </c>
      <c r="D467" s="21" t="s">
        <v>19</v>
      </c>
      <c r="E467" s="22">
        <v>0.09</v>
      </c>
      <c r="F467" s="22">
        <f>H467</f>
        <v>14.7135</v>
      </c>
      <c r="G467" s="22">
        <f>ROUND(F467*E467,2)</f>
        <v>1.32</v>
      </c>
      <c r="H467" s="337">
        <v>14.7135</v>
      </c>
      <c r="I467" s="23" t="e">
        <f>IF(A467&lt;&gt;0,VLOOKUP(A467,#REF!,2,FALSE),"")</f>
        <v>#REF!</v>
      </c>
      <c r="K467" s="222"/>
    </row>
    <row r="468" spans="1:11" ht="45">
      <c r="A468" s="20">
        <v>88248</v>
      </c>
      <c r="B468" s="70" t="s">
        <v>473</v>
      </c>
      <c r="C468" s="21" t="s">
        <v>12</v>
      </c>
      <c r="D468" s="21" t="s">
        <v>19</v>
      </c>
      <c r="E468" s="22">
        <v>0.09</v>
      </c>
      <c r="F468" s="22">
        <f>H468</f>
        <v>11.483499999999999</v>
      </c>
      <c r="G468" s="22">
        <f>ROUND(F468*E468,2)</f>
        <v>1.03</v>
      </c>
      <c r="H468" s="337">
        <v>11.483499999999999</v>
      </c>
      <c r="I468" s="23" t="e">
        <f>IF(A468&lt;&gt;0,VLOOKUP(A468,#REF!,2,FALSE),"")</f>
        <v>#REF!</v>
      </c>
      <c r="K468" s="222"/>
    </row>
    <row r="469" spans="1:11" ht="15" customHeight="1">
      <c r="A469" s="719" t="s">
        <v>1893</v>
      </c>
      <c r="B469" s="719"/>
      <c r="C469" s="719"/>
      <c r="D469" s="719"/>
      <c r="E469" s="719"/>
      <c r="F469" s="719"/>
      <c r="G469" s="71">
        <f>ROUND(SUM(G464:G468),2)</f>
        <v>4.21</v>
      </c>
      <c r="K469" s="222"/>
    </row>
    <row r="470" spans="1:11" ht="21.75" customHeight="1">
      <c r="A470" s="72"/>
      <c r="B470" s="72"/>
      <c r="C470" s="752"/>
      <c r="D470" s="753"/>
      <c r="E470" s="72"/>
      <c r="F470" s="72"/>
      <c r="G470" s="72"/>
      <c r="K470" s="222"/>
    </row>
    <row r="471" spans="1:11" ht="25.5" customHeight="1">
      <c r="A471" s="612" t="s">
        <v>2091</v>
      </c>
      <c r="B471" s="613"/>
      <c r="C471" s="613"/>
      <c r="D471" s="613"/>
      <c r="E471" s="613"/>
      <c r="F471" s="67" t="s">
        <v>70</v>
      </c>
      <c r="G471" s="80"/>
      <c r="K471" s="222"/>
    </row>
    <row r="472" spans="1:11" ht="28.5">
      <c r="A472" s="623" t="s">
        <v>1916</v>
      </c>
      <c r="B472" s="624"/>
      <c r="C472" s="69" t="s">
        <v>3</v>
      </c>
      <c r="D472" s="69" t="s">
        <v>4</v>
      </c>
      <c r="E472" s="69" t="s">
        <v>1826</v>
      </c>
      <c r="F472" s="69" t="s">
        <v>367</v>
      </c>
      <c r="G472" s="69" t="s">
        <v>368</v>
      </c>
      <c r="K472" s="222"/>
    </row>
    <row r="473" spans="1:11" ht="45">
      <c r="A473" s="20">
        <v>110</v>
      </c>
      <c r="B473" s="70" t="s">
        <v>474</v>
      </c>
      <c r="C473" s="21" t="s">
        <v>12</v>
      </c>
      <c r="D473" s="21" t="s">
        <v>17</v>
      </c>
      <c r="E473" s="22">
        <v>1</v>
      </c>
      <c r="F473" s="22">
        <f>H473</f>
        <v>6.5449999999999999</v>
      </c>
      <c r="G473" s="22">
        <f>ROUND(F473*E473,2)</f>
        <v>6.55</v>
      </c>
      <c r="H473" s="337">
        <v>6.5449999999999999</v>
      </c>
      <c r="I473" s="23" t="e">
        <f>IF(A473&lt;&gt;0,VLOOKUP(A473,#REF!,2,FALSE),"")</f>
        <v>#REF!</v>
      </c>
      <c r="K473" s="222"/>
    </row>
    <row r="474" spans="1:11" ht="30">
      <c r="A474" s="20">
        <v>119</v>
      </c>
      <c r="B474" s="70" t="s">
        <v>469</v>
      </c>
      <c r="C474" s="21" t="s">
        <v>12</v>
      </c>
      <c r="D474" s="21" t="s">
        <v>17</v>
      </c>
      <c r="E474" s="22">
        <v>0.02</v>
      </c>
      <c r="F474" s="22">
        <f>H474</f>
        <v>6.1539999999999999</v>
      </c>
      <c r="G474" s="22">
        <f>ROUND(F474*E474,2)</f>
        <v>0.12</v>
      </c>
      <c r="H474" s="337">
        <v>6.1539999999999999</v>
      </c>
      <c r="I474" s="23" t="e">
        <f>IF(A474&lt;&gt;0,VLOOKUP(A474,#REF!,2,FALSE),"")</f>
        <v>#REF!</v>
      </c>
      <c r="K474" s="222"/>
    </row>
    <row r="475" spans="1:11" ht="30">
      <c r="A475" s="20">
        <v>3146</v>
      </c>
      <c r="B475" s="70" t="s">
        <v>471</v>
      </c>
      <c r="C475" s="21" t="s">
        <v>12</v>
      </c>
      <c r="D475" s="21" t="s">
        <v>17</v>
      </c>
      <c r="E475" s="22">
        <v>0.06</v>
      </c>
      <c r="F475" s="22">
        <f>H475</f>
        <v>3.06</v>
      </c>
      <c r="G475" s="22">
        <f>ROUND(F475*E475,2)</f>
        <v>0.18</v>
      </c>
      <c r="H475" s="337">
        <v>3.06</v>
      </c>
      <c r="I475" s="23" t="e">
        <f>IF(A475&lt;&gt;0,VLOOKUP(A475,#REF!,2,FALSE),"")</f>
        <v>#REF!</v>
      </c>
      <c r="K475" s="222"/>
    </row>
    <row r="476" spans="1:11" ht="30">
      <c r="A476" s="20">
        <v>88267</v>
      </c>
      <c r="B476" s="70" t="s">
        <v>472</v>
      </c>
      <c r="C476" s="21" t="s">
        <v>12</v>
      </c>
      <c r="D476" s="21" t="s">
        <v>19</v>
      </c>
      <c r="E476" s="22">
        <v>0.15</v>
      </c>
      <c r="F476" s="22">
        <f>H476</f>
        <v>14.7135</v>
      </c>
      <c r="G476" s="22">
        <f>ROUND(F476*E476,2)</f>
        <v>2.21</v>
      </c>
      <c r="H476" s="337">
        <v>14.7135</v>
      </c>
      <c r="I476" s="23" t="e">
        <f>IF(A476&lt;&gt;0,VLOOKUP(A476,#REF!,2,FALSE),"")</f>
        <v>#REF!</v>
      </c>
      <c r="K476" s="222"/>
    </row>
    <row r="477" spans="1:11" ht="45">
      <c r="A477" s="20">
        <v>88248</v>
      </c>
      <c r="B477" s="70" t="s">
        <v>473</v>
      </c>
      <c r="C477" s="21" t="s">
        <v>12</v>
      </c>
      <c r="D477" s="21" t="s">
        <v>19</v>
      </c>
      <c r="E477" s="22">
        <v>0.15</v>
      </c>
      <c r="F477" s="22">
        <f>H477</f>
        <v>11.483499999999999</v>
      </c>
      <c r="G477" s="22">
        <f>ROUND(F477*E477,2)</f>
        <v>1.72</v>
      </c>
      <c r="H477" s="337">
        <v>11.483499999999999</v>
      </c>
      <c r="I477" s="23" t="e">
        <f>IF(A477&lt;&gt;0,VLOOKUP(A477,#REF!,2,FALSE),"")</f>
        <v>#REF!</v>
      </c>
      <c r="K477" s="222"/>
    </row>
    <row r="478" spans="1:11" ht="15" customHeight="1">
      <c r="A478" s="719" t="s">
        <v>1893</v>
      </c>
      <c r="B478" s="719"/>
      <c r="C478" s="719"/>
      <c r="D478" s="719"/>
      <c r="E478" s="719"/>
      <c r="F478" s="719"/>
      <c r="G478" s="71">
        <f>ROUND(SUM(G473:G477),2)</f>
        <v>10.78</v>
      </c>
      <c r="K478" s="222"/>
    </row>
    <row r="479" spans="1:11" ht="21" customHeight="1">
      <c r="A479" s="72"/>
      <c r="B479" s="72"/>
      <c r="C479" s="752"/>
      <c r="D479" s="753"/>
      <c r="E479" s="72"/>
      <c r="F479" s="72"/>
      <c r="G479" s="72"/>
      <c r="K479" s="222"/>
    </row>
    <row r="480" spans="1:11" ht="20.25" customHeight="1">
      <c r="A480" s="612" t="s">
        <v>2092</v>
      </c>
      <c r="B480" s="613"/>
      <c r="C480" s="613"/>
      <c r="D480" s="613"/>
      <c r="E480" s="613"/>
      <c r="F480" s="67" t="s">
        <v>70</v>
      </c>
      <c r="G480" s="80"/>
      <c r="K480" s="222"/>
    </row>
    <row r="481" spans="1:11" ht="28.5">
      <c r="A481" s="623" t="s">
        <v>1916</v>
      </c>
      <c r="B481" s="624"/>
      <c r="C481" s="69" t="s">
        <v>3</v>
      </c>
      <c r="D481" s="69" t="s">
        <v>4</v>
      </c>
      <c r="E481" s="69" t="s">
        <v>1826</v>
      </c>
      <c r="F481" s="69" t="s">
        <v>367</v>
      </c>
      <c r="G481" s="69" t="s">
        <v>368</v>
      </c>
      <c r="K481" s="222"/>
    </row>
    <row r="482" spans="1:11" ht="30">
      <c r="A482" s="20">
        <v>20080</v>
      </c>
      <c r="B482" s="70" t="s">
        <v>475</v>
      </c>
      <c r="C482" s="21" t="s">
        <v>12</v>
      </c>
      <c r="D482" s="21" t="s">
        <v>17</v>
      </c>
      <c r="E482" s="22">
        <v>3.5000000000000003E-2</v>
      </c>
      <c r="F482" s="22">
        <f>H482</f>
        <v>17.646000000000001</v>
      </c>
      <c r="G482" s="22">
        <f>ROUND(F482*E482,2)</f>
        <v>0.62</v>
      </c>
      <c r="H482" s="337">
        <v>17.646000000000001</v>
      </c>
      <c r="I482" s="23" t="e">
        <f>IF(A482&lt;&gt;0,VLOOKUP(A482,#REF!,2,FALSE),"")</f>
        <v>#REF!</v>
      </c>
      <c r="K482" s="222"/>
    </row>
    <row r="483" spans="1:11" ht="45">
      <c r="A483" s="20">
        <v>113</v>
      </c>
      <c r="B483" s="70" t="s">
        <v>476</v>
      </c>
      <c r="C483" s="21" t="s">
        <v>12</v>
      </c>
      <c r="D483" s="21" t="s">
        <v>17</v>
      </c>
      <c r="E483" s="22">
        <v>1</v>
      </c>
      <c r="F483" s="22">
        <f>H483</f>
        <v>11.1435</v>
      </c>
      <c r="G483" s="22">
        <f>ROUND(F483*E483,2)</f>
        <v>11.14</v>
      </c>
      <c r="H483" s="337">
        <v>11.1435</v>
      </c>
      <c r="I483" s="23" t="e">
        <f>IF(A483&lt;&gt;0,VLOOKUP(A483,#REF!,2,FALSE),"")</f>
        <v>#REF!</v>
      </c>
      <c r="K483" s="222"/>
    </row>
    <row r="484" spans="1:11" ht="30">
      <c r="A484" s="20">
        <v>3146</v>
      </c>
      <c r="B484" s="70" t="s">
        <v>471</v>
      </c>
      <c r="C484" s="21" t="s">
        <v>12</v>
      </c>
      <c r="D484" s="21" t="s">
        <v>17</v>
      </c>
      <c r="E484" s="22">
        <v>7.4999999999999997E-2</v>
      </c>
      <c r="F484" s="22">
        <f>H484</f>
        <v>3.06</v>
      </c>
      <c r="G484" s="22">
        <f>ROUND(F484*E484,2)</f>
        <v>0.23</v>
      </c>
      <c r="H484" s="337">
        <v>3.06</v>
      </c>
      <c r="I484" s="23" t="e">
        <f>IF(A484&lt;&gt;0,VLOOKUP(A484,#REF!,2,FALSE),"")</f>
        <v>#REF!</v>
      </c>
      <c r="K484" s="222"/>
    </row>
    <row r="485" spans="1:11" ht="30">
      <c r="A485" s="20">
        <v>88267</v>
      </c>
      <c r="B485" s="70" t="s">
        <v>472</v>
      </c>
      <c r="C485" s="21" t="s">
        <v>12</v>
      </c>
      <c r="D485" s="21" t="s">
        <v>19</v>
      </c>
      <c r="E485" s="22">
        <v>0.15</v>
      </c>
      <c r="F485" s="22">
        <f>H485</f>
        <v>14.7135</v>
      </c>
      <c r="G485" s="22">
        <f>ROUND(F485*E485,2)</f>
        <v>2.21</v>
      </c>
      <c r="H485" s="337">
        <v>14.7135</v>
      </c>
      <c r="I485" s="23" t="e">
        <f>IF(A485&lt;&gt;0,VLOOKUP(A485,#REF!,2,FALSE),"")</f>
        <v>#REF!</v>
      </c>
      <c r="K485" s="222"/>
    </row>
    <row r="486" spans="1:11" ht="45">
      <c r="A486" s="20">
        <v>88248</v>
      </c>
      <c r="B486" s="70" t="s">
        <v>473</v>
      </c>
      <c r="C486" s="21" t="s">
        <v>12</v>
      </c>
      <c r="D486" s="21" t="s">
        <v>19</v>
      </c>
      <c r="E486" s="22">
        <v>0.15</v>
      </c>
      <c r="F486" s="22">
        <f>H486</f>
        <v>11.483499999999999</v>
      </c>
      <c r="G486" s="22">
        <f>ROUND(F486*E486,2)</f>
        <v>1.72</v>
      </c>
      <c r="H486" s="337">
        <v>11.483499999999999</v>
      </c>
      <c r="I486" s="23" t="e">
        <f>IF(A486&lt;&gt;0,VLOOKUP(A486,#REF!,2,FALSE),"")</f>
        <v>#REF!</v>
      </c>
      <c r="K486" s="222"/>
    </row>
    <row r="487" spans="1:11" ht="15" customHeight="1">
      <c r="A487" s="719" t="s">
        <v>1893</v>
      </c>
      <c r="B487" s="719"/>
      <c r="C487" s="719"/>
      <c r="D487" s="719"/>
      <c r="E487" s="719"/>
      <c r="F487" s="719"/>
      <c r="G487" s="71">
        <f>ROUND(SUM(G482:G486),2)</f>
        <v>15.92</v>
      </c>
      <c r="K487" s="222"/>
    </row>
    <row r="488" spans="1:11" ht="24.75" customHeight="1">
      <c r="A488" s="72"/>
      <c r="B488" s="72"/>
      <c r="C488" s="752"/>
      <c r="D488" s="753"/>
      <c r="E488" s="72"/>
      <c r="F488" s="72"/>
      <c r="G488" s="72"/>
      <c r="K488" s="222"/>
    </row>
    <row r="489" spans="1:11">
      <c r="A489" s="72"/>
      <c r="B489" s="72"/>
      <c r="C489" s="752"/>
      <c r="D489" s="753"/>
      <c r="E489" s="72"/>
      <c r="F489" s="72"/>
      <c r="G489" s="72"/>
      <c r="K489" s="222"/>
    </row>
    <row r="490" spans="1:11" ht="21" customHeight="1">
      <c r="A490" s="612" t="s">
        <v>3435</v>
      </c>
      <c r="B490" s="613"/>
      <c r="C490" s="613"/>
      <c r="D490" s="613"/>
      <c r="E490" s="613"/>
      <c r="F490" s="67" t="s">
        <v>1914</v>
      </c>
      <c r="G490" s="87">
        <v>11880</v>
      </c>
      <c r="K490" s="222"/>
    </row>
    <row r="491" spans="1:11" ht="28.5">
      <c r="A491" s="623" t="s">
        <v>1916</v>
      </c>
      <c r="B491" s="624"/>
      <c r="C491" s="69" t="s">
        <v>3</v>
      </c>
      <c r="D491" s="69" t="s">
        <v>4</v>
      </c>
      <c r="E491" s="69" t="s">
        <v>1826</v>
      </c>
      <c r="F491" s="69" t="s">
        <v>367</v>
      </c>
      <c r="G491" s="69" t="s">
        <v>368</v>
      </c>
      <c r="K491" s="222"/>
    </row>
    <row r="492" spans="1:11" ht="30">
      <c r="A492" s="20">
        <v>122</v>
      </c>
      <c r="B492" s="70" t="s">
        <v>477</v>
      </c>
      <c r="C492" s="21" t="s">
        <v>12</v>
      </c>
      <c r="D492" s="21" t="s">
        <v>17</v>
      </c>
      <c r="E492" s="22">
        <v>1.4800000000000001E-2</v>
      </c>
      <c r="F492" s="22">
        <f>H492</f>
        <v>55.59</v>
      </c>
      <c r="G492" s="22">
        <f>ROUND(F492*E492,2)</f>
        <v>0.82</v>
      </c>
      <c r="H492" s="337">
        <v>55.59</v>
      </c>
      <c r="I492" s="23" t="e">
        <f>IF(A492&lt;&gt;0,VLOOKUP(A492,#REF!,2,FALSE),"")</f>
        <v>#REF!</v>
      </c>
      <c r="K492" s="222"/>
    </row>
    <row r="493" spans="1:11" ht="60">
      <c r="A493" s="20">
        <v>20078</v>
      </c>
      <c r="B493" s="70" t="s">
        <v>478</v>
      </c>
      <c r="C493" s="21" t="s">
        <v>12</v>
      </c>
      <c r="D493" s="21" t="s">
        <v>17</v>
      </c>
      <c r="E493" s="22">
        <v>0.02</v>
      </c>
      <c r="F493" s="22">
        <f t="shared" ref="F493:F499" si="50">H493</f>
        <v>20.349</v>
      </c>
      <c r="G493" s="22">
        <f t="shared" ref="G493:G499" si="51">ROUND(F493*E493,2)</f>
        <v>0.41</v>
      </c>
      <c r="H493" s="337">
        <v>20.349</v>
      </c>
      <c r="I493" s="23" t="e">
        <f>IF(A493&lt;&gt;0,VLOOKUP(A493,#REF!,2,FALSE),"")</f>
        <v>#REF!</v>
      </c>
      <c r="K493" s="222"/>
    </row>
    <row r="494" spans="1:11" ht="30">
      <c r="A494" s="20">
        <v>20083</v>
      </c>
      <c r="B494" s="70" t="s">
        <v>479</v>
      </c>
      <c r="C494" s="21" t="s">
        <v>12</v>
      </c>
      <c r="D494" s="21" t="s">
        <v>17</v>
      </c>
      <c r="E494" s="22">
        <v>2.2499999999999999E-2</v>
      </c>
      <c r="F494" s="22">
        <f t="shared" si="50"/>
        <v>48.271500000000003</v>
      </c>
      <c r="G494" s="22">
        <f t="shared" si="51"/>
        <v>1.0900000000000001</v>
      </c>
      <c r="H494" s="337">
        <v>48.271500000000003</v>
      </c>
      <c r="I494" s="23" t="e">
        <f>IF(A494&lt;&gt;0,VLOOKUP(A494,#REF!,2,FALSE),"")</f>
        <v>#REF!</v>
      </c>
      <c r="K494" s="222"/>
    </row>
    <row r="495" spans="1:11" ht="30">
      <c r="A495" s="20">
        <v>20085</v>
      </c>
      <c r="B495" s="70" t="s">
        <v>481</v>
      </c>
      <c r="C495" s="21" t="s">
        <v>12</v>
      </c>
      <c r="D495" s="21" t="s">
        <v>17</v>
      </c>
      <c r="E495" s="22">
        <v>1</v>
      </c>
      <c r="F495" s="22">
        <f t="shared" si="50"/>
        <v>1.4790000000000001</v>
      </c>
      <c r="G495" s="22">
        <f t="shared" si="51"/>
        <v>1.48</v>
      </c>
      <c r="H495" s="337">
        <v>1.4790000000000001</v>
      </c>
      <c r="I495" s="23" t="e">
        <f>IF(A495&lt;&gt;0,VLOOKUP(A495,#REF!,2,FALSE),"")</f>
        <v>#REF!</v>
      </c>
      <c r="K495" s="222"/>
    </row>
    <row r="496" spans="1:11">
      <c r="A496" s="20">
        <v>38383</v>
      </c>
      <c r="B496" s="70" t="s">
        <v>480</v>
      </c>
      <c r="C496" s="21" t="s">
        <v>12</v>
      </c>
      <c r="D496" s="21" t="s">
        <v>17</v>
      </c>
      <c r="E496" s="22">
        <v>3.6499999999999998E-2</v>
      </c>
      <c r="F496" s="22">
        <f t="shared" si="50"/>
        <v>1.649</v>
      </c>
      <c r="G496" s="22">
        <f t="shared" si="51"/>
        <v>0.06</v>
      </c>
      <c r="H496" s="337">
        <v>1.649</v>
      </c>
      <c r="I496" s="23" t="e">
        <f>IF(A496&lt;&gt;0,VLOOKUP(A496,#REF!,2,FALSE),"")</f>
        <v>#REF!</v>
      </c>
      <c r="K496" s="222"/>
    </row>
    <row r="497" spans="1:11" ht="45">
      <c r="A497" s="20">
        <v>11880</v>
      </c>
      <c r="B497" s="70" t="s">
        <v>482</v>
      </c>
      <c r="C497" s="21" t="s">
        <v>12</v>
      </c>
      <c r="D497" s="21" t="s">
        <v>17</v>
      </c>
      <c r="E497" s="22">
        <v>1</v>
      </c>
      <c r="F497" s="22">
        <f t="shared" si="50"/>
        <v>56.210499999999996</v>
      </c>
      <c r="G497" s="22">
        <f t="shared" si="51"/>
        <v>56.21</v>
      </c>
      <c r="H497" s="337">
        <v>56.210499999999996</v>
      </c>
      <c r="I497" s="23" t="e">
        <f>IF(A497&lt;&gt;0,VLOOKUP(A497,#REF!,2,FALSE),"")</f>
        <v>#REF!</v>
      </c>
      <c r="K497" s="222"/>
    </row>
    <row r="498" spans="1:11" ht="45">
      <c r="A498" s="20">
        <v>88248</v>
      </c>
      <c r="B498" s="70" t="s">
        <v>473</v>
      </c>
      <c r="C498" s="21" t="s">
        <v>12</v>
      </c>
      <c r="D498" s="21" t="s">
        <v>19</v>
      </c>
      <c r="E498" s="22">
        <v>0.13500000000000001</v>
      </c>
      <c r="F498" s="22">
        <f t="shared" si="50"/>
        <v>11.483499999999999</v>
      </c>
      <c r="G498" s="22">
        <f t="shared" si="51"/>
        <v>1.55</v>
      </c>
      <c r="H498" s="337">
        <v>11.483499999999999</v>
      </c>
      <c r="I498" s="23" t="e">
        <f>IF(A498&lt;&gt;0,VLOOKUP(A498,#REF!,2,FALSE),"")</f>
        <v>#REF!</v>
      </c>
      <c r="K498" s="222"/>
    </row>
    <row r="499" spans="1:11" ht="30">
      <c r="A499" s="20">
        <v>88267</v>
      </c>
      <c r="B499" s="70" t="s">
        <v>472</v>
      </c>
      <c r="C499" s="21" t="s">
        <v>12</v>
      </c>
      <c r="D499" s="21" t="s">
        <v>19</v>
      </c>
      <c r="E499" s="22">
        <v>0.13500000000000001</v>
      </c>
      <c r="F499" s="22">
        <f t="shared" si="50"/>
        <v>14.7135</v>
      </c>
      <c r="G499" s="22">
        <f t="shared" si="51"/>
        <v>1.99</v>
      </c>
      <c r="H499" s="337">
        <v>14.7135</v>
      </c>
      <c r="I499" s="23" t="e">
        <f>IF(A499&lt;&gt;0,VLOOKUP(A499,#REF!,2,FALSE),"")</f>
        <v>#REF!</v>
      </c>
      <c r="K499" s="222"/>
    </row>
    <row r="500" spans="1:11" ht="15" customHeight="1">
      <c r="A500" s="719" t="s">
        <v>1893</v>
      </c>
      <c r="B500" s="719"/>
      <c r="C500" s="719"/>
      <c r="D500" s="719"/>
      <c r="E500" s="719"/>
      <c r="F500" s="719"/>
      <c r="G500" s="71">
        <f>ROUND(SUM(G492:G499),2)</f>
        <v>63.61</v>
      </c>
      <c r="K500" s="222"/>
    </row>
    <row r="501" spans="1:11" ht="30.75" customHeight="1">
      <c r="A501" s="72"/>
      <c r="B501" s="72"/>
      <c r="C501" s="752"/>
      <c r="D501" s="753"/>
      <c r="E501" s="72"/>
      <c r="F501" s="72"/>
      <c r="G501" s="72"/>
      <c r="K501" s="222"/>
    </row>
    <row r="502" spans="1:11" ht="22.5" customHeight="1">
      <c r="A502" s="612" t="s">
        <v>2093</v>
      </c>
      <c r="B502" s="613"/>
      <c r="C502" s="613"/>
      <c r="D502" s="613"/>
      <c r="E502" s="613"/>
      <c r="F502" s="67" t="s">
        <v>1914</v>
      </c>
      <c r="G502" s="80"/>
      <c r="K502" s="222"/>
    </row>
    <row r="503" spans="1:11" ht="28.5">
      <c r="A503" s="623" t="s">
        <v>1916</v>
      </c>
      <c r="B503" s="624"/>
      <c r="C503" s="69" t="s">
        <v>3</v>
      </c>
      <c r="D503" s="69" t="s">
        <v>4</v>
      </c>
      <c r="E503" s="69" t="s">
        <v>1826</v>
      </c>
      <c r="F503" s="69" t="s">
        <v>367</v>
      </c>
      <c r="G503" s="69" t="s">
        <v>368</v>
      </c>
      <c r="K503" s="222"/>
    </row>
    <row r="504" spans="1:11" ht="30">
      <c r="A504" s="20">
        <v>11709</v>
      </c>
      <c r="B504" s="70" t="s">
        <v>483</v>
      </c>
      <c r="C504" s="21" t="s">
        <v>12</v>
      </c>
      <c r="D504" s="21" t="s">
        <v>17</v>
      </c>
      <c r="E504" s="22">
        <v>1</v>
      </c>
      <c r="F504" s="22">
        <f>H504</f>
        <v>51.076500000000003</v>
      </c>
      <c r="G504" s="22">
        <f>ROUND(F504*E504,2)</f>
        <v>51.08</v>
      </c>
      <c r="H504" s="337">
        <v>51.076500000000003</v>
      </c>
      <c r="I504" s="23" t="e">
        <f>IF(A504&lt;&gt;0,VLOOKUP(A504,#REF!,2,FALSE),"")</f>
        <v>#REF!</v>
      </c>
      <c r="K504" s="222"/>
    </row>
    <row r="505" spans="1:11" ht="30">
      <c r="A505" s="20">
        <v>88267</v>
      </c>
      <c r="B505" s="70" t="s">
        <v>472</v>
      </c>
      <c r="C505" s="21" t="s">
        <v>12</v>
      </c>
      <c r="D505" s="21" t="s">
        <v>19</v>
      </c>
      <c r="E505" s="22">
        <v>0.5</v>
      </c>
      <c r="F505" s="22">
        <f>H505</f>
        <v>14.7135</v>
      </c>
      <c r="G505" s="22">
        <f>ROUND(F505*E505,2)</f>
        <v>7.36</v>
      </c>
      <c r="H505" s="337">
        <v>14.7135</v>
      </c>
      <c r="I505" s="23" t="e">
        <f>IF(A505&lt;&gt;0,VLOOKUP(A505,#REF!,2,FALSE),"")</f>
        <v>#REF!</v>
      </c>
      <c r="K505" s="222"/>
    </row>
    <row r="506" spans="1:11" ht="30">
      <c r="A506" s="20">
        <v>88316</v>
      </c>
      <c r="B506" s="70" t="s">
        <v>377</v>
      </c>
      <c r="C506" s="21" t="s">
        <v>12</v>
      </c>
      <c r="D506" s="21" t="s">
        <v>19</v>
      </c>
      <c r="E506" s="22">
        <v>0.5</v>
      </c>
      <c r="F506" s="22">
        <f>H506</f>
        <v>11.798000000000002</v>
      </c>
      <c r="G506" s="22">
        <f>ROUND(F506*E506,2)</f>
        <v>5.9</v>
      </c>
      <c r="H506" s="337">
        <v>11.798000000000002</v>
      </c>
      <c r="I506" s="23" t="e">
        <f>IF(A506&lt;&gt;0,VLOOKUP(A506,#REF!,2,FALSE),"")</f>
        <v>#REF!</v>
      </c>
      <c r="K506" s="222"/>
    </row>
    <row r="507" spans="1:11" ht="15" customHeight="1">
      <c r="A507" s="719" t="s">
        <v>1893</v>
      </c>
      <c r="B507" s="719"/>
      <c r="C507" s="719"/>
      <c r="D507" s="719"/>
      <c r="E507" s="719"/>
      <c r="F507" s="719"/>
      <c r="G507" s="71">
        <f>ROUND(SUM(G504:G506),2)</f>
        <v>64.34</v>
      </c>
      <c r="K507" s="222"/>
    </row>
    <row r="508" spans="1:11" ht="24" customHeight="1">
      <c r="A508" s="72"/>
      <c r="B508" s="72"/>
      <c r="C508" s="752"/>
      <c r="D508" s="753"/>
      <c r="E508" s="72"/>
      <c r="F508" s="72"/>
      <c r="G508" s="72"/>
      <c r="K508" s="222"/>
    </row>
    <row r="509" spans="1:11" ht="37.5" customHeight="1">
      <c r="A509" s="612" t="s">
        <v>2095</v>
      </c>
      <c r="B509" s="613"/>
      <c r="C509" s="613"/>
      <c r="D509" s="613"/>
      <c r="E509" s="613"/>
      <c r="F509" s="67" t="s">
        <v>1914</v>
      </c>
      <c r="G509" s="80"/>
      <c r="K509" s="222"/>
    </row>
    <row r="510" spans="1:11" ht="28.5">
      <c r="A510" s="623" t="s">
        <v>1916</v>
      </c>
      <c r="B510" s="624"/>
      <c r="C510" s="69" t="s">
        <v>3</v>
      </c>
      <c r="D510" s="69" t="s">
        <v>4</v>
      </c>
      <c r="E510" s="69" t="s">
        <v>1826</v>
      </c>
      <c r="F510" s="69" t="s">
        <v>367</v>
      </c>
      <c r="G510" s="69" t="s">
        <v>368</v>
      </c>
      <c r="K510" s="222"/>
    </row>
    <row r="511" spans="1:11" ht="30">
      <c r="A511" s="20">
        <v>122</v>
      </c>
      <c r="B511" s="70" t="s">
        <v>477</v>
      </c>
      <c r="C511" s="21" t="s">
        <v>12</v>
      </c>
      <c r="D511" s="21" t="s">
        <v>17</v>
      </c>
      <c r="E511" s="22">
        <v>8.9999999999999993E-3</v>
      </c>
      <c r="F511" s="22">
        <f t="shared" ref="F511:F516" si="52">H511</f>
        <v>55.59</v>
      </c>
      <c r="G511" s="22">
        <f t="shared" ref="G511:G516" si="53">ROUND(F511*E511,2)</f>
        <v>0.5</v>
      </c>
      <c r="H511" s="337">
        <v>55.59</v>
      </c>
      <c r="I511" s="23" t="e">
        <f>IF(A511&lt;&gt;0,VLOOKUP(A511,#REF!,2,FALSE),"")</f>
        <v>#REF!</v>
      </c>
      <c r="K511" s="222"/>
    </row>
    <row r="512" spans="1:11" ht="30">
      <c r="A512" s="20">
        <v>20083</v>
      </c>
      <c r="B512" s="70" t="s">
        <v>479</v>
      </c>
      <c r="C512" s="21" t="s">
        <v>12</v>
      </c>
      <c r="D512" s="21" t="s">
        <v>17</v>
      </c>
      <c r="E512" s="22">
        <v>1.0999999999999999E-2</v>
      </c>
      <c r="F512" s="22">
        <f t="shared" si="52"/>
        <v>48.271500000000003</v>
      </c>
      <c r="G512" s="22">
        <f t="shared" si="53"/>
        <v>0.53</v>
      </c>
      <c r="H512" s="337">
        <v>48.271500000000003</v>
      </c>
      <c r="I512" s="23" t="e">
        <f>IF(A512&lt;&gt;0,VLOOKUP(A512,#REF!,2,FALSE),"")</f>
        <v>#REF!</v>
      </c>
      <c r="K512" s="222"/>
    </row>
    <row r="513" spans="1:11">
      <c r="A513" s="20">
        <v>38383</v>
      </c>
      <c r="B513" s="70" t="s">
        <v>480</v>
      </c>
      <c r="C513" s="21" t="s">
        <v>12</v>
      </c>
      <c r="D513" s="21" t="s">
        <v>17</v>
      </c>
      <c r="E513" s="22">
        <v>3.5999999999999997E-2</v>
      </c>
      <c r="F513" s="22">
        <f t="shared" si="52"/>
        <v>1.649</v>
      </c>
      <c r="G513" s="22">
        <f t="shared" si="53"/>
        <v>0.06</v>
      </c>
      <c r="H513" s="337">
        <v>1.649</v>
      </c>
      <c r="I513" s="23" t="e">
        <f>IF(A513&lt;&gt;0,VLOOKUP(A513,#REF!,2,FALSE),"")</f>
        <v>#REF!</v>
      </c>
      <c r="K513" s="222"/>
    </row>
    <row r="514" spans="1:11" ht="30">
      <c r="A514" s="20">
        <v>3847</v>
      </c>
      <c r="B514" s="70" t="s">
        <v>484</v>
      </c>
      <c r="C514" s="21" t="s">
        <v>12</v>
      </c>
      <c r="D514" s="21" t="s">
        <v>17</v>
      </c>
      <c r="E514" s="22">
        <v>1</v>
      </c>
      <c r="F514" s="22">
        <f t="shared" si="52"/>
        <v>25.763500000000001</v>
      </c>
      <c r="G514" s="22">
        <f t="shared" si="53"/>
        <v>25.76</v>
      </c>
      <c r="H514" s="337">
        <v>25.763500000000001</v>
      </c>
      <c r="I514" s="23" t="e">
        <f>IF(A514&lt;&gt;0,VLOOKUP(A514,#REF!,2,FALSE),"")</f>
        <v>#REF!</v>
      </c>
      <c r="K514" s="222"/>
    </row>
    <row r="515" spans="1:11" ht="45">
      <c r="A515" s="20">
        <v>88248</v>
      </c>
      <c r="B515" s="70" t="s">
        <v>473</v>
      </c>
      <c r="C515" s="21" t="s">
        <v>12</v>
      </c>
      <c r="D515" s="21" t="s">
        <v>19</v>
      </c>
      <c r="E515" s="22">
        <v>7.0999999999999994E-2</v>
      </c>
      <c r="F515" s="22">
        <f t="shared" si="52"/>
        <v>11.483499999999999</v>
      </c>
      <c r="G515" s="22">
        <f t="shared" si="53"/>
        <v>0.82</v>
      </c>
      <c r="H515" s="337">
        <v>11.483499999999999</v>
      </c>
      <c r="I515" s="23" t="e">
        <f>IF(A515&lt;&gt;0,VLOOKUP(A515,#REF!,2,FALSE),"")</f>
        <v>#REF!</v>
      </c>
      <c r="K515" s="222"/>
    </row>
    <row r="516" spans="1:11" ht="30">
      <c r="A516" s="20">
        <v>88267</v>
      </c>
      <c r="B516" s="70" t="s">
        <v>472</v>
      </c>
      <c r="C516" s="21" t="s">
        <v>12</v>
      </c>
      <c r="D516" s="21" t="s">
        <v>19</v>
      </c>
      <c r="E516" s="22">
        <v>7.0999999999999994E-2</v>
      </c>
      <c r="F516" s="22">
        <f t="shared" si="52"/>
        <v>14.7135</v>
      </c>
      <c r="G516" s="22">
        <f t="shared" si="53"/>
        <v>1.04</v>
      </c>
      <c r="H516" s="337">
        <v>14.7135</v>
      </c>
      <c r="I516" s="23" t="e">
        <f>IF(A516&lt;&gt;0,VLOOKUP(A516,#REF!,2,FALSE),"")</f>
        <v>#REF!</v>
      </c>
      <c r="K516" s="222"/>
    </row>
    <row r="517" spans="1:11" ht="15" customHeight="1">
      <c r="A517" s="719" t="s">
        <v>1893</v>
      </c>
      <c r="B517" s="719"/>
      <c r="C517" s="719"/>
      <c r="D517" s="719"/>
      <c r="E517" s="719"/>
      <c r="F517" s="719"/>
      <c r="G517" s="71">
        <f>ROUND(SUM(G511:G516),2)</f>
        <v>28.71</v>
      </c>
      <c r="K517" s="222"/>
    </row>
    <row r="518" spans="1:11">
      <c r="A518" s="72"/>
      <c r="B518" s="72"/>
      <c r="C518" s="752"/>
      <c r="D518" s="753"/>
      <c r="E518" s="72"/>
      <c r="F518" s="72"/>
      <c r="G518" s="72"/>
      <c r="K518" s="222"/>
    </row>
    <row r="519" spans="1:11">
      <c r="A519" s="72"/>
      <c r="B519" s="72"/>
      <c r="C519" s="752"/>
      <c r="D519" s="753"/>
      <c r="E519" s="72"/>
      <c r="F519" s="72"/>
      <c r="G519" s="72"/>
      <c r="K519" s="222"/>
    </row>
    <row r="520" spans="1:11" ht="41.25" customHeight="1">
      <c r="A520" s="612" t="s">
        <v>2096</v>
      </c>
      <c r="B520" s="613"/>
      <c r="C520" s="613"/>
      <c r="D520" s="613"/>
      <c r="E520" s="613"/>
      <c r="F520" s="67" t="s">
        <v>1914</v>
      </c>
      <c r="G520" s="80"/>
      <c r="K520" s="222"/>
    </row>
    <row r="521" spans="1:11" ht="28.5">
      <c r="A521" s="623" t="s">
        <v>1916</v>
      </c>
      <c r="B521" s="624"/>
      <c r="C521" s="69" t="s">
        <v>3</v>
      </c>
      <c r="D521" s="69" t="s">
        <v>4</v>
      </c>
      <c r="E521" s="69" t="s">
        <v>1826</v>
      </c>
      <c r="F521" s="69" t="s">
        <v>367</v>
      </c>
      <c r="G521" s="69" t="s">
        <v>368</v>
      </c>
      <c r="K521" s="222"/>
    </row>
    <row r="522" spans="1:11" ht="30">
      <c r="A522" s="20">
        <v>122</v>
      </c>
      <c r="B522" s="70" t="s">
        <v>477</v>
      </c>
      <c r="C522" s="21" t="s">
        <v>12</v>
      </c>
      <c r="D522" s="21" t="s">
        <v>17</v>
      </c>
      <c r="E522" s="22">
        <v>8.9999999999999993E-3</v>
      </c>
      <c r="F522" s="22">
        <f t="shared" ref="F522:F527" si="54">H522</f>
        <v>55.59</v>
      </c>
      <c r="G522" s="22">
        <f t="shared" ref="G522:G527" si="55">ROUND(F522*E522,2)</f>
        <v>0.5</v>
      </c>
      <c r="H522" s="337">
        <v>55.59</v>
      </c>
      <c r="I522" s="23" t="e">
        <f>IF(A522&lt;&gt;0,VLOOKUP(A522,#REF!,2,FALSE),"")</f>
        <v>#REF!</v>
      </c>
      <c r="K522" s="222"/>
    </row>
    <row r="523" spans="1:11" ht="30">
      <c r="A523" s="20">
        <v>20083</v>
      </c>
      <c r="B523" s="70" t="s">
        <v>479</v>
      </c>
      <c r="C523" s="21" t="s">
        <v>12</v>
      </c>
      <c r="D523" s="21" t="s">
        <v>17</v>
      </c>
      <c r="E523" s="22">
        <v>1.0999999999999999E-2</v>
      </c>
      <c r="F523" s="22">
        <f t="shared" si="54"/>
        <v>48.271500000000003</v>
      </c>
      <c r="G523" s="22">
        <f t="shared" si="55"/>
        <v>0.53</v>
      </c>
      <c r="H523" s="337">
        <v>48.271500000000003</v>
      </c>
      <c r="I523" s="23" t="e">
        <f>IF(A523&lt;&gt;0,VLOOKUP(A523,#REF!,2,FALSE),"")</f>
        <v>#REF!</v>
      </c>
      <c r="K523" s="222"/>
    </row>
    <row r="524" spans="1:11">
      <c r="A524" s="20">
        <v>38383</v>
      </c>
      <c r="B524" s="70" t="s">
        <v>480</v>
      </c>
      <c r="C524" s="21" t="s">
        <v>12</v>
      </c>
      <c r="D524" s="21" t="s">
        <v>17</v>
      </c>
      <c r="E524" s="22">
        <v>0.06</v>
      </c>
      <c r="F524" s="22">
        <f t="shared" si="54"/>
        <v>1.649</v>
      </c>
      <c r="G524" s="22">
        <f t="shared" si="55"/>
        <v>0.1</v>
      </c>
      <c r="H524" s="337">
        <v>1.649</v>
      </c>
      <c r="I524" s="23" t="e">
        <f>IF(A524&lt;&gt;0,VLOOKUP(A524,#REF!,2,FALSE),"")</f>
        <v>#REF!</v>
      </c>
      <c r="K524" s="222"/>
    </row>
    <row r="525" spans="1:11" ht="45">
      <c r="A525" s="20">
        <v>829</v>
      </c>
      <c r="B525" s="70" t="s">
        <v>485</v>
      </c>
      <c r="C525" s="21" t="s">
        <v>12</v>
      </c>
      <c r="D525" s="21" t="s">
        <v>17</v>
      </c>
      <c r="E525" s="22">
        <v>1</v>
      </c>
      <c r="F525" s="22">
        <f t="shared" si="54"/>
        <v>0.83299999999999996</v>
      </c>
      <c r="G525" s="22">
        <f t="shared" si="55"/>
        <v>0.83</v>
      </c>
      <c r="H525" s="337">
        <v>0.83299999999999996</v>
      </c>
      <c r="I525" s="23" t="e">
        <f>IF(A525&lt;&gt;0,VLOOKUP(A525,#REF!,2,FALSE),"")</f>
        <v>#REF!</v>
      </c>
      <c r="K525" s="222"/>
    </row>
    <row r="526" spans="1:11" ht="45">
      <c r="A526" s="20">
        <v>88248</v>
      </c>
      <c r="B526" s="70" t="s">
        <v>473</v>
      </c>
      <c r="C526" s="21" t="s">
        <v>12</v>
      </c>
      <c r="D526" s="21" t="s">
        <v>19</v>
      </c>
      <c r="E526" s="22">
        <v>0.11899999999999999</v>
      </c>
      <c r="F526" s="22">
        <f t="shared" si="54"/>
        <v>11.483499999999999</v>
      </c>
      <c r="G526" s="22">
        <f t="shared" si="55"/>
        <v>1.37</v>
      </c>
      <c r="H526" s="337">
        <v>11.483499999999999</v>
      </c>
      <c r="I526" s="23" t="e">
        <f>IF(A526&lt;&gt;0,VLOOKUP(A526,#REF!,2,FALSE),"")</f>
        <v>#REF!</v>
      </c>
      <c r="K526" s="222"/>
    </row>
    <row r="527" spans="1:11" ht="30">
      <c r="A527" s="20">
        <v>88267</v>
      </c>
      <c r="B527" s="70" t="s">
        <v>472</v>
      </c>
      <c r="C527" s="21" t="s">
        <v>12</v>
      </c>
      <c r="D527" s="21" t="s">
        <v>19</v>
      </c>
      <c r="E527" s="22">
        <v>0.11899999999999999</v>
      </c>
      <c r="F527" s="22">
        <f t="shared" si="54"/>
        <v>14.7135</v>
      </c>
      <c r="G527" s="22">
        <f t="shared" si="55"/>
        <v>1.75</v>
      </c>
      <c r="H527" s="337">
        <v>14.7135</v>
      </c>
      <c r="I527" s="23" t="e">
        <f>IF(A527&lt;&gt;0,VLOOKUP(A527,#REF!,2,FALSE),"")</f>
        <v>#REF!</v>
      </c>
      <c r="K527" s="222"/>
    </row>
    <row r="528" spans="1:11" ht="15" customHeight="1">
      <c r="A528" s="719" t="s">
        <v>1893</v>
      </c>
      <c r="B528" s="719"/>
      <c r="C528" s="719"/>
      <c r="D528" s="719"/>
      <c r="E528" s="719"/>
      <c r="F528" s="719"/>
      <c r="G528" s="71">
        <f>ROUND(SUM(G522:G527),2)</f>
        <v>5.08</v>
      </c>
      <c r="K528" s="222"/>
    </row>
    <row r="529" spans="1:11" ht="25.5" customHeight="1">
      <c r="A529" s="72"/>
      <c r="B529" s="72"/>
      <c r="C529" s="752"/>
      <c r="D529" s="753"/>
      <c r="E529" s="72"/>
      <c r="F529" s="72"/>
      <c r="G529" s="72"/>
      <c r="K529" s="222"/>
    </row>
    <row r="530" spans="1:11" ht="39.75" customHeight="1">
      <c r="A530" s="612" t="s">
        <v>2099</v>
      </c>
      <c r="B530" s="613"/>
      <c r="C530" s="613"/>
      <c r="D530" s="613"/>
      <c r="E530" s="613"/>
      <c r="F530" s="67" t="s">
        <v>1914</v>
      </c>
      <c r="G530" s="80"/>
      <c r="K530" s="222"/>
    </row>
    <row r="531" spans="1:11" ht="28.5">
      <c r="A531" s="623" t="s">
        <v>1916</v>
      </c>
      <c r="B531" s="624"/>
      <c r="C531" s="69" t="s">
        <v>3</v>
      </c>
      <c r="D531" s="69" t="s">
        <v>4</v>
      </c>
      <c r="E531" s="69" t="s">
        <v>1826</v>
      </c>
      <c r="F531" s="69" t="s">
        <v>367</v>
      </c>
      <c r="G531" s="69" t="s">
        <v>368</v>
      </c>
      <c r="K531" s="222"/>
    </row>
    <row r="532" spans="1:11" ht="30">
      <c r="A532" s="20">
        <v>122</v>
      </c>
      <c r="B532" s="70" t="s">
        <v>477</v>
      </c>
      <c r="C532" s="21" t="s">
        <v>12</v>
      </c>
      <c r="D532" s="21" t="s">
        <v>17</v>
      </c>
      <c r="E532" s="22">
        <v>8.9999999999999993E-3</v>
      </c>
      <c r="F532" s="22">
        <f t="shared" ref="F532:F537" si="56">H532</f>
        <v>55.59</v>
      </c>
      <c r="G532" s="22">
        <f t="shared" ref="G532:G537" si="57">ROUND(F532*E532,2)</f>
        <v>0.5</v>
      </c>
      <c r="H532" s="337">
        <v>55.59</v>
      </c>
      <c r="I532" s="23" t="e">
        <f>IF(A532&lt;&gt;0,VLOOKUP(A532,#REF!,2,FALSE),"")</f>
        <v>#REF!</v>
      </c>
      <c r="K532" s="222"/>
    </row>
    <row r="533" spans="1:11" ht="30">
      <c r="A533" s="20">
        <v>20083</v>
      </c>
      <c r="B533" s="70" t="s">
        <v>479</v>
      </c>
      <c r="C533" s="21" t="s">
        <v>12</v>
      </c>
      <c r="D533" s="21" t="s">
        <v>17</v>
      </c>
      <c r="E533" s="22">
        <v>1.0999999999999999E-2</v>
      </c>
      <c r="F533" s="22">
        <f t="shared" si="56"/>
        <v>48.271500000000003</v>
      </c>
      <c r="G533" s="22">
        <f t="shared" si="57"/>
        <v>0.53</v>
      </c>
      <c r="H533" s="337">
        <v>48.271500000000003</v>
      </c>
      <c r="I533" s="23" t="e">
        <f>IF(A533&lt;&gt;0,VLOOKUP(A533,#REF!,2,FALSE),"")</f>
        <v>#REF!</v>
      </c>
      <c r="K533" s="222"/>
    </row>
    <row r="534" spans="1:11">
      <c r="A534" s="20">
        <v>38383</v>
      </c>
      <c r="B534" s="70" t="s">
        <v>480</v>
      </c>
      <c r="C534" s="21" t="s">
        <v>12</v>
      </c>
      <c r="D534" s="21" t="s">
        <v>17</v>
      </c>
      <c r="E534" s="22">
        <v>0.06</v>
      </c>
      <c r="F534" s="22">
        <f t="shared" si="56"/>
        <v>1.649</v>
      </c>
      <c r="G534" s="22">
        <f t="shared" si="57"/>
        <v>0.1</v>
      </c>
      <c r="H534" s="337">
        <v>1.649</v>
      </c>
      <c r="I534" s="23" t="e">
        <f>IF(A534&lt;&gt;0,VLOOKUP(A534,#REF!,2,FALSE),"")</f>
        <v>#REF!</v>
      </c>
      <c r="K534" s="222"/>
    </row>
    <row r="535" spans="1:11" ht="45">
      <c r="A535" s="20">
        <v>834</v>
      </c>
      <c r="B535" s="70" t="s">
        <v>486</v>
      </c>
      <c r="C535" s="21" t="s">
        <v>12</v>
      </c>
      <c r="D535" s="21" t="s">
        <v>17</v>
      </c>
      <c r="E535" s="22">
        <v>1</v>
      </c>
      <c r="F535" s="22">
        <f t="shared" si="56"/>
        <v>3.536</v>
      </c>
      <c r="G535" s="22">
        <f t="shared" si="57"/>
        <v>3.54</v>
      </c>
      <c r="H535" s="337">
        <v>3.536</v>
      </c>
      <c r="I535" s="23" t="e">
        <f>IF(A535&lt;&gt;0,VLOOKUP(A535,#REF!,2,FALSE),"")</f>
        <v>#REF!</v>
      </c>
      <c r="K535" s="222"/>
    </row>
    <row r="536" spans="1:11" ht="45">
      <c r="A536" s="20">
        <v>88248</v>
      </c>
      <c r="B536" s="70" t="s">
        <v>473</v>
      </c>
      <c r="C536" s="21" t="s">
        <v>12</v>
      </c>
      <c r="D536" s="21" t="s">
        <v>19</v>
      </c>
      <c r="E536" s="22">
        <v>0.11899999999999999</v>
      </c>
      <c r="F536" s="22">
        <f t="shared" si="56"/>
        <v>11.483499999999999</v>
      </c>
      <c r="G536" s="22">
        <f t="shared" si="57"/>
        <v>1.37</v>
      </c>
      <c r="H536" s="337">
        <v>11.483499999999999</v>
      </c>
      <c r="I536" s="23" t="e">
        <f>IF(A536&lt;&gt;0,VLOOKUP(A536,#REF!,2,FALSE),"")</f>
        <v>#REF!</v>
      </c>
      <c r="K536" s="222"/>
    </row>
    <row r="537" spans="1:11" ht="30">
      <c r="A537" s="20">
        <v>88267</v>
      </c>
      <c r="B537" s="70" t="s">
        <v>472</v>
      </c>
      <c r="C537" s="21" t="s">
        <v>12</v>
      </c>
      <c r="D537" s="21" t="s">
        <v>19</v>
      </c>
      <c r="E537" s="22">
        <v>0.11899999999999999</v>
      </c>
      <c r="F537" s="22">
        <f t="shared" si="56"/>
        <v>14.7135</v>
      </c>
      <c r="G537" s="22">
        <f t="shared" si="57"/>
        <v>1.75</v>
      </c>
      <c r="H537" s="337">
        <v>14.7135</v>
      </c>
      <c r="I537" s="23" t="e">
        <f>IF(A537&lt;&gt;0,VLOOKUP(A537,#REF!,2,FALSE),"")</f>
        <v>#REF!</v>
      </c>
      <c r="K537" s="222"/>
    </row>
    <row r="538" spans="1:11" ht="15" customHeight="1">
      <c r="A538" s="719" t="s">
        <v>1893</v>
      </c>
      <c r="B538" s="719"/>
      <c r="C538" s="719"/>
      <c r="D538" s="719"/>
      <c r="E538" s="719"/>
      <c r="F538" s="719"/>
      <c r="G538" s="71">
        <f>ROUND(SUM(G532:G537),2)</f>
        <v>7.79</v>
      </c>
      <c r="K538" s="222"/>
    </row>
    <row r="539" spans="1:11" ht="21.75" customHeight="1">
      <c r="A539" s="72"/>
      <c r="B539" s="72"/>
      <c r="C539" s="752"/>
      <c r="D539" s="753"/>
      <c r="E539" s="72"/>
      <c r="F539" s="72"/>
      <c r="G539" s="72"/>
      <c r="K539" s="222"/>
    </row>
    <row r="540" spans="1:11">
      <c r="A540" s="72"/>
      <c r="B540" s="72"/>
      <c r="C540" s="752"/>
      <c r="D540" s="753"/>
      <c r="E540" s="72"/>
      <c r="F540" s="72"/>
      <c r="G540" s="72"/>
      <c r="K540" s="222"/>
    </row>
    <row r="541" spans="1:11" ht="35.25" customHeight="1">
      <c r="A541" s="612" t="s">
        <v>2100</v>
      </c>
      <c r="B541" s="613"/>
      <c r="C541" s="613"/>
      <c r="D541" s="613"/>
      <c r="E541" s="613"/>
      <c r="F541" s="67" t="s">
        <v>1914</v>
      </c>
      <c r="G541" s="80"/>
      <c r="K541" s="222"/>
    </row>
    <row r="542" spans="1:11" ht="28.5">
      <c r="A542" s="623" t="s">
        <v>1916</v>
      </c>
      <c r="B542" s="624"/>
      <c r="C542" s="69" t="s">
        <v>3</v>
      </c>
      <c r="D542" s="69" t="s">
        <v>4</v>
      </c>
      <c r="E542" s="69" t="s">
        <v>1826</v>
      </c>
      <c r="F542" s="69" t="s">
        <v>367</v>
      </c>
      <c r="G542" s="69" t="s">
        <v>368</v>
      </c>
      <c r="K542" s="222"/>
    </row>
    <row r="543" spans="1:11" ht="30">
      <c r="A543" s="20">
        <v>122</v>
      </c>
      <c r="B543" s="70" t="s">
        <v>477</v>
      </c>
      <c r="C543" s="21" t="s">
        <v>12</v>
      </c>
      <c r="D543" s="21" t="s">
        <v>17</v>
      </c>
      <c r="E543" s="22">
        <v>8.9999999999999993E-3</v>
      </c>
      <c r="F543" s="22">
        <f t="shared" ref="F543:F548" si="58">H543</f>
        <v>55.59</v>
      </c>
      <c r="G543" s="22">
        <f t="shared" ref="G543:G548" si="59">ROUND(F543*E543,2)</f>
        <v>0.5</v>
      </c>
      <c r="H543" s="337">
        <v>55.59</v>
      </c>
      <c r="I543" s="23" t="e">
        <f>IF(A543&lt;&gt;0,VLOOKUP(A543,#REF!,2,FALSE),"")</f>
        <v>#REF!</v>
      </c>
      <c r="K543" s="222"/>
    </row>
    <row r="544" spans="1:11" ht="30">
      <c r="A544" s="20">
        <v>20083</v>
      </c>
      <c r="B544" s="70" t="s">
        <v>479</v>
      </c>
      <c r="C544" s="21" t="s">
        <v>12</v>
      </c>
      <c r="D544" s="21" t="s">
        <v>17</v>
      </c>
      <c r="E544" s="22">
        <v>1.0999999999999999E-2</v>
      </c>
      <c r="F544" s="22">
        <f t="shared" si="58"/>
        <v>48.271500000000003</v>
      </c>
      <c r="G544" s="22">
        <f t="shared" si="59"/>
        <v>0.53</v>
      </c>
      <c r="H544" s="337">
        <v>48.271500000000003</v>
      </c>
      <c r="I544" s="23" t="e">
        <f>IF(A544&lt;&gt;0,VLOOKUP(A544,#REF!,2,FALSE),"")</f>
        <v>#REF!</v>
      </c>
      <c r="K544" s="222"/>
    </row>
    <row r="545" spans="1:11">
      <c r="A545" s="20">
        <v>38383</v>
      </c>
      <c r="B545" s="70" t="s">
        <v>480</v>
      </c>
      <c r="C545" s="21" t="s">
        <v>12</v>
      </c>
      <c r="D545" s="21" t="s">
        <v>17</v>
      </c>
      <c r="E545" s="22">
        <v>0.06</v>
      </c>
      <c r="F545" s="22">
        <f t="shared" si="58"/>
        <v>1.649</v>
      </c>
      <c r="G545" s="22">
        <f t="shared" si="59"/>
        <v>0.1</v>
      </c>
      <c r="H545" s="337">
        <v>1.649</v>
      </c>
      <c r="I545" s="23" t="e">
        <f>IF(A545&lt;&gt;0,VLOOKUP(A545,#REF!,2,FALSE),"")</f>
        <v>#REF!</v>
      </c>
      <c r="K545" s="222"/>
    </row>
    <row r="546" spans="1:11" ht="45">
      <c r="A546" s="20">
        <v>820</v>
      </c>
      <c r="B546" s="70" t="s">
        <v>487</v>
      </c>
      <c r="C546" s="21" t="s">
        <v>12</v>
      </c>
      <c r="D546" s="21" t="s">
        <v>17</v>
      </c>
      <c r="E546" s="22">
        <v>1</v>
      </c>
      <c r="F546" s="22">
        <f t="shared" si="58"/>
        <v>4.9215</v>
      </c>
      <c r="G546" s="22">
        <f t="shared" si="59"/>
        <v>4.92</v>
      </c>
      <c r="H546" s="337">
        <v>4.9215</v>
      </c>
      <c r="I546" s="23" t="e">
        <f>IF(A546&lt;&gt;0,VLOOKUP(A546,#REF!,2,FALSE),"")</f>
        <v>#REF!</v>
      </c>
      <c r="K546" s="222"/>
    </row>
    <row r="547" spans="1:11" ht="45">
      <c r="A547" s="20">
        <v>88248</v>
      </c>
      <c r="B547" s="70" t="s">
        <v>473</v>
      </c>
      <c r="C547" s="21" t="s">
        <v>12</v>
      </c>
      <c r="D547" s="21" t="s">
        <v>19</v>
      </c>
      <c r="E547" s="22">
        <v>0.11899999999999999</v>
      </c>
      <c r="F547" s="22">
        <f t="shared" si="58"/>
        <v>11.483499999999999</v>
      </c>
      <c r="G547" s="22">
        <f t="shared" si="59"/>
        <v>1.37</v>
      </c>
      <c r="H547" s="337">
        <v>11.483499999999999</v>
      </c>
      <c r="I547" s="23" t="e">
        <f>IF(A547&lt;&gt;0,VLOOKUP(A547,#REF!,2,FALSE),"")</f>
        <v>#REF!</v>
      </c>
      <c r="K547" s="222"/>
    </row>
    <row r="548" spans="1:11" ht="30">
      <c r="A548" s="20">
        <v>88267</v>
      </c>
      <c r="B548" s="70" t="s">
        <v>472</v>
      </c>
      <c r="C548" s="21" t="s">
        <v>12</v>
      </c>
      <c r="D548" s="21" t="s">
        <v>19</v>
      </c>
      <c r="E548" s="22">
        <v>0.11899999999999999</v>
      </c>
      <c r="F548" s="22">
        <f t="shared" si="58"/>
        <v>14.7135</v>
      </c>
      <c r="G548" s="22">
        <f t="shared" si="59"/>
        <v>1.75</v>
      </c>
      <c r="H548" s="337">
        <v>14.7135</v>
      </c>
      <c r="I548" s="23" t="e">
        <f>IF(A548&lt;&gt;0,VLOOKUP(A548,#REF!,2,FALSE),"")</f>
        <v>#REF!</v>
      </c>
      <c r="K548" s="222"/>
    </row>
    <row r="549" spans="1:11" ht="15" customHeight="1">
      <c r="A549" s="719" t="s">
        <v>1893</v>
      </c>
      <c r="B549" s="719"/>
      <c r="C549" s="719"/>
      <c r="D549" s="719"/>
      <c r="E549" s="719"/>
      <c r="F549" s="719"/>
      <c r="G549" s="71">
        <f>ROUND(SUM(G543:G548),2)</f>
        <v>9.17</v>
      </c>
      <c r="K549" s="222"/>
    </row>
    <row r="550" spans="1:11" ht="21.75" customHeight="1">
      <c r="A550" s="72"/>
      <c r="B550" s="72"/>
      <c r="C550" s="752"/>
      <c r="D550" s="753"/>
      <c r="E550" s="72"/>
      <c r="F550" s="72"/>
      <c r="G550" s="72"/>
      <c r="K550" s="222"/>
    </row>
    <row r="551" spans="1:11" ht="39" customHeight="1">
      <c r="A551" s="612" t="s">
        <v>2102</v>
      </c>
      <c r="B551" s="613"/>
      <c r="C551" s="613"/>
      <c r="D551" s="613"/>
      <c r="E551" s="613"/>
      <c r="F551" s="67" t="s">
        <v>1914</v>
      </c>
      <c r="G551" s="80"/>
      <c r="K551" s="222"/>
    </row>
    <row r="552" spans="1:11" ht="28.5">
      <c r="A552" s="623" t="s">
        <v>1916</v>
      </c>
      <c r="B552" s="624"/>
      <c r="C552" s="69" t="s">
        <v>3</v>
      </c>
      <c r="D552" s="69" t="s">
        <v>4</v>
      </c>
      <c r="E552" s="69" t="s">
        <v>1826</v>
      </c>
      <c r="F552" s="69" t="s">
        <v>367</v>
      </c>
      <c r="G552" s="69" t="s">
        <v>368</v>
      </c>
      <c r="K552" s="222"/>
    </row>
    <row r="553" spans="1:11" ht="30">
      <c r="A553" s="20">
        <v>122</v>
      </c>
      <c r="B553" s="70" t="s">
        <v>477</v>
      </c>
      <c r="C553" s="21" t="s">
        <v>12</v>
      </c>
      <c r="D553" s="21" t="s">
        <v>17</v>
      </c>
      <c r="E553" s="22">
        <v>8.9999999999999993E-3</v>
      </c>
      <c r="F553" s="22">
        <f t="shared" ref="F553:F558" si="60">H553</f>
        <v>55.59</v>
      </c>
      <c r="G553" s="22">
        <f t="shared" ref="G553:G558" si="61">ROUND(F553*E553,2)</f>
        <v>0.5</v>
      </c>
      <c r="H553" s="337">
        <v>55.59</v>
      </c>
      <c r="I553" s="23" t="e">
        <f>IF(A553&lt;&gt;0,VLOOKUP(A553,#REF!,2,FALSE),"")</f>
        <v>#REF!</v>
      </c>
      <c r="K553" s="222"/>
    </row>
    <row r="554" spans="1:11" ht="30">
      <c r="A554" s="20">
        <v>20083</v>
      </c>
      <c r="B554" s="70" t="s">
        <v>479</v>
      </c>
      <c r="C554" s="21" t="s">
        <v>12</v>
      </c>
      <c r="D554" s="21" t="s">
        <v>17</v>
      </c>
      <c r="E554" s="22">
        <v>1.0999999999999999E-2</v>
      </c>
      <c r="F554" s="22">
        <f t="shared" si="60"/>
        <v>48.271500000000003</v>
      </c>
      <c r="G554" s="22">
        <f t="shared" si="61"/>
        <v>0.53</v>
      </c>
      <c r="H554" s="337">
        <v>48.271500000000003</v>
      </c>
      <c r="I554" s="23" t="e">
        <f>IF(A554&lt;&gt;0,VLOOKUP(A554,#REF!,2,FALSE),"")</f>
        <v>#REF!</v>
      </c>
      <c r="K554" s="222"/>
    </row>
    <row r="555" spans="1:11">
      <c r="A555" s="20">
        <v>38383</v>
      </c>
      <c r="B555" s="70" t="s">
        <v>480</v>
      </c>
      <c r="C555" s="21" t="s">
        <v>12</v>
      </c>
      <c r="D555" s="21" t="s">
        <v>17</v>
      </c>
      <c r="E555" s="22">
        <v>0.06</v>
      </c>
      <c r="F555" s="22">
        <f t="shared" si="60"/>
        <v>1.649</v>
      </c>
      <c r="G555" s="22">
        <f t="shared" si="61"/>
        <v>0.1</v>
      </c>
      <c r="H555" s="337">
        <v>1.649</v>
      </c>
      <c r="I555" s="23" t="e">
        <f>IF(A555&lt;&gt;0,VLOOKUP(A555,#REF!,2,FALSE),"")</f>
        <v>#REF!</v>
      </c>
      <c r="K555" s="222"/>
    </row>
    <row r="556" spans="1:11" ht="45">
      <c r="A556" s="20">
        <v>819</v>
      </c>
      <c r="B556" s="70" t="s">
        <v>488</v>
      </c>
      <c r="C556" s="21" t="s">
        <v>12</v>
      </c>
      <c r="D556" s="21" t="s">
        <v>17</v>
      </c>
      <c r="E556" s="22">
        <v>1</v>
      </c>
      <c r="F556" s="22">
        <f t="shared" si="60"/>
        <v>2.992</v>
      </c>
      <c r="G556" s="22">
        <f t="shared" si="61"/>
        <v>2.99</v>
      </c>
      <c r="H556" s="337">
        <v>2.992</v>
      </c>
      <c r="I556" s="23" t="e">
        <f>IF(A556&lt;&gt;0,VLOOKUP(A556,#REF!,2,FALSE),"")</f>
        <v>#REF!</v>
      </c>
      <c r="K556" s="222"/>
    </row>
    <row r="557" spans="1:11" ht="45">
      <c r="A557" s="20">
        <v>88248</v>
      </c>
      <c r="B557" s="70" t="s">
        <v>473</v>
      </c>
      <c r="C557" s="21" t="s">
        <v>12</v>
      </c>
      <c r="D557" s="21" t="s">
        <v>19</v>
      </c>
      <c r="E557" s="22">
        <v>0.11899999999999999</v>
      </c>
      <c r="F557" s="22">
        <f t="shared" si="60"/>
        <v>11.483499999999999</v>
      </c>
      <c r="G557" s="22">
        <f t="shared" si="61"/>
        <v>1.37</v>
      </c>
      <c r="H557" s="337">
        <v>11.483499999999999</v>
      </c>
      <c r="I557" s="23" t="e">
        <f>IF(A557&lt;&gt;0,VLOOKUP(A557,#REF!,2,FALSE),"")</f>
        <v>#REF!</v>
      </c>
      <c r="K557" s="222"/>
    </row>
    <row r="558" spans="1:11" ht="30">
      <c r="A558" s="20">
        <v>88267</v>
      </c>
      <c r="B558" s="70" t="s">
        <v>472</v>
      </c>
      <c r="C558" s="21" t="s">
        <v>12</v>
      </c>
      <c r="D558" s="21" t="s">
        <v>19</v>
      </c>
      <c r="E558" s="22">
        <v>0.11899999999999999</v>
      </c>
      <c r="F558" s="22">
        <f t="shared" si="60"/>
        <v>14.7135</v>
      </c>
      <c r="G558" s="22">
        <f t="shared" si="61"/>
        <v>1.75</v>
      </c>
      <c r="H558" s="337">
        <v>14.7135</v>
      </c>
      <c r="I558" s="23" t="e">
        <f>IF(A558&lt;&gt;0,VLOOKUP(A558,#REF!,2,FALSE),"")</f>
        <v>#REF!</v>
      </c>
      <c r="K558" s="222"/>
    </row>
    <row r="559" spans="1:11" ht="15" customHeight="1">
      <c r="A559" s="719" t="s">
        <v>1893</v>
      </c>
      <c r="B559" s="719"/>
      <c r="C559" s="719"/>
      <c r="D559" s="719"/>
      <c r="E559" s="719"/>
      <c r="F559" s="719"/>
      <c r="G559" s="71">
        <f>ROUND(SUM(G553:G558),2)</f>
        <v>7.24</v>
      </c>
      <c r="K559" s="222"/>
    </row>
    <row r="560" spans="1:11" ht="24.75" customHeight="1">
      <c r="A560" s="72"/>
      <c r="B560" s="72"/>
      <c r="C560" s="752"/>
      <c r="D560" s="753"/>
      <c r="E560" s="72"/>
      <c r="F560" s="72"/>
      <c r="G560" s="72"/>
      <c r="K560" s="222"/>
    </row>
    <row r="561" spans="1:11">
      <c r="A561" s="72"/>
      <c r="B561" s="72"/>
      <c r="C561" s="752"/>
      <c r="D561" s="753"/>
      <c r="E561" s="72"/>
      <c r="F561" s="72"/>
      <c r="G561" s="72"/>
      <c r="K561" s="222"/>
    </row>
    <row r="562" spans="1:11" ht="37.5" customHeight="1">
      <c r="A562" s="612" t="s">
        <v>2104</v>
      </c>
      <c r="B562" s="613"/>
      <c r="C562" s="613"/>
      <c r="D562" s="613"/>
      <c r="E562" s="613"/>
      <c r="F562" s="67" t="s">
        <v>1914</v>
      </c>
      <c r="G562" s="80"/>
      <c r="K562" s="222"/>
    </row>
    <row r="563" spans="1:11" ht="28.5">
      <c r="A563" s="623" t="s">
        <v>1916</v>
      </c>
      <c r="B563" s="624"/>
      <c r="C563" s="69" t="s">
        <v>3</v>
      </c>
      <c r="D563" s="69" t="s">
        <v>4</v>
      </c>
      <c r="E563" s="69" t="s">
        <v>1826</v>
      </c>
      <c r="F563" s="69" t="s">
        <v>367</v>
      </c>
      <c r="G563" s="69" t="s">
        <v>368</v>
      </c>
      <c r="K563" s="222"/>
    </row>
    <row r="564" spans="1:11" ht="30">
      <c r="A564" s="20">
        <v>122</v>
      </c>
      <c r="B564" s="70" t="s">
        <v>477</v>
      </c>
      <c r="C564" s="21" t="s">
        <v>12</v>
      </c>
      <c r="D564" s="21" t="s">
        <v>17</v>
      </c>
      <c r="E564" s="22">
        <v>1.4E-2</v>
      </c>
      <c r="F564" s="22">
        <f t="shared" ref="F564:F569" si="62">H564</f>
        <v>55.59</v>
      </c>
      <c r="G564" s="22">
        <f t="shared" ref="G564:G569" si="63">ROUND(F564*E564,2)</f>
        <v>0.78</v>
      </c>
      <c r="H564" s="337">
        <v>55.59</v>
      </c>
      <c r="I564" s="23" t="e">
        <f>IF(A564&lt;&gt;0,VLOOKUP(A564,#REF!,2,FALSE),"")</f>
        <v>#REF!</v>
      </c>
      <c r="K564" s="222"/>
    </row>
    <row r="565" spans="1:11" ht="30">
      <c r="A565" s="20">
        <v>20083</v>
      </c>
      <c r="B565" s="70" t="s">
        <v>479</v>
      </c>
      <c r="C565" s="21" t="s">
        <v>12</v>
      </c>
      <c r="D565" s="21" t="s">
        <v>17</v>
      </c>
      <c r="E565" s="22">
        <v>1.7000000000000001E-2</v>
      </c>
      <c r="F565" s="22">
        <f t="shared" si="62"/>
        <v>48.271500000000003</v>
      </c>
      <c r="G565" s="22">
        <f t="shared" si="63"/>
        <v>0.82</v>
      </c>
      <c r="H565" s="337">
        <v>48.271500000000003</v>
      </c>
      <c r="I565" s="23" t="e">
        <f>IF(A565&lt;&gt;0,VLOOKUP(A565,#REF!,2,FALSE),"")</f>
        <v>#REF!</v>
      </c>
      <c r="K565" s="222"/>
    </row>
    <row r="566" spans="1:11">
      <c r="A566" s="20">
        <v>38383</v>
      </c>
      <c r="B566" s="70" t="s">
        <v>480</v>
      </c>
      <c r="C566" s="21" t="s">
        <v>12</v>
      </c>
      <c r="D566" s="21" t="s">
        <v>17</v>
      </c>
      <c r="E566" s="22">
        <v>5.2999999999999999E-2</v>
      </c>
      <c r="F566" s="22">
        <f t="shared" si="62"/>
        <v>1.649</v>
      </c>
      <c r="G566" s="22">
        <f t="shared" si="63"/>
        <v>0.09</v>
      </c>
      <c r="H566" s="337">
        <v>1.649</v>
      </c>
      <c r="I566" s="23" t="e">
        <f>IF(A566&lt;&gt;0,VLOOKUP(A566,#REF!,2,FALSE),"")</f>
        <v>#REF!</v>
      </c>
      <c r="K566" s="222"/>
    </row>
    <row r="567" spans="1:11" ht="30">
      <c r="A567" s="20">
        <v>7136</v>
      </c>
      <c r="B567" s="70" t="s">
        <v>489</v>
      </c>
      <c r="C567" s="21" t="s">
        <v>12</v>
      </c>
      <c r="D567" s="21" t="s">
        <v>17</v>
      </c>
      <c r="E567" s="22">
        <v>1</v>
      </c>
      <c r="F567" s="22">
        <f t="shared" si="62"/>
        <v>5.6950000000000003</v>
      </c>
      <c r="G567" s="22">
        <f t="shared" si="63"/>
        <v>5.7</v>
      </c>
      <c r="H567" s="337">
        <v>5.6950000000000003</v>
      </c>
      <c r="I567" s="23" t="e">
        <f>IF(A567&lt;&gt;0,VLOOKUP(A567,#REF!,2,FALSE),"")</f>
        <v>#REF!</v>
      </c>
      <c r="K567" s="222"/>
    </row>
    <row r="568" spans="1:11" ht="45">
      <c r="A568" s="20">
        <v>88248</v>
      </c>
      <c r="B568" s="70" t="s">
        <v>473</v>
      </c>
      <c r="C568" s="21" t="s">
        <v>12</v>
      </c>
      <c r="D568" s="21" t="s">
        <v>19</v>
      </c>
      <c r="E568" s="22">
        <v>0.14299999999999999</v>
      </c>
      <c r="F568" s="22">
        <f t="shared" si="62"/>
        <v>11.483499999999999</v>
      </c>
      <c r="G568" s="22">
        <f t="shared" si="63"/>
        <v>1.64</v>
      </c>
      <c r="H568" s="337">
        <v>11.483499999999999</v>
      </c>
      <c r="I568" s="23" t="e">
        <f>IF(A568&lt;&gt;0,VLOOKUP(A568,#REF!,2,FALSE),"")</f>
        <v>#REF!</v>
      </c>
      <c r="K568" s="222"/>
    </row>
    <row r="569" spans="1:11" ht="30">
      <c r="A569" s="20">
        <v>88267</v>
      </c>
      <c r="B569" s="70" t="s">
        <v>472</v>
      </c>
      <c r="C569" s="21" t="s">
        <v>12</v>
      </c>
      <c r="D569" s="21" t="s">
        <v>19</v>
      </c>
      <c r="E569" s="22">
        <v>0.14299999999999999</v>
      </c>
      <c r="F569" s="22">
        <f t="shared" si="62"/>
        <v>14.7135</v>
      </c>
      <c r="G569" s="22">
        <f t="shared" si="63"/>
        <v>2.1</v>
      </c>
      <c r="H569" s="337">
        <v>14.7135</v>
      </c>
      <c r="I569" s="23" t="e">
        <f>IF(A569&lt;&gt;0,VLOOKUP(A569,#REF!,2,FALSE),"")</f>
        <v>#REF!</v>
      </c>
      <c r="K569" s="222"/>
    </row>
    <row r="570" spans="1:11" ht="15" customHeight="1">
      <c r="A570" s="719" t="s">
        <v>1893</v>
      </c>
      <c r="B570" s="719"/>
      <c r="C570" s="719"/>
      <c r="D570" s="719"/>
      <c r="E570" s="719"/>
      <c r="F570" s="719"/>
      <c r="G570" s="71">
        <f>ROUND(SUM(G564:G569),2)</f>
        <v>11.13</v>
      </c>
      <c r="K570" s="222"/>
    </row>
    <row r="571" spans="1:11" ht="26.25" customHeight="1">
      <c r="A571" s="72"/>
      <c r="B571" s="72"/>
      <c r="C571" s="752"/>
      <c r="D571" s="753"/>
      <c r="E571" s="72"/>
      <c r="F571" s="72"/>
      <c r="G571" s="72"/>
      <c r="K571" s="222"/>
    </row>
    <row r="572" spans="1:11" ht="39.75" customHeight="1">
      <c r="A572" s="612" t="s">
        <v>2106</v>
      </c>
      <c r="B572" s="613"/>
      <c r="C572" s="613"/>
      <c r="D572" s="613"/>
      <c r="E572" s="613"/>
      <c r="F572" s="67" t="s">
        <v>1914</v>
      </c>
      <c r="G572" s="80"/>
      <c r="K572" s="222"/>
    </row>
    <row r="573" spans="1:11" ht="28.5">
      <c r="A573" s="623" t="s">
        <v>1916</v>
      </c>
      <c r="B573" s="624"/>
      <c r="C573" s="69" t="s">
        <v>3</v>
      </c>
      <c r="D573" s="69" t="s">
        <v>4</v>
      </c>
      <c r="E573" s="69" t="s">
        <v>1826</v>
      </c>
      <c r="F573" s="69" t="s">
        <v>367</v>
      </c>
      <c r="G573" s="69" t="s">
        <v>368</v>
      </c>
      <c r="K573" s="222"/>
    </row>
    <row r="574" spans="1:11" ht="30">
      <c r="A574" s="20">
        <v>122</v>
      </c>
      <c r="B574" s="70" t="s">
        <v>477</v>
      </c>
      <c r="C574" s="21" t="s">
        <v>12</v>
      </c>
      <c r="D574" s="21" t="s">
        <v>17</v>
      </c>
      <c r="E574" s="22">
        <v>1.4E-2</v>
      </c>
      <c r="F574" s="22">
        <f t="shared" ref="F574:F579" si="64">H574</f>
        <v>55.59</v>
      </c>
      <c r="G574" s="22">
        <f t="shared" ref="G574:G579" si="65">ROUND(F574*E574,2)</f>
        <v>0.78</v>
      </c>
      <c r="H574" s="337">
        <v>55.59</v>
      </c>
      <c r="I574" s="23" t="e">
        <f>IF(A574&lt;&gt;0,VLOOKUP(A574,#REF!,2,FALSE),"")</f>
        <v>#REF!</v>
      </c>
      <c r="K574" s="222"/>
    </row>
    <row r="575" spans="1:11" ht="30">
      <c r="A575" s="20">
        <v>20083</v>
      </c>
      <c r="B575" s="70" t="s">
        <v>479</v>
      </c>
      <c r="C575" s="21" t="s">
        <v>12</v>
      </c>
      <c r="D575" s="21" t="s">
        <v>17</v>
      </c>
      <c r="E575" s="22">
        <v>1.7000000000000001E-2</v>
      </c>
      <c r="F575" s="22">
        <f t="shared" si="64"/>
        <v>48.271500000000003</v>
      </c>
      <c r="G575" s="22">
        <f t="shared" si="65"/>
        <v>0.82</v>
      </c>
      <c r="H575" s="337">
        <v>48.271500000000003</v>
      </c>
      <c r="I575" s="23" t="e">
        <f>IF(A575&lt;&gt;0,VLOOKUP(A575,#REF!,2,FALSE),"")</f>
        <v>#REF!</v>
      </c>
      <c r="K575" s="222"/>
    </row>
    <row r="576" spans="1:11">
      <c r="A576" s="20">
        <v>38383</v>
      </c>
      <c r="B576" s="70" t="s">
        <v>480</v>
      </c>
      <c r="C576" s="21" t="s">
        <v>12</v>
      </c>
      <c r="D576" s="21" t="s">
        <v>17</v>
      </c>
      <c r="E576" s="22">
        <v>5.2999999999999999E-2</v>
      </c>
      <c r="F576" s="22">
        <f t="shared" si="64"/>
        <v>1.649</v>
      </c>
      <c r="G576" s="22">
        <f t="shared" si="65"/>
        <v>0.09</v>
      </c>
      <c r="H576" s="337">
        <v>1.649</v>
      </c>
      <c r="I576" s="23" t="e">
        <f>IF(A576&lt;&gt;0,VLOOKUP(A576,#REF!,2,FALSE),"")</f>
        <v>#REF!</v>
      </c>
      <c r="K576" s="222"/>
    </row>
    <row r="577" spans="1:11" ht="30">
      <c r="A577" s="20">
        <v>7128</v>
      </c>
      <c r="B577" s="70" t="s">
        <v>490</v>
      </c>
      <c r="C577" s="21" t="s">
        <v>12</v>
      </c>
      <c r="D577" s="21" t="s">
        <v>17</v>
      </c>
      <c r="E577" s="22">
        <v>1</v>
      </c>
      <c r="F577" s="22">
        <f t="shared" si="64"/>
        <v>9.3330000000000002</v>
      </c>
      <c r="G577" s="22">
        <f t="shared" si="65"/>
        <v>9.33</v>
      </c>
      <c r="H577" s="337">
        <v>9.3330000000000002</v>
      </c>
      <c r="I577" s="23" t="e">
        <f>IF(A577&lt;&gt;0,VLOOKUP(A577,#REF!,2,FALSE),"")</f>
        <v>#REF!</v>
      </c>
      <c r="K577" s="222"/>
    </row>
    <row r="578" spans="1:11" ht="45">
      <c r="A578" s="20">
        <v>88248</v>
      </c>
      <c r="B578" s="70" t="s">
        <v>473</v>
      </c>
      <c r="C578" s="21" t="s">
        <v>12</v>
      </c>
      <c r="D578" s="21" t="s">
        <v>19</v>
      </c>
      <c r="E578" s="22">
        <v>0.14299999999999999</v>
      </c>
      <c r="F578" s="22">
        <f t="shared" si="64"/>
        <v>11.483499999999999</v>
      </c>
      <c r="G578" s="22">
        <f t="shared" si="65"/>
        <v>1.64</v>
      </c>
      <c r="H578" s="337">
        <v>11.483499999999999</v>
      </c>
      <c r="I578" s="23" t="e">
        <f>IF(A578&lt;&gt;0,VLOOKUP(A578,#REF!,2,FALSE),"")</f>
        <v>#REF!</v>
      </c>
      <c r="K578" s="222"/>
    </row>
    <row r="579" spans="1:11" ht="30">
      <c r="A579" s="20">
        <v>88267</v>
      </c>
      <c r="B579" s="70" t="s">
        <v>472</v>
      </c>
      <c r="C579" s="21" t="s">
        <v>12</v>
      </c>
      <c r="D579" s="21" t="s">
        <v>19</v>
      </c>
      <c r="E579" s="22">
        <v>0.14299999999999999</v>
      </c>
      <c r="F579" s="22">
        <f t="shared" si="64"/>
        <v>14.7135</v>
      </c>
      <c r="G579" s="22">
        <f t="shared" si="65"/>
        <v>2.1</v>
      </c>
      <c r="H579" s="337">
        <v>14.7135</v>
      </c>
      <c r="I579" s="23" t="e">
        <f>IF(A579&lt;&gt;0,VLOOKUP(A579,#REF!,2,FALSE),"")</f>
        <v>#REF!</v>
      </c>
      <c r="K579" s="222"/>
    </row>
    <row r="580" spans="1:11" ht="15" customHeight="1">
      <c r="A580" s="719" t="s">
        <v>1893</v>
      </c>
      <c r="B580" s="719"/>
      <c r="C580" s="719"/>
      <c r="D580" s="719"/>
      <c r="E580" s="719"/>
      <c r="F580" s="719"/>
      <c r="G580" s="71">
        <f>ROUND(SUM(G574:G579),2)</f>
        <v>14.76</v>
      </c>
      <c r="K580" s="222"/>
    </row>
    <row r="581" spans="1:11" ht="28.5" customHeight="1">
      <c r="A581" s="72"/>
      <c r="B581" s="72"/>
      <c r="C581" s="752"/>
      <c r="D581" s="753"/>
      <c r="E581" s="72"/>
      <c r="F581" s="72"/>
      <c r="G581" s="72"/>
      <c r="K581" s="222"/>
    </row>
    <row r="582" spans="1:11" ht="43.5" customHeight="1">
      <c r="A582" s="612" t="s">
        <v>2107</v>
      </c>
      <c r="B582" s="613"/>
      <c r="C582" s="613"/>
      <c r="D582" s="613"/>
      <c r="E582" s="613"/>
      <c r="F582" s="67" t="s">
        <v>1914</v>
      </c>
      <c r="G582" s="80"/>
      <c r="K582" s="222"/>
    </row>
    <row r="583" spans="1:11" ht="28.5">
      <c r="A583" s="623" t="s">
        <v>1916</v>
      </c>
      <c r="B583" s="624"/>
      <c r="C583" s="69" t="s">
        <v>3</v>
      </c>
      <c r="D583" s="69" t="s">
        <v>4</v>
      </c>
      <c r="E583" s="69" t="s">
        <v>1826</v>
      </c>
      <c r="F583" s="69" t="s">
        <v>367</v>
      </c>
      <c r="G583" s="69" t="s">
        <v>368</v>
      </c>
      <c r="K583" s="222"/>
    </row>
    <row r="584" spans="1:11" ht="30">
      <c r="A584" s="20">
        <v>122</v>
      </c>
      <c r="B584" s="70" t="s">
        <v>477</v>
      </c>
      <c r="C584" s="21" t="s">
        <v>12</v>
      </c>
      <c r="D584" s="21" t="s">
        <v>17</v>
      </c>
      <c r="E584" s="22">
        <v>1.4E-2</v>
      </c>
      <c r="F584" s="22">
        <f t="shared" ref="F584:F589" si="66">H584</f>
        <v>55.59</v>
      </c>
      <c r="G584" s="22">
        <f t="shared" ref="G584:G589" si="67">ROUND(F584*E584,2)</f>
        <v>0.78</v>
      </c>
      <c r="H584" s="337">
        <v>55.59</v>
      </c>
      <c r="I584" s="23" t="e">
        <f>IF(A584&lt;&gt;0,VLOOKUP(A584,#REF!,2,FALSE),"")</f>
        <v>#REF!</v>
      </c>
      <c r="K584" s="222"/>
    </row>
    <row r="585" spans="1:11" ht="30">
      <c r="A585" s="20">
        <v>20083</v>
      </c>
      <c r="B585" s="70" t="s">
        <v>479</v>
      </c>
      <c r="C585" s="21" t="s">
        <v>12</v>
      </c>
      <c r="D585" s="21" t="s">
        <v>17</v>
      </c>
      <c r="E585" s="22">
        <v>1.7000000000000001E-2</v>
      </c>
      <c r="F585" s="22">
        <f t="shared" si="66"/>
        <v>48.271500000000003</v>
      </c>
      <c r="G585" s="22">
        <f t="shared" si="67"/>
        <v>0.82</v>
      </c>
      <c r="H585" s="337">
        <v>48.271500000000003</v>
      </c>
      <c r="I585" s="23" t="e">
        <f>IF(A585&lt;&gt;0,VLOOKUP(A585,#REF!,2,FALSE),"")</f>
        <v>#REF!</v>
      </c>
      <c r="K585" s="222"/>
    </row>
    <row r="586" spans="1:11">
      <c r="A586" s="20">
        <v>38383</v>
      </c>
      <c r="B586" s="70" t="s">
        <v>480</v>
      </c>
      <c r="C586" s="21" t="s">
        <v>12</v>
      </c>
      <c r="D586" s="21" t="s">
        <v>17</v>
      </c>
      <c r="E586" s="22">
        <v>5.2999999999999999E-2</v>
      </c>
      <c r="F586" s="22">
        <f t="shared" si="66"/>
        <v>1.649</v>
      </c>
      <c r="G586" s="22">
        <f t="shared" si="67"/>
        <v>0.09</v>
      </c>
      <c r="H586" s="337">
        <v>1.649</v>
      </c>
      <c r="I586" s="23" t="e">
        <f>IF(A586&lt;&gt;0,VLOOKUP(A586,#REF!,2,FALSE),"")</f>
        <v>#REF!</v>
      </c>
      <c r="K586" s="222"/>
    </row>
    <row r="587" spans="1:11" ht="30">
      <c r="A587" s="20">
        <v>7131</v>
      </c>
      <c r="B587" s="70" t="s">
        <v>491</v>
      </c>
      <c r="C587" s="21" t="s">
        <v>12</v>
      </c>
      <c r="D587" s="21" t="s">
        <v>17</v>
      </c>
      <c r="E587" s="22">
        <v>1</v>
      </c>
      <c r="F587" s="22">
        <f t="shared" si="66"/>
        <v>16.6175</v>
      </c>
      <c r="G587" s="22">
        <f t="shared" si="67"/>
        <v>16.62</v>
      </c>
      <c r="H587" s="337">
        <v>16.6175</v>
      </c>
      <c r="I587" s="23" t="e">
        <f>IF(A587&lt;&gt;0,VLOOKUP(A587,#REF!,2,FALSE),"")</f>
        <v>#REF!</v>
      </c>
      <c r="K587" s="222"/>
    </row>
    <row r="588" spans="1:11" ht="45">
      <c r="A588" s="20">
        <v>88248</v>
      </c>
      <c r="B588" s="70" t="s">
        <v>473</v>
      </c>
      <c r="C588" s="21" t="s">
        <v>12</v>
      </c>
      <c r="D588" s="21" t="s">
        <v>19</v>
      </c>
      <c r="E588" s="22">
        <v>0.14299999999999999</v>
      </c>
      <c r="F588" s="22">
        <f t="shared" si="66"/>
        <v>11.483499999999999</v>
      </c>
      <c r="G588" s="22">
        <f t="shared" si="67"/>
        <v>1.64</v>
      </c>
      <c r="H588" s="337">
        <v>11.483499999999999</v>
      </c>
      <c r="I588" s="23" t="e">
        <f>IF(A588&lt;&gt;0,VLOOKUP(A588,#REF!,2,FALSE),"")</f>
        <v>#REF!</v>
      </c>
      <c r="K588" s="222"/>
    </row>
    <row r="589" spans="1:11" ht="30">
      <c r="A589" s="20">
        <v>88267</v>
      </c>
      <c r="B589" s="70" t="s">
        <v>472</v>
      </c>
      <c r="C589" s="21" t="s">
        <v>12</v>
      </c>
      <c r="D589" s="21" t="s">
        <v>19</v>
      </c>
      <c r="E589" s="22">
        <v>0.14299999999999999</v>
      </c>
      <c r="F589" s="22">
        <f t="shared" si="66"/>
        <v>14.7135</v>
      </c>
      <c r="G589" s="22">
        <f t="shared" si="67"/>
        <v>2.1</v>
      </c>
      <c r="H589" s="337">
        <v>14.7135</v>
      </c>
      <c r="I589" s="23" t="e">
        <f>IF(A589&lt;&gt;0,VLOOKUP(A589,#REF!,2,FALSE),"")</f>
        <v>#REF!</v>
      </c>
      <c r="K589" s="222"/>
    </row>
    <row r="590" spans="1:11" ht="15" customHeight="1">
      <c r="A590" s="719" t="s">
        <v>1893</v>
      </c>
      <c r="B590" s="719"/>
      <c r="C590" s="719"/>
      <c r="D590" s="719"/>
      <c r="E590" s="719"/>
      <c r="F590" s="719"/>
      <c r="G590" s="71">
        <f>ROUND(SUM(G584:G589),2)</f>
        <v>22.05</v>
      </c>
      <c r="K590" s="222"/>
    </row>
    <row r="591" spans="1:11" ht="24.75" customHeight="1">
      <c r="A591" s="72"/>
      <c r="B591" s="72"/>
      <c r="C591" s="752"/>
      <c r="D591" s="753"/>
      <c r="E591" s="72"/>
      <c r="F591" s="72"/>
      <c r="G591" s="72"/>
      <c r="K591" s="222"/>
    </row>
    <row r="592" spans="1:11" ht="51.75" customHeight="1">
      <c r="A592" s="612" t="s">
        <v>2110</v>
      </c>
      <c r="B592" s="613"/>
      <c r="C592" s="613"/>
      <c r="D592" s="613"/>
      <c r="E592" s="613"/>
      <c r="F592" s="67" t="s">
        <v>1914</v>
      </c>
      <c r="G592" s="80"/>
      <c r="K592" s="222"/>
    </row>
    <row r="593" spans="1:11" ht="28.5">
      <c r="A593" s="623" t="s">
        <v>1916</v>
      </c>
      <c r="B593" s="624"/>
      <c r="C593" s="69" t="s">
        <v>3</v>
      </c>
      <c r="D593" s="69" t="s">
        <v>4</v>
      </c>
      <c r="E593" s="69" t="s">
        <v>1826</v>
      </c>
      <c r="F593" s="69" t="s">
        <v>367</v>
      </c>
      <c r="G593" s="69" t="s">
        <v>368</v>
      </c>
      <c r="K593" s="222"/>
    </row>
    <row r="594" spans="1:11" ht="60">
      <c r="A594" s="20">
        <v>4384</v>
      </c>
      <c r="B594" s="70" t="s">
        <v>492</v>
      </c>
      <c r="C594" s="21" t="s">
        <v>12</v>
      </c>
      <c r="D594" s="21" t="s">
        <v>17</v>
      </c>
      <c r="E594" s="22">
        <v>2</v>
      </c>
      <c r="F594" s="22">
        <f>H594</f>
        <v>10.591000000000001</v>
      </c>
      <c r="G594" s="22">
        <f>ROUND(F594*E594,2)</f>
        <v>21.18</v>
      </c>
      <c r="H594" s="337">
        <v>10.591000000000001</v>
      </c>
      <c r="I594" s="23" t="e">
        <f>IF(A594&lt;&gt;0,VLOOKUP(A594,#REF!,2,FALSE),"")</f>
        <v>#REF!</v>
      </c>
      <c r="K594" s="222"/>
    </row>
    <row r="595" spans="1:11" ht="30">
      <c r="A595" s="20">
        <v>6138</v>
      </c>
      <c r="B595" s="70" t="s">
        <v>154</v>
      </c>
      <c r="C595" s="21" t="s">
        <v>12</v>
      </c>
      <c r="D595" s="21" t="s">
        <v>17</v>
      </c>
      <c r="E595" s="22">
        <v>1</v>
      </c>
      <c r="F595" s="22">
        <f t="shared" ref="F595:F601" si="68">H595</f>
        <v>1.36</v>
      </c>
      <c r="G595" s="22">
        <f t="shared" ref="G595:G601" si="69">ROUND(F595*E595,2)</f>
        <v>1.36</v>
      </c>
      <c r="H595" s="337">
        <v>1.36</v>
      </c>
      <c r="I595" s="23" t="e">
        <f>IF(A595&lt;&gt;0,VLOOKUP(A595,#REF!,2,FALSE),"")</f>
        <v>#REF!</v>
      </c>
      <c r="K595" s="222"/>
    </row>
    <row r="596" spans="1:11">
      <c r="A596" s="20">
        <v>37329</v>
      </c>
      <c r="B596" s="70" t="s">
        <v>493</v>
      </c>
      <c r="C596" s="21" t="s">
        <v>12</v>
      </c>
      <c r="D596" s="21" t="s">
        <v>45</v>
      </c>
      <c r="E596" s="22">
        <v>0.1469</v>
      </c>
      <c r="F596" s="22">
        <f t="shared" si="68"/>
        <v>59.916499999999999</v>
      </c>
      <c r="G596" s="22">
        <f t="shared" si="69"/>
        <v>8.8000000000000007</v>
      </c>
      <c r="H596" s="337">
        <v>59.916499999999999</v>
      </c>
      <c r="I596" s="23" t="e">
        <f>IF(A596&lt;&gt;0,VLOOKUP(A596,#REF!,2,FALSE),"")</f>
        <v>#REF!</v>
      </c>
      <c r="K596" s="222"/>
    </row>
    <row r="597" spans="1:11" ht="60">
      <c r="A597" s="20">
        <v>11694</v>
      </c>
      <c r="B597" s="70" t="s">
        <v>494</v>
      </c>
      <c r="C597" s="21" t="s">
        <v>12</v>
      </c>
      <c r="D597" s="21" t="s">
        <v>17</v>
      </c>
      <c r="E597" s="22">
        <v>1</v>
      </c>
      <c r="F597" s="22">
        <f t="shared" si="68"/>
        <v>693.32799999999997</v>
      </c>
      <c r="G597" s="22">
        <f t="shared" si="69"/>
        <v>693.33</v>
      </c>
      <c r="H597" s="337">
        <v>693.32799999999997</v>
      </c>
      <c r="I597" s="23" t="e">
        <f>IF(A597&lt;&gt;0,VLOOKUP(A597,#REF!,2,FALSE),"")</f>
        <v>#REF!</v>
      </c>
      <c r="K597" s="222"/>
    </row>
    <row r="598" spans="1:11" ht="30">
      <c r="A598" s="20">
        <v>10420</v>
      </c>
      <c r="B598" s="70" t="s">
        <v>495</v>
      </c>
      <c r="C598" s="21" t="s">
        <v>12</v>
      </c>
      <c r="D598" s="21" t="s">
        <v>17</v>
      </c>
      <c r="E598" s="22">
        <v>1</v>
      </c>
      <c r="F598" s="22">
        <f t="shared" si="68"/>
        <v>103.292</v>
      </c>
      <c r="G598" s="22">
        <f t="shared" si="69"/>
        <v>103.29</v>
      </c>
      <c r="H598" s="337">
        <v>103.292</v>
      </c>
      <c r="I598" s="23" t="e">
        <f>IF(A598&lt;&gt;0,VLOOKUP(A598,#REF!,2,FALSE),"")</f>
        <v>#REF!</v>
      </c>
      <c r="K598" s="222"/>
    </row>
    <row r="599" spans="1:11" ht="30">
      <c r="A599" s="20">
        <v>377</v>
      </c>
      <c r="B599" s="70" t="s">
        <v>496</v>
      </c>
      <c r="C599" s="21" t="s">
        <v>12</v>
      </c>
      <c r="D599" s="21" t="s">
        <v>17</v>
      </c>
      <c r="E599" s="22">
        <v>1</v>
      </c>
      <c r="F599" s="22">
        <f t="shared" si="68"/>
        <v>27.03</v>
      </c>
      <c r="G599" s="22">
        <f t="shared" si="69"/>
        <v>27.03</v>
      </c>
      <c r="H599" s="337">
        <v>27.03</v>
      </c>
      <c r="I599" s="23" t="e">
        <f>IF(A599&lt;&gt;0,VLOOKUP(A599,#REF!,2,FALSE),"")</f>
        <v>#REF!</v>
      </c>
      <c r="K599" s="222"/>
    </row>
    <row r="600" spans="1:11" ht="30">
      <c r="A600" s="20">
        <v>88267</v>
      </c>
      <c r="B600" s="70" t="s">
        <v>472</v>
      </c>
      <c r="C600" s="21" t="s">
        <v>12</v>
      </c>
      <c r="D600" s="21" t="s">
        <v>19</v>
      </c>
      <c r="E600" s="22">
        <v>0.78</v>
      </c>
      <c r="F600" s="22">
        <f t="shared" si="68"/>
        <v>14.7135</v>
      </c>
      <c r="G600" s="22">
        <f t="shared" si="69"/>
        <v>11.48</v>
      </c>
      <c r="H600" s="337">
        <v>14.7135</v>
      </c>
      <c r="I600" s="23" t="e">
        <f>IF(A600&lt;&gt;0,VLOOKUP(A600,#REF!,2,FALSE),"")</f>
        <v>#REF!</v>
      </c>
      <c r="K600" s="222"/>
    </row>
    <row r="601" spans="1:11" ht="30">
      <c r="A601" s="20">
        <v>88316</v>
      </c>
      <c r="B601" s="70" t="s">
        <v>377</v>
      </c>
      <c r="C601" s="21" t="s">
        <v>12</v>
      </c>
      <c r="D601" s="21" t="s">
        <v>19</v>
      </c>
      <c r="E601" s="22">
        <v>0.44</v>
      </c>
      <c r="F601" s="22">
        <f t="shared" si="68"/>
        <v>11.798000000000002</v>
      </c>
      <c r="G601" s="22">
        <f t="shared" si="69"/>
        <v>5.19</v>
      </c>
      <c r="H601" s="337">
        <v>11.798000000000002</v>
      </c>
      <c r="I601" s="23" t="e">
        <f>IF(A601&lt;&gt;0,VLOOKUP(A601,#REF!,2,FALSE),"")</f>
        <v>#REF!</v>
      </c>
      <c r="K601" s="222"/>
    </row>
    <row r="602" spans="1:11" ht="15" customHeight="1">
      <c r="A602" s="719" t="s">
        <v>1893</v>
      </c>
      <c r="B602" s="719"/>
      <c r="C602" s="719"/>
      <c r="D602" s="719"/>
      <c r="E602" s="719"/>
      <c r="F602" s="719"/>
      <c r="G602" s="71">
        <f>ROUND(SUM(G594:G601),2)</f>
        <v>871.66</v>
      </c>
      <c r="K602" s="222"/>
    </row>
    <row r="603" spans="1:11" ht="26.25" customHeight="1">
      <c r="A603" s="72"/>
      <c r="B603" s="72"/>
      <c r="C603" s="752"/>
      <c r="D603" s="753"/>
      <c r="E603" s="72"/>
      <c r="F603" s="72"/>
      <c r="G603" s="72"/>
      <c r="K603" s="222"/>
    </row>
    <row r="604" spans="1:11" s="23" customFormat="1" ht="33" customHeight="1">
      <c r="A604" s="612" t="s">
        <v>2111</v>
      </c>
      <c r="B604" s="613"/>
      <c r="C604" s="613"/>
      <c r="D604" s="613"/>
      <c r="E604" s="613"/>
      <c r="F604" s="67" t="s">
        <v>1914</v>
      </c>
      <c r="G604" s="80"/>
      <c r="H604" s="346"/>
      <c r="J604" s="346"/>
      <c r="K604" s="222"/>
    </row>
    <row r="605" spans="1:11" s="23" customFormat="1" ht="28.5">
      <c r="A605" s="623" t="s">
        <v>1916</v>
      </c>
      <c r="B605" s="624"/>
      <c r="C605" s="69" t="s">
        <v>3</v>
      </c>
      <c r="D605" s="69" t="s">
        <v>4</v>
      </c>
      <c r="E605" s="69" t="s">
        <v>1826</v>
      </c>
      <c r="F605" s="69" t="s">
        <v>367</v>
      </c>
      <c r="G605" s="69" t="s">
        <v>368</v>
      </c>
      <c r="H605" s="346"/>
      <c r="J605" s="346"/>
      <c r="K605" s="222"/>
    </row>
    <row r="606" spans="1:11">
      <c r="A606" s="20">
        <v>4823</v>
      </c>
      <c r="B606" s="70" t="s">
        <v>497</v>
      </c>
      <c r="C606" s="21" t="s">
        <v>12</v>
      </c>
      <c r="D606" s="21" t="s">
        <v>45</v>
      </c>
      <c r="E606" s="22">
        <v>0.38440000000000002</v>
      </c>
      <c r="F606" s="22">
        <f>H606</f>
        <v>33.107500000000002</v>
      </c>
      <c r="G606" s="22">
        <f>ROUND(F606*E606,2)</f>
        <v>12.73</v>
      </c>
      <c r="H606" s="337">
        <v>33.107500000000002</v>
      </c>
      <c r="I606" s="23" t="e">
        <f>IF(A606&lt;&gt;0,VLOOKUP(A606,#REF!,2,FALSE),"")</f>
        <v>#REF!</v>
      </c>
      <c r="K606" s="222"/>
    </row>
    <row r="607" spans="1:11" ht="60">
      <c r="A607" s="20">
        <v>7568</v>
      </c>
      <c r="B607" s="70" t="s">
        <v>425</v>
      </c>
      <c r="C607" s="21" t="s">
        <v>12</v>
      </c>
      <c r="D607" s="21" t="s">
        <v>17</v>
      </c>
      <c r="E607" s="22">
        <v>6</v>
      </c>
      <c r="F607" s="22">
        <f t="shared" ref="F607:F613" si="70">H607</f>
        <v>0.30599999999999999</v>
      </c>
      <c r="G607" s="22">
        <f t="shared" ref="G607:G613" si="71">ROUND(F607*E607,2)</f>
        <v>1.84</v>
      </c>
      <c r="H607" s="337">
        <v>0.30599999999999999</v>
      </c>
      <c r="I607" s="23" t="e">
        <f>IF(A607&lt;&gt;0,VLOOKUP(A607,#REF!,2,FALSE),"")</f>
        <v>#REF!</v>
      </c>
      <c r="K607" s="222"/>
    </row>
    <row r="608" spans="1:11" ht="60">
      <c r="A608" s="20">
        <v>11795</v>
      </c>
      <c r="B608" s="70" t="s">
        <v>498</v>
      </c>
      <c r="C608" s="21" t="s">
        <v>12</v>
      </c>
      <c r="D608" s="21" t="s">
        <v>26</v>
      </c>
      <c r="E608" s="22">
        <v>0.377</v>
      </c>
      <c r="F608" s="22">
        <f t="shared" si="70"/>
        <v>359.24399999999997</v>
      </c>
      <c r="G608" s="22">
        <f t="shared" si="71"/>
        <v>135.43</v>
      </c>
      <c r="H608" s="337">
        <v>359.24399999999997</v>
      </c>
      <c r="I608" s="23" t="e">
        <f>IF(A608&lt;&gt;0,VLOOKUP(A608,#REF!,2,FALSE),"")</f>
        <v>#REF!</v>
      </c>
      <c r="K608" s="222"/>
    </row>
    <row r="609" spans="1:11">
      <c r="A609" s="20">
        <v>37329</v>
      </c>
      <c r="B609" s="70" t="s">
        <v>493</v>
      </c>
      <c r="C609" s="21" t="s">
        <v>12</v>
      </c>
      <c r="D609" s="21" t="s">
        <v>45</v>
      </c>
      <c r="E609" s="22">
        <v>2.5700000000000001E-2</v>
      </c>
      <c r="F609" s="22">
        <f t="shared" si="70"/>
        <v>59.916499999999999</v>
      </c>
      <c r="G609" s="22">
        <f t="shared" si="71"/>
        <v>1.54</v>
      </c>
      <c r="H609" s="337">
        <v>59.916499999999999</v>
      </c>
      <c r="I609" s="23" t="e">
        <f>IF(A609&lt;&gt;0,VLOOKUP(A609,#REF!,2,FALSE),"")</f>
        <v>#REF!</v>
      </c>
      <c r="K609" s="222"/>
    </row>
    <row r="610" spans="1:11" ht="45">
      <c r="A610" s="20">
        <v>37590</v>
      </c>
      <c r="B610" s="70" t="s">
        <v>499</v>
      </c>
      <c r="C610" s="21" t="s">
        <v>12</v>
      </c>
      <c r="D610" s="21" t="s">
        <v>17</v>
      </c>
      <c r="E610" s="22">
        <v>2</v>
      </c>
      <c r="F610" s="22">
        <f t="shared" si="70"/>
        <v>14.407499999999999</v>
      </c>
      <c r="G610" s="22">
        <f t="shared" si="71"/>
        <v>28.82</v>
      </c>
      <c r="H610" s="337">
        <v>14.407499999999999</v>
      </c>
      <c r="I610" s="23" t="e">
        <f>IF(A610&lt;&gt;0,VLOOKUP(A610,#REF!,2,FALSE),"")</f>
        <v>#REF!</v>
      </c>
      <c r="K610" s="222"/>
    </row>
    <row r="611" spans="1:11" s="231" customFormat="1" ht="45">
      <c r="A611" s="233">
        <v>7286</v>
      </c>
      <c r="B611" s="234" t="s">
        <v>500</v>
      </c>
      <c r="C611" s="235" t="s">
        <v>44</v>
      </c>
      <c r="D611" s="235" t="s">
        <v>17</v>
      </c>
      <c r="E611" s="236">
        <v>1</v>
      </c>
      <c r="F611" s="236">
        <f t="shared" si="70"/>
        <v>580.48199999999997</v>
      </c>
      <c r="G611" s="236">
        <f t="shared" si="71"/>
        <v>580.48</v>
      </c>
      <c r="H611" s="336">
        <v>580.48199999999997</v>
      </c>
      <c r="I611" s="38" t="e">
        <f>IF(A611&lt;&gt;0,VLOOKUP(A611,#REF!,2,FALSE),"")</f>
        <v>#REF!</v>
      </c>
      <c r="J611" s="336"/>
      <c r="K611" s="222"/>
    </row>
    <row r="612" spans="1:11" ht="30">
      <c r="A612" s="20">
        <v>88274</v>
      </c>
      <c r="B612" s="70" t="s">
        <v>501</v>
      </c>
      <c r="C612" s="21" t="s">
        <v>12</v>
      </c>
      <c r="D612" s="21" t="s">
        <v>19</v>
      </c>
      <c r="E612" s="22">
        <v>1.92</v>
      </c>
      <c r="F612" s="22">
        <f t="shared" si="70"/>
        <v>16.745000000000001</v>
      </c>
      <c r="G612" s="22">
        <f t="shared" si="71"/>
        <v>32.15</v>
      </c>
      <c r="H612" s="337">
        <v>16.745000000000001</v>
      </c>
      <c r="I612" s="23" t="e">
        <f>IF(A612&lt;&gt;0,VLOOKUP(A612,#REF!,2,FALSE),"")</f>
        <v>#REF!</v>
      </c>
      <c r="K612" s="222"/>
    </row>
    <row r="613" spans="1:11" ht="30">
      <c r="A613" s="20">
        <v>88316</v>
      </c>
      <c r="B613" s="70" t="s">
        <v>377</v>
      </c>
      <c r="C613" s="21" t="s">
        <v>12</v>
      </c>
      <c r="D613" s="21" t="s">
        <v>19</v>
      </c>
      <c r="E613" s="22">
        <v>0.98</v>
      </c>
      <c r="F613" s="22">
        <f t="shared" si="70"/>
        <v>11.798000000000002</v>
      </c>
      <c r="G613" s="22">
        <f t="shared" si="71"/>
        <v>11.56</v>
      </c>
      <c r="H613" s="337">
        <v>11.798000000000002</v>
      </c>
      <c r="I613" s="23" t="e">
        <f>IF(A613&lt;&gt;0,VLOOKUP(A613,#REF!,2,FALSE),"")</f>
        <v>#REF!</v>
      </c>
      <c r="K613" s="222"/>
    </row>
    <row r="614" spans="1:11" ht="15" customHeight="1">
      <c r="A614" s="719" t="s">
        <v>1893</v>
      </c>
      <c r="B614" s="719"/>
      <c r="C614" s="719"/>
      <c r="D614" s="719"/>
      <c r="E614" s="719"/>
      <c r="F614" s="719"/>
      <c r="G614" s="71">
        <f>ROUND(SUM(G606:G613),2)</f>
        <v>804.55</v>
      </c>
      <c r="K614" s="222"/>
    </row>
    <row r="615" spans="1:11" ht="22.5" customHeight="1">
      <c r="A615" s="72"/>
      <c r="B615" s="72"/>
      <c r="C615" s="752"/>
      <c r="D615" s="753"/>
      <c r="E615" s="72"/>
      <c r="F615" s="72"/>
      <c r="G615" s="72"/>
      <c r="K615" s="222"/>
    </row>
    <row r="616" spans="1:11" ht="37.5" customHeight="1">
      <c r="A616" s="612" t="s">
        <v>632</v>
      </c>
      <c r="B616" s="613"/>
      <c r="C616" s="613"/>
      <c r="D616" s="613"/>
      <c r="E616" s="613"/>
      <c r="F616" s="67" t="s">
        <v>70</v>
      </c>
      <c r="G616" s="80"/>
      <c r="K616" s="222"/>
    </row>
    <row r="617" spans="1:11" ht="28.5">
      <c r="A617" s="623" t="s">
        <v>1916</v>
      </c>
      <c r="B617" s="624"/>
      <c r="C617" s="69" t="s">
        <v>3</v>
      </c>
      <c r="D617" s="69" t="s">
        <v>4</v>
      </c>
      <c r="E617" s="69" t="s">
        <v>1826</v>
      </c>
      <c r="F617" s="69" t="s">
        <v>367</v>
      </c>
      <c r="G617" s="69" t="s">
        <v>368</v>
      </c>
      <c r="K617" s="222"/>
    </row>
    <row r="618" spans="1:11" s="23" customFormat="1">
      <c r="A618" s="21">
        <v>4350</v>
      </c>
      <c r="B618" s="70" t="e">
        <f>I618</f>
        <v>#REF!</v>
      </c>
      <c r="C618" s="21" t="s">
        <v>12</v>
      </c>
      <c r="D618" s="21" t="s">
        <v>17</v>
      </c>
      <c r="E618" s="22">
        <v>2</v>
      </c>
      <c r="F618" s="22">
        <f>H618</f>
        <v>0.29749999999999999</v>
      </c>
      <c r="G618" s="22">
        <f>ROUND(F618*E618,2)</f>
        <v>0.6</v>
      </c>
      <c r="H618" s="346">
        <v>0.29749999999999999</v>
      </c>
      <c r="I618" s="23" t="e">
        <f>IF(A618&lt;&gt;0,VLOOKUP(A618,#REF!,2,FALSE),"")</f>
        <v>#REF!</v>
      </c>
      <c r="J618" s="346"/>
      <c r="K618" s="222"/>
    </row>
    <row r="619" spans="1:11" ht="30">
      <c r="A619" s="20">
        <v>10425</v>
      </c>
      <c r="B619" s="70" t="s">
        <v>502</v>
      </c>
      <c r="C619" s="21" t="s">
        <v>12</v>
      </c>
      <c r="D619" s="21" t="s">
        <v>17</v>
      </c>
      <c r="E619" s="22">
        <v>1</v>
      </c>
      <c r="F619" s="22">
        <f>H619</f>
        <v>67.405000000000001</v>
      </c>
      <c r="G619" s="22">
        <f>ROUND(F619*E619,2)</f>
        <v>67.41</v>
      </c>
      <c r="H619" s="337">
        <v>67.405000000000001</v>
      </c>
      <c r="I619" s="23" t="e">
        <f>IF(A619&lt;&gt;0,VLOOKUP(A619,#REF!,2,FALSE),"")</f>
        <v>#REF!</v>
      </c>
      <c r="K619" s="222"/>
    </row>
    <row r="620" spans="1:11" ht="30">
      <c r="A620" s="20">
        <v>11683</v>
      </c>
      <c r="B620" s="70" t="s">
        <v>503</v>
      </c>
      <c r="C620" s="21" t="s">
        <v>12</v>
      </c>
      <c r="D620" s="21" t="s">
        <v>17</v>
      </c>
      <c r="E620" s="22">
        <v>1</v>
      </c>
      <c r="F620" s="22">
        <f t="shared" ref="F620:F627" si="72">H620</f>
        <v>22.219000000000001</v>
      </c>
      <c r="G620" s="22">
        <f t="shared" ref="G620:G627" si="73">ROUND(F620*E620,2)</f>
        <v>22.22</v>
      </c>
      <c r="H620" s="337">
        <v>22.219000000000001</v>
      </c>
      <c r="I620" s="23" t="e">
        <f>IF(A620&lt;&gt;0,VLOOKUP(A620,#REF!,2,FALSE),"")</f>
        <v>#REF!</v>
      </c>
      <c r="K620" s="222"/>
    </row>
    <row r="621" spans="1:11" ht="30">
      <c r="A621" s="20">
        <v>3146</v>
      </c>
      <c r="B621" s="70" t="s">
        <v>471</v>
      </c>
      <c r="C621" s="21" t="s">
        <v>12</v>
      </c>
      <c r="D621" s="21" t="s">
        <v>17</v>
      </c>
      <c r="E621" s="22">
        <v>8.4000000000000005E-2</v>
      </c>
      <c r="F621" s="22">
        <f t="shared" si="72"/>
        <v>3.06</v>
      </c>
      <c r="G621" s="22">
        <f t="shared" si="73"/>
        <v>0.26</v>
      </c>
      <c r="H621" s="337">
        <v>3.06</v>
      </c>
      <c r="I621" s="23" t="e">
        <f>IF(A621&lt;&gt;0,VLOOKUP(A621,#REF!,2,FALSE),"")</f>
        <v>#REF!</v>
      </c>
      <c r="K621" s="222"/>
    </row>
    <row r="622" spans="1:11" ht="60">
      <c r="A622" s="20">
        <v>4351</v>
      </c>
      <c r="B622" s="70" t="s">
        <v>504</v>
      </c>
      <c r="C622" s="21" t="s">
        <v>12</v>
      </c>
      <c r="D622" s="21" t="s">
        <v>17</v>
      </c>
      <c r="E622" s="22">
        <v>2</v>
      </c>
      <c r="F622" s="22">
        <f t="shared" si="72"/>
        <v>7.8540000000000001</v>
      </c>
      <c r="G622" s="22">
        <f t="shared" si="73"/>
        <v>15.71</v>
      </c>
      <c r="H622" s="337">
        <v>7.8540000000000001</v>
      </c>
      <c r="I622" s="23" t="e">
        <f>IF(A622&lt;&gt;0,VLOOKUP(A622,#REF!,2,FALSE),"")</f>
        <v>#REF!</v>
      </c>
      <c r="K622" s="222"/>
    </row>
    <row r="623" spans="1:11" ht="30">
      <c r="A623" s="20">
        <v>6136</v>
      </c>
      <c r="B623" s="70" t="s">
        <v>505</v>
      </c>
      <c r="C623" s="21" t="s">
        <v>12</v>
      </c>
      <c r="D623" s="21" t="s">
        <v>17</v>
      </c>
      <c r="E623" s="22">
        <v>1</v>
      </c>
      <c r="F623" s="22">
        <f t="shared" si="72"/>
        <v>96.9</v>
      </c>
      <c r="G623" s="22">
        <f t="shared" si="73"/>
        <v>96.9</v>
      </c>
      <c r="H623" s="337">
        <v>96.9</v>
      </c>
      <c r="I623" s="34" t="e">
        <f>IF(A623&lt;&gt;0,VLOOKUP(A623,#REF!,2,FALSE),"")</f>
        <v>#REF!</v>
      </c>
      <c r="K623" s="222"/>
    </row>
    <row r="624" spans="1:11" ht="45">
      <c r="A624" s="20">
        <v>13415</v>
      </c>
      <c r="B624" s="70" t="s">
        <v>506</v>
      </c>
      <c r="C624" s="21" t="s">
        <v>12</v>
      </c>
      <c r="D624" s="21" t="s">
        <v>17</v>
      </c>
      <c r="E624" s="22">
        <v>1</v>
      </c>
      <c r="F624" s="22">
        <f t="shared" si="72"/>
        <v>46.622500000000002</v>
      </c>
      <c r="G624" s="22">
        <f t="shared" si="73"/>
        <v>46.62</v>
      </c>
      <c r="H624" s="337">
        <v>46.622500000000002</v>
      </c>
      <c r="I624" s="34" t="e">
        <f>IF(A624&lt;&gt;0,VLOOKUP(A624,#REF!,2,FALSE),"")</f>
        <v>#REF!</v>
      </c>
      <c r="K624" s="222"/>
    </row>
    <row r="625" spans="1:11" ht="30">
      <c r="A625" s="20">
        <v>10228</v>
      </c>
      <c r="B625" s="70" t="s">
        <v>507</v>
      </c>
      <c r="C625" s="21" t="s">
        <v>12</v>
      </c>
      <c r="D625" s="21" t="s">
        <v>17</v>
      </c>
      <c r="E625" s="22">
        <v>1</v>
      </c>
      <c r="F625" s="22">
        <f t="shared" si="72"/>
        <v>190.57</v>
      </c>
      <c r="G625" s="22">
        <f t="shared" si="73"/>
        <v>190.57</v>
      </c>
      <c r="H625" s="337">
        <v>190.57</v>
      </c>
      <c r="I625" s="34" t="e">
        <f>IF(A625&lt;&gt;0,VLOOKUP(A625,#REF!,2,FALSE),"")</f>
        <v>#REF!</v>
      </c>
      <c r="K625" s="222"/>
    </row>
    <row r="626" spans="1:11" ht="30">
      <c r="A626" s="20">
        <v>88267</v>
      </c>
      <c r="B626" s="70" t="s">
        <v>472</v>
      </c>
      <c r="C626" s="21" t="s">
        <v>12</v>
      </c>
      <c r="D626" s="21" t="s">
        <v>19</v>
      </c>
      <c r="E626" s="22">
        <v>2.75</v>
      </c>
      <c r="F626" s="22">
        <f t="shared" si="72"/>
        <v>14.7135</v>
      </c>
      <c r="G626" s="22">
        <f t="shared" si="73"/>
        <v>40.46</v>
      </c>
      <c r="H626" s="337">
        <v>14.7135</v>
      </c>
      <c r="I626" s="23" t="e">
        <f>IF(A626&lt;&gt;0,VLOOKUP(A626,#REF!,2,FALSE),"")</f>
        <v>#REF!</v>
      </c>
      <c r="K626" s="222"/>
    </row>
    <row r="627" spans="1:11" ht="30">
      <c r="A627" s="20">
        <v>88252</v>
      </c>
      <c r="B627" s="70" t="s">
        <v>460</v>
      </c>
      <c r="C627" s="21" t="s">
        <v>12</v>
      </c>
      <c r="D627" s="21" t="s">
        <v>19</v>
      </c>
      <c r="E627" s="22">
        <v>2.75</v>
      </c>
      <c r="F627" s="22">
        <f t="shared" si="72"/>
        <v>12.3505</v>
      </c>
      <c r="G627" s="22">
        <f t="shared" si="73"/>
        <v>33.96</v>
      </c>
      <c r="H627" s="337">
        <v>12.3505</v>
      </c>
      <c r="I627" s="23" t="e">
        <f>IF(A627&lt;&gt;0,VLOOKUP(A627,#REF!,2,FALSE),"")</f>
        <v>#REF!</v>
      </c>
      <c r="K627" s="222"/>
    </row>
    <row r="628" spans="1:11" ht="15" customHeight="1">
      <c r="A628" s="719" t="s">
        <v>1893</v>
      </c>
      <c r="B628" s="719"/>
      <c r="C628" s="719"/>
      <c r="D628" s="719"/>
      <c r="E628" s="719"/>
      <c r="F628" s="719"/>
      <c r="G628" s="71">
        <f>ROUND(SUM(G618:G627),2)</f>
        <v>514.71</v>
      </c>
      <c r="K628" s="222"/>
    </row>
    <row r="629" spans="1:11">
      <c r="A629" s="72"/>
      <c r="B629" s="72"/>
      <c r="C629" s="752"/>
      <c r="D629" s="753"/>
      <c r="E629" s="72"/>
      <c r="F629" s="72"/>
      <c r="G629" s="72"/>
      <c r="K629" s="222"/>
    </row>
    <row r="630" spans="1:11">
      <c r="A630" s="72"/>
      <c r="B630" s="72"/>
      <c r="C630" s="754"/>
      <c r="D630" s="754"/>
      <c r="E630" s="72"/>
      <c r="F630" s="72"/>
      <c r="G630" s="72"/>
      <c r="K630" s="222"/>
    </row>
    <row r="631" spans="1:11" ht="35.25" customHeight="1">
      <c r="A631" s="612" t="s">
        <v>2112</v>
      </c>
      <c r="B631" s="613"/>
      <c r="C631" s="613"/>
      <c r="D631" s="613"/>
      <c r="E631" s="613"/>
      <c r="F631" s="67" t="s">
        <v>44</v>
      </c>
      <c r="G631" s="82"/>
      <c r="K631" s="222"/>
    </row>
    <row r="632" spans="1:11" ht="28.5">
      <c r="A632" s="755" t="s">
        <v>364</v>
      </c>
      <c r="B632" s="756"/>
      <c r="C632" s="69" t="s">
        <v>3</v>
      </c>
      <c r="D632" s="69" t="s">
        <v>4</v>
      </c>
      <c r="E632" s="69" t="s">
        <v>1826</v>
      </c>
      <c r="F632" s="69" t="s">
        <v>367</v>
      </c>
      <c r="G632" s="69" t="s">
        <v>368</v>
      </c>
      <c r="K632" s="222"/>
    </row>
    <row r="633" spans="1:11" s="38" customFormat="1" ht="30">
      <c r="A633" s="20">
        <v>10646</v>
      </c>
      <c r="B633" s="70" t="s">
        <v>1827</v>
      </c>
      <c r="C633" s="21" t="s">
        <v>44</v>
      </c>
      <c r="D633" s="21" t="s">
        <v>52</v>
      </c>
      <c r="E633" s="22">
        <v>1</v>
      </c>
      <c r="F633" s="22">
        <f>H633</f>
        <v>718.98099999999999</v>
      </c>
      <c r="G633" s="22">
        <f>ROUND(F633*E633,2)</f>
        <v>718.98</v>
      </c>
      <c r="H633" s="336">
        <v>718.98099999999999</v>
      </c>
      <c r="I633" s="38" t="e">
        <f>IF(A633&lt;&gt;0,VLOOKUP(A633,#REF!,2,FALSE),"")</f>
        <v>#REF!</v>
      </c>
      <c r="J633" s="336"/>
      <c r="K633" s="222"/>
    </row>
    <row r="634" spans="1:11" ht="30">
      <c r="A634" s="20">
        <v>370</v>
      </c>
      <c r="B634" s="70" t="s">
        <v>396</v>
      </c>
      <c r="C634" s="21" t="s">
        <v>12</v>
      </c>
      <c r="D634" s="21" t="s">
        <v>35</v>
      </c>
      <c r="E634" s="83">
        <v>0.69299999999999995</v>
      </c>
      <c r="F634" s="22">
        <f>H634</f>
        <v>42.5</v>
      </c>
      <c r="G634" s="22">
        <f>ROUND(F634*E634,2)</f>
        <v>29.45</v>
      </c>
      <c r="H634" s="337">
        <v>42.5</v>
      </c>
      <c r="I634" s="23" t="e">
        <f>IF(A634&lt;&gt;0,VLOOKUP(A634,#REF!,2,FALSE),"")</f>
        <v>#REF!</v>
      </c>
      <c r="K634" s="222"/>
    </row>
    <row r="635" spans="1:11" ht="30">
      <c r="A635" s="20">
        <v>88309</v>
      </c>
      <c r="B635" s="70" t="s">
        <v>390</v>
      </c>
      <c r="C635" s="21" t="s">
        <v>12</v>
      </c>
      <c r="D635" s="21" t="s">
        <v>19</v>
      </c>
      <c r="E635" s="22">
        <v>0.18</v>
      </c>
      <c r="F635" s="22">
        <f>H635</f>
        <v>15.121499999999999</v>
      </c>
      <c r="G635" s="22">
        <f>ROUND(F635*E635,2)</f>
        <v>2.72</v>
      </c>
      <c r="H635" s="337">
        <v>15.121499999999999</v>
      </c>
      <c r="I635" s="23" t="e">
        <f>IF(A635&lt;&gt;0,VLOOKUP(A635,#REF!,2,FALSE),"")</f>
        <v>#REF!</v>
      </c>
      <c r="K635" s="222"/>
    </row>
    <row r="636" spans="1:11" ht="30">
      <c r="A636" s="20">
        <v>88316</v>
      </c>
      <c r="B636" s="70" t="s">
        <v>377</v>
      </c>
      <c r="C636" s="21" t="s">
        <v>12</v>
      </c>
      <c r="D636" s="21" t="s">
        <v>19</v>
      </c>
      <c r="E636" s="22">
        <v>0.3</v>
      </c>
      <c r="F636" s="22">
        <f>H636</f>
        <v>11.798000000000002</v>
      </c>
      <c r="G636" s="22">
        <f>ROUND(F636*E636,2)</f>
        <v>3.54</v>
      </c>
      <c r="H636" s="337">
        <v>11.798000000000002</v>
      </c>
      <c r="I636" s="23" t="e">
        <f>IF(A636&lt;&gt;0,VLOOKUP(A636,#REF!,2,FALSE),"")</f>
        <v>#REF!</v>
      </c>
      <c r="K636" s="222"/>
    </row>
    <row r="637" spans="1:11" ht="105">
      <c r="A637" s="20">
        <v>53786</v>
      </c>
      <c r="B637" s="70" t="s">
        <v>1806</v>
      </c>
      <c r="C637" s="21" t="s">
        <v>12</v>
      </c>
      <c r="D637" s="21" t="s">
        <v>19</v>
      </c>
      <c r="E637" s="84">
        <v>4.4999999999999997E-3</v>
      </c>
      <c r="F637" s="22">
        <f>H637</f>
        <v>35.173000000000002</v>
      </c>
      <c r="G637" s="22">
        <f>ROUND(F637*E637,2)</f>
        <v>0.16</v>
      </c>
      <c r="H637" s="337">
        <v>35.173000000000002</v>
      </c>
      <c r="I637" s="23" t="e">
        <f>IF(A637&lt;&gt;0,VLOOKUP(A637,#REF!,2,FALSE),"")</f>
        <v>#REF!</v>
      </c>
      <c r="K637" s="222"/>
    </row>
    <row r="638" spans="1:11" ht="15" customHeight="1">
      <c r="A638" s="719" t="s">
        <v>1893</v>
      </c>
      <c r="B638" s="719"/>
      <c r="C638" s="719"/>
      <c r="D638" s="719"/>
      <c r="E638" s="719"/>
      <c r="F638" s="719"/>
      <c r="G638" s="71">
        <f>ROUND(SUM(G633:G637),2)</f>
        <v>754.85</v>
      </c>
      <c r="K638" s="222"/>
    </row>
    <row r="639" spans="1:11" ht="30" customHeight="1">
      <c r="A639" s="72"/>
      <c r="B639" s="72"/>
      <c r="C639" s="752"/>
      <c r="D639" s="753"/>
      <c r="E639" s="72"/>
      <c r="F639" s="72"/>
      <c r="G639" s="72"/>
      <c r="K639" s="222"/>
    </row>
    <row r="640" spans="1:11" ht="36" customHeight="1">
      <c r="A640" s="612" t="s">
        <v>2481</v>
      </c>
      <c r="B640" s="613"/>
      <c r="C640" s="613"/>
      <c r="D640" s="613"/>
      <c r="E640" s="613"/>
      <c r="F640" s="67" t="s">
        <v>44</v>
      </c>
      <c r="G640" s="80"/>
      <c r="K640" s="222"/>
    </row>
    <row r="641" spans="1:11" ht="28.5">
      <c r="A641" s="623" t="s">
        <v>364</v>
      </c>
      <c r="B641" s="624"/>
      <c r="C641" s="69" t="s">
        <v>3</v>
      </c>
      <c r="D641" s="69" t="s">
        <v>4</v>
      </c>
      <c r="E641" s="69" t="s">
        <v>1826</v>
      </c>
      <c r="F641" s="69" t="s">
        <v>367</v>
      </c>
      <c r="G641" s="69" t="s">
        <v>368</v>
      </c>
      <c r="K641" s="222"/>
    </row>
    <row r="642" spans="1:11" ht="30">
      <c r="A642" s="20">
        <v>370</v>
      </c>
      <c r="B642" s="70" t="s">
        <v>396</v>
      </c>
      <c r="C642" s="21" t="s">
        <v>12</v>
      </c>
      <c r="D642" s="21" t="s">
        <v>35</v>
      </c>
      <c r="E642" s="22">
        <v>0.498</v>
      </c>
      <c r="F642" s="22">
        <f>H642</f>
        <v>42.5</v>
      </c>
      <c r="G642" s="22">
        <f>ROUND(F642*E642,2)</f>
        <v>21.17</v>
      </c>
      <c r="H642" s="337">
        <v>42.5</v>
      </c>
      <c r="I642" s="23" t="e">
        <f>IF(A642&lt;&gt;0,VLOOKUP(A642,#REF!,2,FALSE),"")</f>
        <v>#REF!</v>
      </c>
      <c r="K642" s="222"/>
    </row>
    <row r="643" spans="1:11" s="38" customFormat="1" ht="30">
      <c r="A643" s="20">
        <v>10639</v>
      </c>
      <c r="B643" s="70" t="s">
        <v>1828</v>
      </c>
      <c r="C643" s="21" t="s">
        <v>44</v>
      </c>
      <c r="D643" s="21" t="s">
        <v>52</v>
      </c>
      <c r="E643" s="22">
        <v>1</v>
      </c>
      <c r="F643" s="22">
        <f>H643</f>
        <v>468.52850000000001</v>
      </c>
      <c r="G643" s="22">
        <f>ROUND(F643*E643,2)</f>
        <v>468.53</v>
      </c>
      <c r="H643" s="336">
        <v>468.52850000000001</v>
      </c>
      <c r="I643" s="38" t="e">
        <f>IF(A643&lt;&gt;0,VLOOKUP(A643,#REF!,2,FALSE),"")</f>
        <v>#REF!</v>
      </c>
      <c r="J643" s="336"/>
      <c r="K643" s="222"/>
    </row>
    <row r="644" spans="1:11" ht="30">
      <c r="A644" s="20">
        <v>88309</v>
      </c>
      <c r="B644" s="70" t="s">
        <v>390</v>
      </c>
      <c r="C644" s="21" t="s">
        <v>12</v>
      </c>
      <c r="D644" s="21" t="s">
        <v>19</v>
      </c>
      <c r="E644" s="22">
        <v>0.18</v>
      </c>
      <c r="F644" s="22">
        <f>H644</f>
        <v>15.121499999999999</v>
      </c>
      <c r="G644" s="22">
        <f>ROUND(F644*E644,2)</f>
        <v>2.72</v>
      </c>
      <c r="H644" s="337">
        <v>15.121499999999999</v>
      </c>
      <c r="I644" s="23" t="e">
        <f>IF(A644&lt;&gt;0,VLOOKUP(A644,#REF!,2,FALSE),"")</f>
        <v>#REF!</v>
      </c>
      <c r="K644" s="222"/>
    </row>
    <row r="645" spans="1:11" ht="30">
      <c r="A645" s="20">
        <v>88316</v>
      </c>
      <c r="B645" s="70" t="s">
        <v>377</v>
      </c>
      <c r="C645" s="21" t="s">
        <v>12</v>
      </c>
      <c r="D645" s="21" t="s">
        <v>19</v>
      </c>
      <c r="E645" s="22">
        <v>0.3</v>
      </c>
      <c r="F645" s="22">
        <f>H645</f>
        <v>11.798000000000002</v>
      </c>
      <c r="G645" s="22">
        <f>ROUND(F645*E645,2)</f>
        <v>3.54</v>
      </c>
      <c r="H645" s="337">
        <v>11.798000000000002</v>
      </c>
      <c r="I645" s="23" t="e">
        <f>IF(A645&lt;&gt;0,VLOOKUP(A645,#REF!,2,FALSE),"")</f>
        <v>#REF!</v>
      </c>
      <c r="K645" s="222"/>
    </row>
    <row r="646" spans="1:11" ht="15" customHeight="1">
      <c r="A646" s="719" t="s">
        <v>1893</v>
      </c>
      <c r="B646" s="719"/>
      <c r="C646" s="719"/>
      <c r="D646" s="719"/>
      <c r="E646" s="719"/>
      <c r="F646" s="719"/>
      <c r="G646" s="71">
        <f>ROUND(SUM(G642:G645),2)</f>
        <v>495.96</v>
      </c>
      <c r="K646" s="222"/>
    </row>
    <row r="647" spans="1:11" ht="26.25" customHeight="1">
      <c r="A647" s="72"/>
      <c r="B647" s="72"/>
      <c r="C647" s="752"/>
      <c r="D647" s="753"/>
      <c r="E647" s="72"/>
      <c r="F647" s="72"/>
      <c r="G647" s="72"/>
      <c r="K647" s="222"/>
    </row>
    <row r="648" spans="1:11" ht="29.25" customHeight="1">
      <c r="A648" s="612" t="s">
        <v>2480</v>
      </c>
      <c r="B648" s="613"/>
      <c r="C648" s="613"/>
      <c r="D648" s="613"/>
      <c r="E648" s="613"/>
      <c r="F648" s="67" t="s">
        <v>44</v>
      </c>
      <c r="G648" s="80"/>
      <c r="K648" s="222"/>
    </row>
    <row r="649" spans="1:11" ht="28.5">
      <c r="A649" s="623" t="s">
        <v>364</v>
      </c>
      <c r="B649" s="624"/>
      <c r="C649" s="69" t="s">
        <v>3</v>
      </c>
      <c r="D649" s="69" t="s">
        <v>4</v>
      </c>
      <c r="E649" s="69" t="s">
        <v>1826</v>
      </c>
      <c r="F649" s="69" t="s">
        <v>367</v>
      </c>
      <c r="G649" s="69" t="s">
        <v>368</v>
      </c>
      <c r="K649" s="222"/>
    </row>
    <row r="650" spans="1:11" ht="30">
      <c r="A650" s="20">
        <v>370</v>
      </c>
      <c r="B650" s="70" t="s">
        <v>396</v>
      </c>
      <c r="C650" s="21" t="s">
        <v>12</v>
      </c>
      <c r="D650" s="21" t="s">
        <v>35</v>
      </c>
      <c r="E650" s="84">
        <v>1.141</v>
      </c>
      <c r="F650" s="22">
        <f>H650</f>
        <v>42.5</v>
      </c>
      <c r="G650" s="22">
        <f>ROUND(F650*E650,2)</f>
        <v>48.49</v>
      </c>
      <c r="H650" s="337">
        <v>42.5</v>
      </c>
      <c r="I650" s="23" t="e">
        <f>IF(A650&lt;&gt;0,VLOOKUP(A650,#REF!,2,FALSE),"")</f>
        <v>#REF!</v>
      </c>
      <c r="K650" s="222"/>
    </row>
    <row r="651" spans="1:11" s="38" customFormat="1" ht="30">
      <c r="A651" s="20">
        <v>10648</v>
      </c>
      <c r="B651" s="70" t="s">
        <v>2479</v>
      </c>
      <c r="C651" s="21" t="s">
        <v>44</v>
      </c>
      <c r="D651" s="21" t="s">
        <v>52</v>
      </c>
      <c r="E651" s="84">
        <v>1</v>
      </c>
      <c r="F651" s="22">
        <f>H651</f>
        <v>1236.6990000000001</v>
      </c>
      <c r="G651" s="22">
        <f>ROUND(F651*E651,2)</f>
        <v>1236.7</v>
      </c>
      <c r="H651" s="336">
        <v>1236.6990000000001</v>
      </c>
      <c r="I651" s="38" t="e">
        <f>IF(A651&lt;&gt;0,VLOOKUP(A651,#REF!,2,FALSE),"")</f>
        <v>#REF!</v>
      </c>
      <c r="J651" s="336"/>
      <c r="K651" s="222"/>
    </row>
    <row r="652" spans="1:11" ht="30">
      <c r="A652" s="20">
        <v>88309</v>
      </c>
      <c r="B652" s="70" t="s">
        <v>390</v>
      </c>
      <c r="C652" s="21" t="s">
        <v>12</v>
      </c>
      <c r="D652" s="21" t="s">
        <v>19</v>
      </c>
      <c r="E652" s="84">
        <v>0.20300000000000001</v>
      </c>
      <c r="F652" s="22">
        <f>H652</f>
        <v>15.121499999999999</v>
      </c>
      <c r="G652" s="22">
        <f>ROUND(F652*E652,2)</f>
        <v>3.07</v>
      </c>
      <c r="H652" s="337">
        <v>15.121499999999999</v>
      </c>
      <c r="I652" s="23" t="e">
        <f>IF(A652&lt;&gt;0,VLOOKUP(A652,#REF!,2,FALSE),"")</f>
        <v>#REF!</v>
      </c>
      <c r="K652" s="222"/>
    </row>
    <row r="653" spans="1:11" ht="30">
      <c r="A653" s="20">
        <v>88316</v>
      </c>
      <c r="B653" s="70" t="s">
        <v>377</v>
      </c>
      <c r="C653" s="21" t="s">
        <v>12</v>
      </c>
      <c r="D653" s="21" t="s">
        <v>19</v>
      </c>
      <c r="E653" s="84">
        <v>0.36899999999999999</v>
      </c>
      <c r="F653" s="22">
        <f>H653</f>
        <v>11.798000000000002</v>
      </c>
      <c r="G653" s="22">
        <f>ROUND(F653*E653,2)</f>
        <v>4.3499999999999996</v>
      </c>
      <c r="H653" s="337">
        <v>11.798000000000002</v>
      </c>
      <c r="I653" s="23" t="e">
        <f>IF(A653&lt;&gt;0,VLOOKUP(A653,#REF!,2,FALSE),"")</f>
        <v>#REF!</v>
      </c>
      <c r="K653" s="222"/>
    </row>
    <row r="654" spans="1:11" ht="105">
      <c r="A654" s="20">
        <v>53786</v>
      </c>
      <c r="B654" s="70" t="s">
        <v>1806</v>
      </c>
      <c r="C654" s="21" t="s">
        <v>12</v>
      </c>
      <c r="D654" s="21" t="s">
        <v>19</v>
      </c>
      <c r="E654" s="84">
        <v>1.5800000000000002E-2</v>
      </c>
      <c r="F654" s="22">
        <f>H654</f>
        <v>35.173000000000002</v>
      </c>
      <c r="G654" s="22">
        <f>ROUND(F654*E654,2)</f>
        <v>0.56000000000000005</v>
      </c>
      <c r="H654" s="337">
        <v>35.173000000000002</v>
      </c>
      <c r="I654" s="23" t="e">
        <f>IF(A654&lt;&gt;0,VLOOKUP(A654,#REF!,2,FALSE),"")</f>
        <v>#REF!</v>
      </c>
      <c r="K654" s="222"/>
    </row>
    <row r="655" spans="1:11" ht="15" customHeight="1">
      <c r="A655" s="719" t="s">
        <v>1893</v>
      </c>
      <c r="B655" s="719"/>
      <c r="C655" s="719"/>
      <c r="D655" s="719"/>
      <c r="E655" s="719"/>
      <c r="F655" s="719"/>
      <c r="G655" s="71">
        <f>ROUND(SUM(G650:G654),2)</f>
        <v>1293.17</v>
      </c>
      <c r="K655" s="222"/>
    </row>
    <row r="656" spans="1:11" ht="22.5" customHeight="1">
      <c r="A656" s="72"/>
      <c r="B656" s="72"/>
      <c r="C656" s="752"/>
      <c r="D656" s="753"/>
      <c r="E656" s="72"/>
      <c r="F656" s="72"/>
      <c r="G656" s="72"/>
      <c r="K656" s="222"/>
    </row>
    <row r="657" spans="1:11" ht="21.75" customHeight="1">
      <c r="A657" s="612" t="s">
        <v>2114</v>
      </c>
      <c r="B657" s="613"/>
      <c r="C657" s="613"/>
      <c r="D657" s="613"/>
      <c r="E657" s="613"/>
      <c r="F657" s="67" t="s">
        <v>1914</v>
      </c>
      <c r="G657" s="80"/>
      <c r="K657" s="222"/>
    </row>
    <row r="658" spans="1:11" ht="28.5">
      <c r="A658" s="623" t="s">
        <v>364</v>
      </c>
      <c r="B658" s="624"/>
      <c r="C658" s="69" t="s">
        <v>3</v>
      </c>
      <c r="D658" s="69" t="s">
        <v>4</v>
      </c>
      <c r="E658" s="69" t="s">
        <v>1826</v>
      </c>
      <c r="F658" s="85" t="s">
        <v>367</v>
      </c>
      <c r="G658" s="69" t="s">
        <v>368</v>
      </c>
      <c r="K658" s="222"/>
    </row>
    <row r="659" spans="1:11" ht="30">
      <c r="A659" s="20">
        <v>39319</v>
      </c>
      <c r="B659" s="70" t="s">
        <v>512</v>
      </c>
      <c r="C659" s="21" t="s">
        <v>12</v>
      </c>
      <c r="D659" s="21" t="s">
        <v>17</v>
      </c>
      <c r="E659" s="22">
        <v>1</v>
      </c>
      <c r="F659" s="22">
        <f>H659</f>
        <v>5.1764999999999999</v>
      </c>
      <c r="G659" s="22">
        <f>ROUND(F659*E659,2)</f>
        <v>5.18</v>
      </c>
      <c r="H659" s="337">
        <v>5.1764999999999999</v>
      </c>
      <c r="I659" s="23" t="e">
        <f>IF(A659&lt;&gt;0,VLOOKUP(A659,#REF!,2,FALSE),"")</f>
        <v>#REF!</v>
      </c>
      <c r="K659" s="222"/>
    </row>
    <row r="660" spans="1:11" ht="30">
      <c r="A660" s="20">
        <v>88267</v>
      </c>
      <c r="B660" s="70" t="s">
        <v>472</v>
      </c>
      <c r="C660" s="21" t="s">
        <v>12</v>
      </c>
      <c r="D660" s="21" t="s">
        <v>19</v>
      </c>
      <c r="E660" s="22">
        <v>0.61899999999999999</v>
      </c>
      <c r="F660" s="22">
        <f>H660</f>
        <v>14.7135</v>
      </c>
      <c r="G660" s="22">
        <f>ROUND(F660*E660,2)</f>
        <v>9.11</v>
      </c>
      <c r="H660" s="337">
        <v>14.7135</v>
      </c>
      <c r="I660" s="23" t="e">
        <f>IF(A660&lt;&gt;0,VLOOKUP(A660,#REF!,2,FALSE),"")</f>
        <v>#REF!</v>
      </c>
      <c r="K660" s="222"/>
    </row>
    <row r="661" spans="1:11" ht="45">
      <c r="A661" s="20">
        <v>88248</v>
      </c>
      <c r="B661" s="70" t="s">
        <v>473</v>
      </c>
      <c r="C661" s="21" t="s">
        <v>12</v>
      </c>
      <c r="D661" s="21" t="s">
        <v>19</v>
      </c>
      <c r="E661" s="22">
        <v>0.61899999999999999</v>
      </c>
      <c r="F661" s="22">
        <f>H661</f>
        <v>11.483499999999999</v>
      </c>
      <c r="G661" s="22">
        <f>ROUND(F661*E661,2)</f>
        <v>7.11</v>
      </c>
      <c r="H661" s="337">
        <v>11.483499999999999</v>
      </c>
      <c r="I661" s="23" t="e">
        <f>IF(A661&lt;&gt;0,VLOOKUP(A661,#REF!,2,FALSE),"")</f>
        <v>#REF!</v>
      </c>
      <c r="K661" s="222"/>
    </row>
    <row r="662" spans="1:11" ht="15" customHeight="1">
      <c r="A662" s="719" t="s">
        <v>1893</v>
      </c>
      <c r="B662" s="719"/>
      <c r="C662" s="719"/>
      <c r="D662" s="719"/>
      <c r="E662" s="719"/>
      <c r="F662" s="719"/>
      <c r="G662" s="71">
        <f>ROUND(SUM(G659:G661),2)</f>
        <v>21.4</v>
      </c>
      <c r="K662" s="222"/>
    </row>
    <row r="663" spans="1:11" ht="24.75" customHeight="1">
      <c r="A663" s="72"/>
      <c r="B663" s="72"/>
      <c r="C663" s="752"/>
      <c r="D663" s="753"/>
      <c r="E663" s="72"/>
      <c r="F663" s="72"/>
      <c r="G663" s="72"/>
      <c r="K663" s="222"/>
    </row>
    <row r="664" spans="1:11" ht="22.5" customHeight="1">
      <c r="A664" s="612" t="s">
        <v>2115</v>
      </c>
      <c r="B664" s="613"/>
      <c r="C664" s="613"/>
      <c r="D664" s="613"/>
      <c r="E664" s="718"/>
      <c r="F664" s="67" t="s">
        <v>1914</v>
      </c>
      <c r="G664" s="80"/>
      <c r="K664" s="222"/>
    </row>
    <row r="665" spans="1:11" ht="28.5">
      <c r="A665" s="623" t="s">
        <v>364</v>
      </c>
      <c r="B665" s="624"/>
      <c r="C665" s="69" t="s">
        <v>3</v>
      </c>
      <c r="D665" s="69" t="s">
        <v>4</v>
      </c>
      <c r="E665" s="69" t="s">
        <v>1826</v>
      </c>
      <c r="F665" s="69" t="s">
        <v>367</v>
      </c>
      <c r="G665" s="69" t="s">
        <v>368</v>
      </c>
      <c r="K665" s="222"/>
    </row>
    <row r="666" spans="1:11" ht="30">
      <c r="A666" s="20">
        <v>39321</v>
      </c>
      <c r="B666" s="70" t="s">
        <v>513</v>
      </c>
      <c r="C666" s="21" t="s">
        <v>12</v>
      </c>
      <c r="D666" s="21" t="s">
        <v>17</v>
      </c>
      <c r="E666" s="22">
        <v>1</v>
      </c>
      <c r="F666" s="22">
        <f>H666</f>
        <v>13.2515</v>
      </c>
      <c r="G666" s="22">
        <f>ROUND(F666*E666,2)</f>
        <v>13.25</v>
      </c>
      <c r="H666" s="337">
        <v>13.2515</v>
      </c>
      <c r="I666" s="23" t="e">
        <f>IF(A666&lt;&gt;0,VLOOKUP(A666,#REF!,2,FALSE),"")</f>
        <v>#REF!</v>
      </c>
      <c r="K666" s="222"/>
    </row>
    <row r="667" spans="1:11" ht="30">
      <c r="A667" s="20">
        <v>88267</v>
      </c>
      <c r="B667" s="70" t="s">
        <v>472</v>
      </c>
      <c r="C667" s="21" t="s">
        <v>12</v>
      </c>
      <c r="D667" s="21" t="s">
        <v>19</v>
      </c>
      <c r="E667" s="22">
        <v>0.61899999999999999</v>
      </c>
      <c r="F667" s="22">
        <f>H667</f>
        <v>14.7135</v>
      </c>
      <c r="G667" s="22">
        <f>ROUND(F667*E667,2)</f>
        <v>9.11</v>
      </c>
      <c r="H667" s="337">
        <v>14.7135</v>
      </c>
      <c r="I667" s="23" t="e">
        <f>IF(A667&lt;&gt;0,VLOOKUP(A667,#REF!,2,FALSE),"")</f>
        <v>#REF!</v>
      </c>
      <c r="K667" s="222"/>
    </row>
    <row r="668" spans="1:11" ht="45">
      <c r="A668" s="20">
        <v>88248</v>
      </c>
      <c r="B668" s="70" t="s">
        <v>473</v>
      </c>
      <c r="C668" s="21" t="s">
        <v>12</v>
      </c>
      <c r="D668" s="21" t="s">
        <v>19</v>
      </c>
      <c r="E668" s="22">
        <v>0.61899999999999999</v>
      </c>
      <c r="F668" s="22">
        <f>H668</f>
        <v>11.483499999999999</v>
      </c>
      <c r="G668" s="22">
        <f>ROUND(F668*E668,2)</f>
        <v>7.11</v>
      </c>
      <c r="H668" s="337">
        <v>11.483499999999999</v>
      </c>
      <c r="I668" s="23" t="e">
        <f>IF(A668&lt;&gt;0,VLOOKUP(A668,#REF!,2,FALSE),"")</f>
        <v>#REF!</v>
      </c>
      <c r="K668" s="222"/>
    </row>
    <row r="669" spans="1:11" ht="15" customHeight="1">
      <c r="A669" s="719" t="s">
        <v>1893</v>
      </c>
      <c r="B669" s="719"/>
      <c r="C669" s="719"/>
      <c r="D669" s="719"/>
      <c r="E669" s="719"/>
      <c r="F669" s="719"/>
      <c r="G669" s="71">
        <f>ROUND(SUM(G666:G668),2)</f>
        <v>29.47</v>
      </c>
      <c r="K669" s="222"/>
    </row>
    <row r="670" spans="1:11" ht="32.25" customHeight="1">
      <c r="A670" s="72"/>
      <c r="B670" s="72"/>
      <c r="C670" s="752"/>
      <c r="D670" s="753"/>
      <c r="E670" s="72"/>
      <c r="F670" s="72"/>
      <c r="G670" s="72"/>
      <c r="K670" s="222"/>
    </row>
    <row r="671" spans="1:11" ht="56.25" customHeight="1">
      <c r="A671" s="612" t="s">
        <v>2118</v>
      </c>
      <c r="B671" s="613"/>
      <c r="C671" s="613"/>
      <c r="D671" s="613"/>
      <c r="E671" s="613"/>
      <c r="F671" s="67" t="s">
        <v>1914</v>
      </c>
      <c r="G671" s="80"/>
      <c r="K671" s="222"/>
    </row>
    <row r="672" spans="1:11" ht="28.5">
      <c r="A672" s="623" t="s">
        <v>364</v>
      </c>
      <c r="B672" s="624"/>
      <c r="C672" s="69" t="s">
        <v>3</v>
      </c>
      <c r="D672" s="69" t="s">
        <v>4</v>
      </c>
      <c r="E672" s="69" t="s">
        <v>1826</v>
      </c>
      <c r="F672" s="69" t="s">
        <v>367</v>
      </c>
      <c r="G672" s="69" t="s">
        <v>368</v>
      </c>
      <c r="K672" s="222"/>
    </row>
    <row r="673" spans="1:11">
      <c r="A673" s="20">
        <v>1379</v>
      </c>
      <c r="B673" s="70" t="s">
        <v>397</v>
      </c>
      <c r="C673" s="21" t="s">
        <v>12</v>
      </c>
      <c r="D673" s="21" t="s">
        <v>45</v>
      </c>
      <c r="E673" s="22">
        <v>0.8</v>
      </c>
      <c r="F673" s="22">
        <f>H673</f>
        <v>0.60349999999999993</v>
      </c>
      <c r="G673" s="22">
        <f>ROUND(F673*E673,2)</f>
        <v>0.48</v>
      </c>
      <c r="H673" s="337">
        <v>0.60349999999999993</v>
      </c>
      <c r="I673" s="23" t="e">
        <f>IF(A673&lt;&gt;0,VLOOKUP(A673,#REF!,2,FALSE),"")</f>
        <v>#REF!</v>
      </c>
      <c r="K673" s="222"/>
    </row>
    <row r="674" spans="1:11">
      <c r="A674" s="20">
        <v>7258</v>
      </c>
      <c r="B674" s="70" t="s">
        <v>403</v>
      </c>
      <c r="C674" s="21" t="s">
        <v>12</v>
      </c>
      <c r="D674" s="21" t="s">
        <v>17</v>
      </c>
      <c r="E674" s="22">
        <v>75.885999999999996</v>
      </c>
      <c r="F674" s="22">
        <f t="shared" ref="F674:F681" si="74">H674</f>
        <v>0.59499999999999997</v>
      </c>
      <c r="G674" s="22">
        <f t="shared" ref="G674:G681" si="75">ROUND(F674*E674,2)</f>
        <v>45.15</v>
      </c>
      <c r="H674" s="337">
        <v>0.59499999999999997</v>
      </c>
      <c r="I674" s="23" t="e">
        <f>IF(A674&lt;&gt;0,VLOOKUP(A674,#REF!,2,FALSE),"")</f>
        <v>#REF!</v>
      </c>
      <c r="K674" s="222"/>
    </row>
    <row r="675" spans="1:11" ht="30">
      <c r="A675" s="20">
        <v>41613</v>
      </c>
      <c r="B675" s="70" t="s">
        <v>514</v>
      </c>
      <c r="C675" s="21" t="s">
        <v>12</v>
      </c>
      <c r="D675" s="21" t="s">
        <v>17</v>
      </c>
      <c r="E675" s="22">
        <v>1</v>
      </c>
      <c r="F675" s="22">
        <f t="shared" si="74"/>
        <v>72.182000000000002</v>
      </c>
      <c r="G675" s="22">
        <f t="shared" si="75"/>
        <v>72.180000000000007</v>
      </c>
      <c r="H675" s="337">
        <v>72.182000000000002</v>
      </c>
      <c r="I675" s="23" t="e">
        <f>IF(A675&lt;&gt;0,VLOOKUP(A675,#REF!,2,FALSE),"")</f>
        <v>#REF!</v>
      </c>
      <c r="K675" s="222"/>
    </row>
    <row r="676" spans="1:11" ht="90">
      <c r="A676" s="20">
        <v>87335</v>
      </c>
      <c r="B676" s="70" t="s">
        <v>1807</v>
      </c>
      <c r="C676" s="21" t="s">
        <v>12</v>
      </c>
      <c r="D676" s="21" t="s">
        <v>35</v>
      </c>
      <c r="E676" s="22">
        <v>2.2800000000000001E-2</v>
      </c>
      <c r="F676" s="22">
        <f t="shared" si="74"/>
        <v>358.92949999999996</v>
      </c>
      <c r="G676" s="22">
        <f t="shared" si="75"/>
        <v>8.18</v>
      </c>
      <c r="H676" s="337">
        <v>358.92949999999996</v>
      </c>
      <c r="I676" s="23" t="e">
        <f>IF(A676&lt;&gt;0,VLOOKUP(A676,#REF!,2,FALSE),"")</f>
        <v>#REF!</v>
      </c>
      <c r="K676" s="222"/>
    </row>
    <row r="677" spans="1:11" ht="30">
      <c r="A677" s="20">
        <v>88309</v>
      </c>
      <c r="B677" s="70" t="s">
        <v>390</v>
      </c>
      <c r="C677" s="21" t="s">
        <v>12</v>
      </c>
      <c r="D677" s="21" t="s">
        <v>19</v>
      </c>
      <c r="E677" s="22">
        <v>1.9</v>
      </c>
      <c r="F677" s="22">
        <f t="shared" si="74"/>
        <v>15.121499999999999</v>
      </c>
      <c r="G677" s="22">
        <f t="shared" si="75"/>
        <v>28.73</v>
      </c>
      <c r="H677" s="337">
        <v>15.121499999999999</v>
      </c>
      <c r="I677" s="23" t="e">
        <f>IF(A677&lt;&gt;0,VLOOKUP(A677,#REF!,2,FALSE),"")</f>
        <v>#REF!</v>
      </c>
      <c r="K677" s="222"/>
    </row>
    <row r="678" spans="1:11" ht="30">
      <c r="A678" s="20">
        <v>88316</v>
      </c>
      <c r="B678" s="70" t="s">
        <v>377</v>
      </c>
      <c r="C678" s="21" t="s">
        <v>12</v>
      </c>
      <c r="D678" s="21" t="s">
        <v>19</v>
      </c>
      <c r="E678" s="22">
        <v>1.65</v>
      </c>
      <c r="F678" s="22">
        <f t="shared" si="74"/>
        <v>11.798000000000002</v>
      </c>
      <c r="G678" s="22">
        <f t="shared" si="75"/>
        <v>19.47</v>
      </c>
      <c r="H678" s="337">
        <v>11.798000000000002</v>
      </c>
      <c r="I678" s="23" t="e">
        <f>IF(A678&lt;&gt;0,VLOOKUP(A678,#REF!,2,FALSE),"")</f>
        <v>#REF!</v>
      </c>
      <c r="K678" s="222"/>
    </row>
    <row r="679" spans="1:11" ht="45">
      <c r="A679" s="20">
        <v>88630</v>
      </c>
      <c r="B679" s="70" t="s">
        <v>1808</v>
      </c>
      <c r="C679" s="21" t="s">
        <v>12</v>
      </c>
      <c r="D679" s="21" t="s">
        <v>35</v>
      </c>
      <c r="E679" s="22">
        <v>1.6500000000000001E-2</v>
      </c>
      <c r="F679" s="22">
        <f t="shared" si="74"/>
        <v>317.60249999999996</v>
      </c>
      <c r="G679" s="22">
        <f t="shared" si="75"/>
        <v>5.24</v>
      </c>
      <c r="H679" s="337">
        <v>317.60249999999996</v>
      </c>
      <c r="I679" s="23" t="e">
        <f>IF(A679&lt;&gt;0,VLOOKUP(A679,#REF!,2,FALSE),"")</f>
        <v>#REF!</v>
      </c>
      <c r="K679" s="222"/>
    </row>
    <row r="680" spans="1:11" ht="30">
      <c r="A680" s="20">
        <v>93358</v>
      </c>
      <c r="B680" s="70" t="s">
        <v>1774</v>
      </c>
      <c r="C680" s="21" t="s">
        <v>12</v>
      </c>
      <c r="D680" s="21" t="s">
        <v>35</v>
      </c>
      <c r="E680" s="22">
        <v>0.216</v>
      </c>
      <c r="F680" s="22">
        <f t="shared" si="74"/>
        <v>46.664999999999999</v>
      </c>
      <c r="G680" s="22">
        <f t="shared" si="75"/>
        <v>10.08</v>
      </c>
      <c r="H680" s="337">
        <v>46.664999999999999</v>
      </c>
      <c r="I680" s="23" t="e">
        <f>IF(A680&lt;&gt;0,VLOOKUP(A680,#REF!,2,FALSE),"")</f>
        <v>#REF!</v>
      </c>
      <c r="K680" s="222"/>
    </row>
    <row r="681" spans="1:11" ht="45">
      <c r="A681" s="20">
        <v>94969</v>
      </c>
      <c r="B681" s="70" t="s">
        <v>1795</v>
      </c>
      <c r="C681" s="21" t="s">
        <v>12</v>
      </c>
      <c r="D681" s="21" t="s">
        <v>35</v>
      </c>
      <c r="E681" s="22">
        <v>1.7999999999999999E-2</v>
      </c>
      <c r="F681" s="22">
        <f t="shared" si="74"/>
        <v>291.31200000000001</v>
      </c>
      <c r="G681" s="22">
        <f t="shared" si="75"/>
        <v>5.24</v>
      </c>
      <c r="H681" s="337">
        <v>291.31200000000001</v>
      </c>
      <c r="I681" s="23" t="e">
        <f>IF(A681&lt;&gt;0,VLOOKUP(A681,#REF!,2,FALSE),"")</f>
        <v>#REF!</v>
      </c>
      <c r="K681" s="222"/>
    </row>
    <row r="682" spans="1:11" ht="15" customHeight="1">
      <c r="A682" s="719" t="s">
        <v>1893</v>
      </c>
      <c r="B682" s="719"/>
      <c r="C682" s="719"/>
      <c r="D682" s="719"/>
      <c r="E682" s="719"/>
      <c r="F682" s="719"/>
      <c r="G682" s="71">
        <f>ROUND(SUM(G673:G681),2)</f>
        <v>194.75</v>
      </c>
      <c r="K682" s="222"/>
    </row>
    <row r="683" spans="1:11" ht="27.75" customHeight="1">
      <c r="A683" s="72"/>
      <c r="B683" s="72"/>
      <c r="C683" s="752"/>
      <c r="D683" s="753"/>
      <c r="E683" s="72"/>
      <c r="F683" s="72"/>
      <c r="G683" s="72"/>
      <c r="K683" s="222"/>
    </row>
    <row r="684" spans="1:11" ht="29.25" customHeight="1">
      <c r="A684" s="612" t="s">
        <v>2119</v>
      </c>
      <c r="B684" s="613"/>
      <c r="C684" s="613"/>
      <c r="D684" s="613"/>
      <c r="E684" s="613"/>
      <c r="F684" s="67" t="s">
        <v>1914</v>
      </c>
      <c r="G684" s="80"/>
      <c r="K684" s="222"/>
    </row>
    <row r="685" spans="1:11" ht="28.5">
      <c r="A685" s="623" t="s">
        <v>364</v>
      </c>
      <c r="B685" s="624"/>
      <c r="C685" s="69" t="s">
        <v>3</v>
      </c>
      <c r="D685" s="69" t="s">
        <v>4</v>
      </c>
      <c r="E685" s="69" t="s">
        <v>1826</v>
      </c>
      <c r="F685" s="69" t="s">
        <v>367</v>
      </c>
      <c r="G685" s="69" t="s">
        <v>368</v>
      </c>
      <c r="K685" s="222"/>
    </row>
    <row r="686" spans="1:11" ht="30">
      <c r="A686" s="76">
        <v>370</v>
      </c>
      <c r="B686" s="77" t="s">
        <v>396</v>
      </c>
      <c r="C686" s="78" t="s">
        <v>12</v>
      </c>
      <c r="D686" s="78" t="s">
        <v>35</v>
      </c>
      <c r="E686" s="73">
        <v>0.11</v>
      </c>
      <c r="F686" s="22">
        <f t="shared" ref="F686:F691" si="76">H686</f>
        <v>42.5</v>
      </c>
      <c r="G686" s="22">
        <f t="shared" ref="G686:G691" si="77">ROUND(F686*E686,2)</f>
        <v>4.68</v>
      </c>
      <c r="H686" s="337">
        <v>42.5</v>
      </c>
      <c r="I686" s="23" t="e">
        <f>IF(A686&lt;&gt;0,VLOOKUP(A686,#REF!,2,FALSE),"")</f>
        <v>#REF!</v>
      </c>
      <c r="K686" s="222"/>
    </row>
    <row r="687" spans="1:11">
      <c r="A687" s="76">
        <v>34753</v>
      </c>
      <c r="B687" s="77" t="s">
        <v>515</v>
      </c>
      <c r="C687" s="78" t="s">
        <v>12</v>
      </c>
      <c r="D687" s="78" t="s">
        <v>516</v>
      </c>
      <c r="E687" s="73">
        <v>0.41</v>
      </c>
      <c r="F687" s="22">
        <f t="shared" si="76"/>
        <v>0.66300000000000003</v>
      </c>
      <c r="G687" s="22">
        <f t="shared" si="77"/>
        <v>0.27</v>
      </c>
      <c r="H687" s="337">
        <v>0.66300000000000003</v>
      </c>
      <c r="I687" s="23" t="e">
        <f>IF(A687&lt;&gt;0,VLOOKUP(A687,#REF!,2,FALSE),"")</f>
        <v>#REF!</v>
      </c>
      <c r="K687" s="222"/>
    </row>
    <row r="688" spans="1:11" ht="30">
      <c r="A688" s="76">
        <v>4721</v>
      </c>
      <c r="B688" s="77" t="s">
        <v>398</v>
      </c>
      <c r="C688" s="78" t="s">
        <v>12</v>
      </c>
      <c r="D688" s="78" t="s">
        <v>35</v>
      </c>
      <c r="E688" s="73">
        <v>3.1E-2</v>
      </c>
      <c r="F688" s="22">
        <f t="shared" si="76"/>
        <v>78.208500000000001</v>
      </c>
      <c r="G688" s="22">
        <f t="shared" si="77"/>
        <v>2.42</v>
      </c>
      <c r="H688" s="337">
        <v>78.208500000000001</v>
      </c>
      <c r="I688" s="23" t="e">
        <f>IF(A688&lt;&gt;0,VLOOKUP(A688,#REF!,2,FALSE),"")</f>
        <v>#REF!</v>
      </c>
      <c r="K688" s="222"/>
    </row>
    <row r="689" spans="1:11" ht="30">
      <c r="A689" s="76">
        <v>7271</v>
      </c>
      <c r="B689" s="77" t="s">
        <v>517</v>
      </c>
      <c r="C689" s="78" t="s">
        <v>12</v>
      </c>
      <c r="D689" s="78" t="s">
        <v>17</v>
      </c>
      <c r="E689" s="73">
        <v>20</v>
      </c>
      <c r="F689" s="22">
        <f t="shared" si="76"/>
        <v>0.68850000000000011</v>
      </c>
      <c r="G689" s="22">
        <f t="shared" si="77"/>
        <v>13.77</v>
      </c>
      <c r="H689" s="337">
        <v>0.68850000000000011</v>
      </c>
      <c r="I689" s="23" t="e">
        <f>IF(A689&lt;&gt;0,VLOOKUP(A689,#REF!,2,FALSE),"")</f>
        <v>#REF!</v>
      </c>
      <c r="K689" s="222"/>
    </row>
    <row r="690" spans="1:11" ht="30">
      <c r="A690" s="76">
        <v>88309</v>
      </c>
      <c r="B690" s="77" t="s">
        <v>390</v>
      </c>
      <c r="C690" s="78" t="s">
        <v>12</v>
      </c>
      <c r="D690" s="78" t="s">
        <v>19</v>
      </c>
      <c r="E690" s="73">
        <v>0.98</v>
      </c>
      <c r="F690" s="22">
        <f t="shared" si="76"/>
        <v>15.121499999999999</v>
      </c>
      <c r="G690" s="22">
        <f t="shared" si="77"/>
        <v>14.82</v>
      </c>
      <c r="H690" s="337">
        <v>15.121499999999999</v>
      </c>
      <c r="I690" s="23" t="e">
        <f>IF(A690&lt;&gt;0,VLOOKUP(A690,#REF!,2,FALSE),"")</f>
        <v>#REF!</v>
      </c>
      <c r="K690" s="222"/>
    </row>
    <row r="691" spans="1:11" ht="30">
      <c r="A691" s="76">
        <v>88316</v>
      </c>
      <c r="B691" s="77" t="s">
        <v>377</v>
      </c>
      <c r="C691" s="78" t="s">
        <v>12</v>
      </c>
      <c r="D691" s="78" t="s">
        <v>19</v>
      </c>
      <c r="E691" s="73">
        <v>2.0699999999999998</v>
      </c>
      <c r="F691" s="22">
        <f t="shared" si="76"/>
        <v>11.798000000000002</v>
      </c>
      <c r="G691" s="22">
        <f t="shared" si="77"/>
        <v>24.42</v>
      </c>
      <c r="H691" s="337">
        <v>11.798000000000002</v>
      </c>
      <c r="I691" s="23" t="e">
        <f>IF(A691&lt;&gt;0,VLOOKUP(A691,#REF!,2,FALSE),"")</f>
        <v>#REF!</v>
      </c>
      <c r="K691" s="222"/>
    </row>
    <row r="692" spans="1:11" ht="15" customHeight="1">
      <c r="A692" s="719" t="s">
        <v>1893</v>
      </c>
      <c r="B692" s="719"/>
      <c r="C692" s="719"/>
      <c r="D692" s="719"/>
      <c r="E692" s="719"/>
      <c r="F692" s="719"/>
      <c r="G692" s="71">
        <f>ROUND(SUM(G686:G691),2)</f>
        <v>60.38</v>
      </c>
      <c r="K692" s="222"/>
    </row>
    <row r="693" spans="1:11" ht="26.25" customHeight="1">
      <c r="A693" s="72"/>
      <c r="B693" s="72"/>
      <c r="C693" s="752"/>
      <c r="D693" s="753"/>
      <c r="E693" s="72"/>
      <c r="F693" s="72"/>
      <c r="G693" s="72"/>
      <c r="K693" s="222"/>
    </row>
    <row r="694" spans="1:11" ht="28.5" customHeight="1">
      <c r="A694" s="612" t="s">
        <v>2120</v>
      </c>
      <c r="B694" s="613"/>
      <c r="C694" s="613"/>
      <c r="D694" s="613"/>
      <c r="E694" s="613"/>
      <c r="F694" s="67" t="s">
        <v>70</v>
      </c>
      <c r="G694" s="80"/>
      <c r="K694" s="222"/>
    </row>
    <row r="695" spans="1:11" ht="28.5">
      <c r="A695" s="623" t="s">
        <v>364</v>
      </c>
      <c r="B695" s="624"/>
      <c r="C695" s="69" t="s">
        <v>3</v>
      </c>
      <c r="D695" s="69" t="s">
        <v>4</v>
      </c>
      <c r="E695" s="69" t="s">
        <v>1826</v>
      </c>
      <c r="F695" s="85" t="s">
        <v>367</v>
      </c>
      <c r="G695" s="69" t="s">
        <v>368</v>
      </c>
      <c r="K695" s="222"/>
    </row>
    <row r="696" spans="1:11">
      <c r="A696" s="21">
        <v>301</v>
      </c>
      <c r="B696" s="70" t="s">
        <v>521</v>
      </c>
      <c r="C696" s="21" t="s">
        <v>12</v>
      </c>
      <c r="D696" s="21" t="s">
        <v>17</v>
      </c>
      <c r="E696" s="22">
        <v>2</v>
      </c>
      <c r="F696" s="22">
        <f t="shared" ref="F696:F701" si="78">H696</f>
        <v>2.9409999999999998</v>
      </c>
      <c r="G696" s="22">
        <f t="shared" ref="G696:G701" si="79">ROUND(F696*E696,2)</f>
        <v>5.88</v>
      </c>
      <c r="H696" s="337">
        <v>2.9409999999999998</v>
      </c>
      <c r="I696" s="23" t="e">
        <f>IF(A696&lt;&gt;0,VLOOKUP(A696,#REF!,2,FALSE),"")</f>
        <v>#REF!</v>
      </c>
      <c r="K696" s="222"/>
    </row>
    <row r="697" spans="1:11">
      <c r="A697" s="21">
        <v>296</v>
      </c>
      <c r="B697" s="70" t="s">
        <v>522</v>
      </c>
      <c r="C697" s="21" t="s">
        <v>12</v>
      </c>
      <c r="D697" s="21" t="s">
        <v>17</v>
      </c>
      <c r="E697" s="22">
        <v>1</v>
      </c>
      <c r="F697" s="22">
        <f t="shared" si="78"/>
        <v>1.6575</v>
      </c>
      <c r="G697" s="22">
        <f t="shared" si="79"/>
        <v>1.66</v>
      </c>
      <c r="H697" s="337">
        <v>1.6575</v>
      </c>
      <c r="I697" s="23" t="e">
        <f>IF(A697&lt;&gt;0,VLOOKUP(A697,#REF!,2,FALSE),"")</f>
        <v>#REF!</v>
      </c>
      <c r="K697" s="222"/>
    </row>
    <row r="698" spans="1:11" ht="60">
      <c r="A698" s="20">
        <v>20078</v>
      </c>
      <c r="B698" s="70" t="s">
        <v>478</v>
      </c>
      <c r="C698" s="21" t="s">
        <v>12</v>
      </c>
      <c r="D698" s="21" t="s">
        <v>17</v>
      </c>
      <c r="E698" s="22">
        <v>5.6000000000000001E-2</v>
      </c>
      <c r="F698" s="22">
        <f t="shared" si="78"/>
        <v>20.349</v>
      </c>
      <c r="G698" s="22">
        <f t="shared" si="79"/>
        <v>1.1399999999999999</v>
      </c>
      <c r="H698" s="337">
        <v>20.349</v>
      </c>
      <c r="I698" s="23" t="e">
        <f>IF(A698&lt;&gt;0,VLOOKUP(A698,#REF!,2,FALSE),"")</f>
        <v>#REF!</v>
      </c>
      <c r="K698" s="222"/>
    </row>
    <row r="699" spans="1:11" ht="45">
      <c r="A699" s="20">
        <v>10908</v>
      </c>
      <c r="B699" s="70" t="s">
        <v>523</v>
      </c>
      <c r="C699" s="21" t="s">
        <v>12</v>
      </c>
      <c r="D699" s="21" t="s">
        <v>17</v>
      </c>
      <c r="E699" s="22">
        <v>1</v>
      </c>
      <c r="F699" s="22">
        <f t="shared" si="78"/>
        <v>13.1325</v>
      </c>
      <c r="G699" s="22">
        <f t="shared" si="79"/>
        <v>13.13</v>
      </c>
      <c r="H699" s="337">
        <v>13.1325</v>
      </c>
      <c r="I699" s="23" t="e">
        <f>IF(A699&lt;&gt;0,VLOOKUP(A699,#REF!,2,FALSE),"")</f>
        <v>#REF!</v>
      </c>
      <c r="K699" s="222"/>
    </row>
    <row r="700" spans="1:11" ht="45">
      <c r="A700" s="20">
        <v>88248</v>
      </c>
      <c r="B700" s="70" t="s">
        <v>473</v>
      </c>
      <c r="C700" s="21" t="s">
        <v>12</v>
      </c>
      <c r="D700" s="21" t="s">
        <v>19</v>
      </c>
      <c r="E700" s="22">
        <v>0.46</v>
      </c>
      <c r="F700" s="22">
        <f t="shared" si="78"/>
        <v>11.483499999999999</v>
      </c>
      <c r="G700" s="22">
        <f t="shared" si="79"/>
        <v>5.28</v>
      </c>
      <c r="H700" s="337">
        <v>11.483499999999999</v>
      </c>
      <c r="I700" s="23" t="e">
        <f>IF(A700&lt;&gt;0,VLOOKUP(A700,#REF!,2,FALSE),"")</f>
        <v>#REF!</v>
      </c>
      <c r="K700" s="222"/>
    </row>
    <row r="701" spans="1:11" ht="30">
      <c r="A701" s="20">
        <v>88267</v>
      </c>
      <c r="B701" s="70" t="s">
        <v>472</v>
      </c>
      <c r="C701" s="21" t="s">
        <v>12</v>
      </c>
      <c r="D701" s="21" t="s">
        <v>19</v>
      </c>
      <c r="E701" s="22">
        <v>0.46</v>
      </c>
      <c r="F701" s="22">
        <f t="shared" si="78"/>
        <v>14.7135</v>
      </c>
      <c r="G701" s="22">
        <f t="shared" si="79"/>
        <v>6.77</v>
      </c>
      <c r="H701" s="337">
        <v>14.7135</v>
      </c>
      <c r="I701" s="23" t="e">
        <f>IF(A701&lt;&gt;0,VLOOKUP(A701,#REF!,2,FALSE),"")</f>
        <v>#REF!</v>
      </c>
      <c r="K701" s="222"/>
    </row>
    <row r="702" spans="1:11" ht="15" customHeight="1">
      <c r="A702" s="719" t="s">
        <v>1893</v>
      </c>
      <c r="B702" s="719"/>
      <c r="C702" s="719"/>
      <c r="D702" s="719"/>
      <c r="E702" s="719"/>
      <c r="F702" s="719"/>
      <c r="G702" s="71">
        <f>ROUND(SUM(G696:G701),2)</f>
        <v>33.86</v>
      </c>
      <c r="K702" s="222"/>
    </row>
    <row r="703" spans="1:11" ht="29.25" customHeight="1">
      <c r="A703" s="72"/>
      <c r="B703" s="72"/>
      <c r="C703" s="752"/>
      <c r="D703" s="753"/>
      <c r="E703" s="72"/>
      <c r="F703" s="72"/>
      <c r="G703" s="72"/>
      <c r="K703" s="222"/>
    </row>
    <row r="704" spans="1:11" ht="15" customHeight="1">
      <c r="A704" s="612" t="s">
        <v>2121</v>
      </c>
      <c r="B704" s="613"/>
      <c r="C704" s="613"/>
      <c r="D704" s="613"/>
      <c r="E704" s="613"/>
      <c r="F704" s="86" t="s">
        <v>1914</v>
      </c>
      <c r="G704" s="80"/>
      <c r="K704" s="222"/>
    </row>
    <row r="705" spans="1:11" ht="28.5">
      <c r="A705" s="623" t="s">
        <v>364</v>
      </c>
      <c r="B705" s="624"/>
      <c r="C705" s="69" t="s">
        <v>3</v>
      </c>
      <c r="D705" s="69" t="s">
        <v>4</v>
      </c>
      <c r="E705" s="69" t="s">
        <v>1826</v>
      </c>
      <c r="F705" s="69" t="s">
        <v>367</v>
      </c>
      <c r="G705" s="69" t="s">
        <v>368</v>
      </c>
      <c r="K705" s="222"/>
    </row>
    <row r="706" spans="1:11" ht="30">
      <c r="A706" s="20">
        <v>11655</v>
      </c>
      <c r="B706" s="70" t="s">
        <v>524</v>
      </c>
      <c r="C706" s="21" t="s">
        <v>12</v>
      </c>
      <c r="D706" s="21" t="s">
        <v>17</v>
      </c>
      <c r="E706" s="22">
        <v>1</v>
      </c>
      <c r="F706" s="22">
        <f>H706</f>
        <v>11.500499999999999</v>
      </c>
      <c r="G706" s="22">
        <f>ROUND(F706*E706,2)</f>
        <v>11.5</v>
      </c>
      <c r="H706" s="337">
        <v>11.500499999999999</v>
      </c>
      <c r="I706" s="23" t="e">
        <f>IF(A706&lt;&gt;0,VLOOKUP(A706,#REF!,2,FALSE),"")</f>
        <v>#REF!</v>
      </c>
      <c r="K706" s="222"/>
    </row>
    <row r="707" spans="1:11" ht="30">
      <c r="A707" s="20">
        <v>3146</v>
      </c>
      <c r="B707" s="70" t="s">
        <v>471</v>
      </c>
      <c r="C707" s="21" t="s">
        <v>12</v>
      </c>
      <c r="D707" s="21" t="s">
        <v>17</v>
      </c>
      <c r="E707" s="22">
        <v>0.7</v>
      </c>
      <c r="F707" s="22">
        <f>H707</f>
        <v>3.06</v>
      </c>
      <c r="G707" s="22">
        <f>ROUND(F707*E707,2)</f>
        <v>2.14</v>
      </c>
      <c r="H707" s="337">
        <v>3.06</v>
      </c>
      <c r="I707" s="23" t="e">
        <f>IF(A707&lt;&gt;0,VLOOKUP(A707,#REF!,2,FALSE),"")</f>
        <v>#REF!</v>
      </c>
      <c r="K707" s="222"/>
    </row>
    <row r="708" spans="1:11" ht="30">
      <c r="A708" s="20">
        <v>20080</v>
      </c>
      <c r="B708" s="70" t="s">
        <v>475</v>
      </c>
      <c r="C708" s="21" t="s">
        <v>12</v>
      </c>
      <c r="D708" s="21" t="s">
        <v>17</v>
      </c>
      <c r="E708" s="22">
        <v>0.3</v>
      </c>
      <c r="F708" s="22">
        <f>H708</f>
        <v>17.646000000000001</v>
      </c>
      <c r="G708" s="22">
        <f>ROUND(F708*E708,2)</f>
        <v>5.29</v>
      </c>
      <c r="H708" s="337">
        <v>17.646000000000001</v>
      </c>
      <c r="I708" s="23" t="e">
        <f>IF(A708&lt;&gt;0,VLOOKUP(A708,#REF!,2,FALSE),"")</f>
        <v>#REF!</v>
      </c>
      <c r="K708" s="222"/>
    </row>
    <row r="709" spans="1:11" ht="45">
      <c r="A709" s="20">
        <v>88248</v>
      </c>
      <c r="B709" s="70" t="s">
        <v>473</v>
      </c>
      <c r="C709" s="21" t="s">
        <v>12</v>
      </c>
      <c r="D709" s="21" t="s">
        <v>19</v>
      </c>
      <c r="E709" s="22">
        <v>0.11</v>
      </c>
      <c r="F709" s="22">
        <f>H709</f>
        <v>11.483499999999999</v>
      </c>
      <c r="G709" s="22">
        <f>ROUND(F709*E709,2)</f>
        <v>1.26</v>
      </c>
      <c r="H709" s="337">
        <v>11.483499999999999</v>
      </c>
      <c r="I709" s="23" t="e">
        <f>IF(A709&lt;&gt;0,VLOOKUP(A709,#REF!,2,FALSE),"")</f>
        <v>#REF!</v>
      </c>
      <c r="K709" s="222"/>
    </row>
    <row r="710" spans="1:11" ht="30">
      <c r="A710" s="20">
        <v>88267</v>
      </c>
      <c r="B710" s="70" t="s">
        <v>472</v>
      </c>
      <c r="C710" s="21" t="s">
        <v>12</v>
      </c>
      <c r="D710" s="21" t="s">
        <v>19</v>
      </c>
      <c r="E710" s="22">
        <v>0.11</v>
      </c>
      <c r="F710" s="22">
        <f>H710</f>
        <v>14.7135</v>
      </c>
      <c r="G710" s="22">
        <f>ROUND(F710*E710,2)</f>
        <v>1.62</v>
      </c>
      <c r="H710" s="337">
        <v>14.7135</v>
      </c>
      <c r="I710" s="23" t="e">
        <f>IF(A710&lt;&gt;0,VLOOKUP(A710,#REF!,2,FALSE),"")</f>
        <v>#REF!</v>
      </c>
      <c r="K710" s="222"/>
    </row>
    <row r="711" spans="1:11" ht="15" customHeight="1">
      <c r="A711" s="719" t="s">
        <v>1893</v>
      </c>
      <c r="B711" s="719"/>
      <c r="C711" s="719"/>
      <c r="D711" s="719"/>
      <c r="E711" s="719"/>
      <c r="F711" s="719"/>
      <c r="G711" s="71">
        <f>ROUND(SUM(G705:G710),2)</f>
        <v>21.81</v>
      </c>
      <c r="K711" s="222"/>
    </row>
    <row r="712" spans="1:11">
      <c r="A712" s="72"/>
      <c r="B712" s="72"/>
      <c r="C712" s="752"/>
      <c r="D712" s="753"/>
      <c r="E712" s="72"/>
      <c r="F712" s="72"/>
      <c r="G712" s="72"/>
      <c r="K712" s="222"/>
    </row>
    <row r="713" spans="1:11">
      <c r="A713" s="72"/>
      <c r="B713" s="72"/>
      <c r="C713" s="752"/>
      <c r="D713" s="753"/>
      <c r="E713" s="72"/>
      <c r="F713" s="72"/>
      <c r="G713" s="72"/>
      <c r="K713" s="222"/>
    </row>
    <row r="714" spans="1:11" ht="35.25" customHeight="1">
      <c r="A714" s="612" t="s">
        <v>2127</v>
      </c>
      <c r="B714" s="613"/>
      <c r="C714" s="613"/>
      <c r="D714" s="613"/>
      <c r="E714" s="613"/>
      <c r="F714" s="67" t="s">
        <v>1914</v>
      </c>
      <c r="G714" s="80"/>
      <c r="K714" s="222"/>
    </row>
    <row r="715" spans="1:11" ht="28.5">
      <c r="A715" s="623" t="s">
        <v>364</v>
      </c>
      <c r="B715" s="624"/>
      <c r="C715" s="69" t="s">
        <v>3</v>
      </c>
      <c r="D715" s="69" t="s">
        <v>4</v>
      </c>
      <c r="E715" s="69" t="s">
        <v>1826</v>
      </c>
      <c r="F715" s="85" t="s">
        <v>367</v>
      </c>
      <c r="G715" s="69" t="s">
        <v>368</v>
      </c>
      <c r="K715" s="222"/>
    </row>
    <row r="716" spans="1:11" ht="30">
      <c r="A716" s="20">
        <v>301</v>
      </c>
      <c r="B716" s="70" t="s">
        <v>511</v>
      </c>
      <c r="C716" s="21" t="s">
        <v>12</v>
      </c>
      <c r="D716" s="21" t="s">
        <v>17</v>
      </c>
      <c r="E716" s="22">
        <v>2</v>
      </c>
      <c r="F716" s="22">
        <f>H716</f>
        <v>2.9409999999999998</v>
      </c>
      <c r="G716" s="22">
        <f>ROUND(F716*E716,2)</f>
        <v>5.88</v>
      </c>
      <c r="H716" s="337">
        <v>2.9409999999999998</v>
      </c>
      <c r="I716" s="23" t="e">
        <f>IF(A716&lt;&gt;0,VLOOKUP(A716,#REF!,2,FALSE),"")</f>
        <v>#REF!</v>
      </c>
      <c r="K716" s="222"/>
    </row>
    <row r="717" spans="1:11" ht="60">
      <c r="A717" s="20">
        <v>20078</v>
      </c>
      <c r="B717" s="70" t="s">
        <v>478</v>
      </c>
      <c r="C717" s="21" t="s">
        <v>12</v>
      </c>
      <c r="D717" s="21" t="s">
        <v>17</v>
      </c>
      <c r="E717" s="22">
        <v>9.1999999999999998E-2</v>
      </c>
      <c r="F717" s="22">
        <f>H717</f>
        <v>20.349</v>
      </c>
      <c r="G717" s="22">
        <f>ROUND(F717*E717,2)</f>
        <v>1.87</v>
      </c>
      <c r="H717" s="337">
        <v>20.349</v>
      </c>
      <c r="I717" s="23" t="e">
        <f>IF(A717&lt;&gt;0,VLOOKUP(A717,#REF!,2,FALSE),"")</f>
        <v>#REF!</v>
      </c>
      <c r="K717" s="222"/>
    </row>
    <row r="718" spans="1:11" ht="30">
      <c r="A718" s="20">
        <v>11655</v>
      </c>
      <c r="B718" s="70" t="s">
        <v>524</v>
      </c>
      <c r="C718" s="21" t="s">
        <v>12</v>
      </c>
      <c r="D718" s="21" t="s">
        <v>17</v>
      </c>
      <c r="E718" s="22">
        <v>1</v>
      </c>
      <c r="F718" s="22">
        <f>H718</f>
        <v>11.500499999999999</v>
      </c>
      <c r="G718" s="22">
        <f>ROUND(F718*E718,2)</f>
        <v>11.5</v>
      </c>
      <c r="H718" s="337">
        <v>11.500499999999999</v>
      </c>
      <c r="I718" s="23" t="e">
        <f>IF(A718&lt;&gt;0,VLOOKUP(A718,#REF!,2,FALSE),"")</f>
        <v>#REF!</v>
      </c>
      <c r="K718" s="222"/>
    </row>
    <row r="719" spans="1:11" ht="45">
      <c r="A719" s="20">
        <v>88248</v>
      </c>
      <c r="B719" s="70" t="s">
        <v>473</v>
      </c>
      <c r="C719" s="21" t="s">
        <v>12</v>
      </c>
      <c r="D719" s="21" t="s">
        <v>19</v>
      </c>
      <c r="E719" s="22">
        <v>0.16</v>
      </c>
      <c r="F719" s="22">
        <f>H719</f>
        <v>11.483499999999999</v>
      </c>
      <c r="G719" s="22">
        <f>ROUND(F719*E719,2)</f>
        <v>1.84</v>
      </c>
      <c r="H719" s="337">
        <v>11.483499999999999</v>
      </c>
      <c r="I719" s="23" t="e">
        <f>IF(A719&lt;&gt;0,VLOOKUP(A719,#REF!,2,FALSE),"")</f>
        <v>#REF!</v>
      </c>
      <c r="K719" s="222"/>
    </row>
    <row r="720" spans="1:11" ht="30">
      <c r="A720" s="20">
        <v>88267</v>
      </c>
      <c r="B720" s="70" t="s">
        <v>472</v>
      </c>
      <c r="C720" s="21" t="s">
        <v>12</v>
      </c>
      <c r="D720" s="21" t="s">
        <v>19</v>
      </c>
      <c r="E720" s="22">
        <v>0.16</v>
      </c>
      <c r="F720" s="22">
        <f>H720</f>
        <v>14.7135</v>
      </c>
      <c r="G720" s="22">
        <f>ROUND(F720*E720,2)</f>
        <v>2.35</v>
      </c>
      <c r="H720" s="337">
        <v>14.7135</v>
      </c>
      <c r="I720" s="23" t="e">
        <f>IF(A720&lt;&gt;0,VLOOKUP(A720,#REF!,2,FALSE),"")</f>
        <v>#REF!</v>
      </c>
      <c r="K720" s="222"/>
    </row>
    <row r="721" spans="1:11" ht="15" customHeight="1">
      <c r="A721" s="719" t="s">
        <v>1893</v>
      </c>
      <c r="B721" s="719"/>
      <c r="C721" s="719"/>
      <c r="D721" s="719"/>
      <c r="E721" s="719"/>
      <c r="F721" s="719"/>
      <c r="G721" s="71">
        <f>ROUND(SUM(G716:G720),2)</f>
        <v>23.44</v>
      </c>
      <c r="K721" s="222"/>
    </row>
    <row r="722" spans="1:11" ht="25.5" customHeight="1">
      <c r="A722" s="72"/>
      <c r="B722" s="72"/>
      <c r="C722" s="752"/>
      <c r="D722" s="753"/>
      <c r="E722" s="72"/>
      <c r="F722" s="72"/>
      <c r="G722" s="72"/>
      <c r="K722" s="222"/>
    </row>
    <row r="723" spans="1:11" ht="33" customHeight="1">
      <c r="A723" s="612" t="s">
        <v>2128</v>
      </c>
      <c r="B723" s="613"/>
      <c r="C723" s="613"/>
      <c r="D723" s="613"/>
      <c r="E723" s="718"/>
      <c r="F723" s="67" t="s">
        <v>1914</v>
      </c>
      <c r="G723" s="80"/>
      <c r="K723" s="222"/>
    </row>
    <row r="724" spans="1:11" ht="28.5">
      <c r="A724" s="623" t="s">
        <v>364</v>
      </c>
      <c r="B724" s="624"/>
      <c r="C724" s="69" t="s">
        <v>3</v>
      </c>
      <c r="D724" s="69" t="s">
        <v>4</v>
      </c>
      <c r="E724" s="69" t="s">
        <v>1826</v>
      </c>
      <c r="F724" s="69" t="s">
        <v>367</v>
      </c>
      <c r="G724" s="69" t="s">
        <v>368</v>
      </c>
      <c r="K724" s="222"/>
    </row>
    <row r="725" spans="1:11" ht="30">
      <c r="A725" s="20">
        <v>297</v>
      </c>
      <c r="B725" s="70" t="s">
        <v>519</v>
      </c>
      <c r="C725" s="21" t="s">
        <v>12</v>
      </c>
      <c r="D725" s="21" t="s">
        <v>17</v>
      </c>
      <c r="E725" s="22">
        <v>2</v>
      </c>
      <c r="F725" s="22">
        <f>H725</f>
        <v>2.3459999999999996</v>
      </c>
      <c r="G725" s="22">
        <f>ROUND(F725*E725,2)</f>
        <v>4.6900000000000004</v>
      </c>
      <c r="H725" s="337">
        <v>2.3459999999999996</v>
      </c>
      <c r="I725" s="23" t="e">
        <f>IF(A725&lt;&gt;0,VLOOKUP(A725,#REF!,2,FALSE),"")</f>
        <v>#REF!</v>
      </c>
      <c r="K725" s="222"/>
    </row>
    <row r="726" spans="1:11" ht="60">
      <c r="A726" s="20">
        <v>20078</v>
      </c>
      <c r="B726" s="70" t="s">
        <v>478</v>
      </c>
      <c r="C726" s="21" t="s">
        <v>12</v>
      </c>
      <c r="D726" s="21" t="s">
        <v>17</v>
      </c>
      <c r="E726" s="22">
        <v>0.06</v>
      </c>
      <c r="F726" s="22">
        <f>H726</f>
        <v>20.349</v>
      </c>
      <c r="G726" s="22">
        <f>ROUND(F726*E726,2)</f>
        <v>1.22</v>
      </c>
      <c r="H726" s="337">
        <v>20.349</v>
      </c>
      <c r="I726" s="23" t="e">
        <f>IF(A726&lt;&gt;0,VLOOKUP(A726,#REF!,2,FALSE),"")</f>
        <v>#REF!</v>
      </c>
      <c r="K726" s="222"/>
    </row>
    <row r="727" spans="1:11" ht="30">
      <c r="A727" s="20">
        <v>11657</v>
      </c>
      <c r="B727" s="70" t="s">
        <v>525</v>
      </c>
      <c r="C727" s="21" t="s">
        <v>12</v>
      </c>
      <c r="D727" s="21" t="s">
        <v>17</v>
      </c>
      <c r="E727" s="22">
        <v>1</v>
      </c>
      <c r="F727" s="22">
        <f>H727</f>
        <v>10.480499999999999</v>
      </c>
      <c r="G727" s="22">
        <f>ROUND(F727*E727,2)</f>
        <v>10.48</v>
      </c>
      <c r="H727" s="337">
        <v>10.480499999999999</v>
      </c>
      <c r="I727" s="23" t="e">
        <f>IF(A727&lt;&gt;0,VLOOKUP(A727,#REF!,2,FALSE),"")</f>
        <v>#REF!</v>
      </c>
      <c r="K727" s="222"/>
    </row>
    <row r="728" spans="1:11" ht="45">
      <c r="A728" s="20">
        <v>88248</v>
      </c>
      <c r="B728" s="70" t="s">
        <v>473</v>
      </c>
      <c r="C728" s="21" t="s">
        <v>12</v>
      </c>
      <c r="D728" s="21" t="s">
        <v>19</v>
      </c>
      <c r="E728" s="22">
        <v>0.11</v>
      </c>
      <c r="F728" s="22">
        <f>H728</f>
        <v>11.483499999999999</v>
      </c>
      <c r="G728" s="22">
        <f>ROUND(F728*E728,2)</f>
        <v>1.26</v>
      </c>
      <c r="H728" s="337">
        <v>11.483499999999999</v>
      </c>
      <c r="I728" s="23" t="e">
        <f>IF(A728&lt;&gt;0,VLOOKUP(A728,#REF!,2,FALSE),"")</f>
        <v>#REF!</v>
      </c>
      <c r="K728" s="222"/>
    </row>
    <row r="729" spans="1:11" ht="30">
      <c r="A729" s="20">
        <v>88267</v>
      </c>
      <c r="B729" s="70" t="s">
        <v>472</v>
      </c>
      <c r="C729" s="21" t="s">
        <v>12</v>
      </c>
      <c r="D729" s="21" t="s">
        <v>19</v>
      </c>
      <c r="E729" s="22">
        <v>0.11</v>
      </c>
      <c r="F729" s="22">
        <f>H729</f>
        <v>14.7135</v>
      </c>
      <c r="G729" s="22">
        <f>ROUND(F729*E729,2)</f>
        <v>1.62</v>
      </c>
      <c r="H729" s="337">
        <v>14.7135</v>
      </c>
      <c r="I729" s="23" t="e">
        <f>IF(A729&lt;&gt;0,VLOOKUP(A729,#REF!,2,FALSE),"")</f>
        <v>#REF!</v>
      </c>
      <c r="K729" s="222"/>
    </row>
    <row r="730" spans="1:11" ht="15" customHeight="1">
      <c r="A730" s="719" t="s">
        <v>1893</v>
      </c>
      <c r="B730" s="719"/>
      <c r="C730" s="719"/>
      <c r="D730" s="719"/>
      <c r="E730" s="719"/>
      <c r="F730" s="719"/>
      <c r="G730" s="71">
        <f>ROUND(SUM(G725:G729),2)</f>
        <v>19.27</v>
      </c>
      <c r="K730" s="222"/>
    </row>
    <row r="731" spans="1:11" ht="21" customHeight="1">
      <c r="A731" s="72"/>
      <c r="B731" s="72"/>
      <c r="C731" s="752"/>
      <c r="D731" s="753"/>
      <c r="E731" s="72"/>
      <c r="F731" s="72"/>
      <c r="G731" s="72"/>
      <c r="K731" s="222"/>
    </row>
    <row r="732" spans="1:11" ht="39.75" customHeight="1">
      <c r="A732" s="612" t="s">
        <v>2129</v>
      </c>
      <c r="B732" s="613"/>
      <c r="C732" s="613"/>
      <c r="D732" s="613"/>
      <c r="E732" s="718"/>
      <c r="F732" s="67" t="s">
        <v>1914</v>
      </c>
      <c r="G732" s="80"/>
      <c r="K732" s="222"/>
    </row>
    <row r="733" spans="1:11" ht="28.5">
      <c r="A733" s="623" t="s">
        <v>364</v>
      </c>
      <c r="B733" s="624"/>
      <c r="C733" s="69" t="s">
        <v>3</v>
      </c>
      <c r="D733" s="69" t="s">
        <v>4</v>
      </c>
      <c r="E733" s="69" t="s">
        <v>1826</v>
      </c>
      <c r="F733" s="69" t="s">
        <v>367</v>
      </c>
      <c r="G733" s="69" t="s">
        <v>368</v>
      </c>
      <c r="K733" s="222"/>
    </row>
    <row r="734" spans="1:11" ht="30">
      <c r="A734" s="20">
        <v>305</v>
      </c>
      <c r="B734" s="70" t="s">
        <v>520</v>
      </c>
      <c r="C734" s="21" t="s">
        <v>12</v>
      </c>
      <c r="D734" s="21" t="s">
        <v>17</v>
      </c>
      <c r="E734" s="22">
        <v>2</v>
      </c>
      <c r="F734" s="22">
        <f>H734</f>
        <v>10.455</v>
      </c>
      <c r="G734" s="22">
        <f>ROUND(F734*E734,2)</f>
        <v>20.91</v>
      </c>
      <c r="H734" s="337">
        <v>10.455</v>
      </c>
      <c r="I734" s="23" t="e">
        <f>IF(A734&lt;&gt;0,VLOOKUP(A734,#REF!,2,FALSE),"")</f>
        <v>#REF!</v>
      </c>
      <c r="K734" s="222"/>
    </row>
    <row r="735" spans="1:11" ht="60">
      <c r="A735" s="20">
        <v>20078</v>
      </c>
      <c r="B735" s="70" t="s">
        <v>478</v>
      </c>
      <c r="C735" s="21" t="s">
        <v>12</v>
      </c>
      <c r="D735" s="21" t="s">
        <v>17</v>
      </c>
      <c r="E735" s="22">
        <v>0.14000000000000001</v>
      </c>
      <c r="F735" s="22">
        <f>H735</f>
        <v>20.349</v>
      </c>
      <c r="G735" s="22">
        <f>ROUND(F735*E735,2)</f>
        <v>2.85</v>
      </c>
      <c r="H735" s="337">
        <v>20.349</v>
      </c>
      <c r="I735" s="23" t="e">
        <f>IF(A735&lt;&gt;0,VLOOKUP(A735,#REF!,2,FALSE),"")</f>
        <v>#REF!</v>
      </c>
      <c r="K735" s="222"/>
    </row>
    <row r="736" spans="1:11" ht="30">
      <c r="A736" s="20">
        <v>20174</v>
      </c>
      <c r="B736" s="70" t="s">
        <v>526</v>
      </c>
      <c r="C736" s="21" t="s">
        <v>12</v>
      </c>
      <c r="D736" s="21" t="s">
        <v>17</v>
      </c>
      <c r="E736" s="22">
        <v>1</v>
      </c>
      <c r="F736" s="22">
        <f>H736</f>
        <v>29.333499999999997</v>
      </c>
      <c r="G736" s="22">
        <f>ROUND(F736*E736,2)</f>
        <v>29.33</v>
      </c>
      <c r="H736" s="337">
        <v>29.333499999999997</v>
      </c>
      <c r="I736" s="23" t="e">
        <f>IF(A736&lt;&gt;0,VLOOKUP(A736,#REF!,2,FALSE),"")</f>
        <v>#REF!</v>
      </c>
      <c r="K736" s="222"/>
    </row>
    <row r="737" spans="1:11" ht="45">
      <c r="A737" s="20">
        <v>88248</v>
      </c>
      <c r="B737" s="70" t="s">
        <v>473</v>
      </c>
      <c r="C737" s="21" t="s">
        <v>12</v>
      </c>
      <c r="D737" s="21" t="s">
        <v>19</v>
      </c>
      <c r="E737" s="22">
        <v>0.44</v>
      </c>
      <c r="F737" s="22">
        <f>H737</f>
        <v>11.483499999999999</v>
      </c>
      <c r="G737" s="22">
        <f>ROUND(F737*E737,2)</f>
        <v>5.05</v>
      </c>
      <c r="H737" s="337">
        <v>11.483499999999999</v>
      </c>
      <c r="I737" s="23" t="e">
        <f>IF(A737&lt;&gt;0,VLOOKUP(A737,#REF!,2,FALSE),"")</f>
        <v>#REF!</v>
      </c>
      <c r="K737" s="222"/>
    </row>
    <row r="738" spans="1:11" ht="30">
      <c r="A738" s="20">
        <v>88267</v>
      </c>
      <c r="B738" s="70" t="s">
        <v>472</v>
      </c>
      <c r="C738" s="21" t="s">
        <v>12</v>
      </c>
      <c r="D738" s="21" t="s">
        <v>19</v>
      </c>
      <c r="E738" s="22">
        <v>0.44</v>
      </c>
      <c r="F738" s="22">
        <f>H738</f>
        <v>14.7135</v>
      </c>
      <c r="G738" s="22">
        <f>ROUND(F738*E738,2)</f>
        <v>6.47</v>
      </c>
      <c r="H738" s="337">
        <v>14.7135</v>
      </c>
      <c r="I738" s="23" t="e">
        <f>IF(A738&lt;&gt;0,VLOOKUP(A738,#REF!,2,FALSE),"")</f>
        <v>#REF!</v>
      </c>
      <c r="K738" s="222"/>
    </row>
    <row r="739" spans="1:11" ht="15" customHeight="1">
      <c r="A739" s="719" t="s">
        <v>1893</v>
      </c>
      <c r="B739" s="719"/>
      <c r="C739" s="719"/>
      <c r="D739" s="719"/>
      <c r="E739" s="719"/>
      <c r="F739" s="719"/>
      <c r="G739" s="71">
        <f>ROUND(SUM(G734:G738),2)</f>
        <v>64.61</v>
      </c>
      <c r="K739" s="222"/>
    </row>
    <row r="740" spans="1:11" ht="25.5" customHeight="1">
      <c r="A740" s="72"/>
      <c r="B740" s="72"/>
      <c r="C740" s="752"/>
      <c r="D740" s="753"/>
      <c r="E740" s="72"/>
      <c r="F740" s="72"/>
      <c r="G740" s="72"/>
      <c r="K740" s="222"/>
    </row>
    <row r="741" spans="1:11" ht="30.75" customHeight="1">
      <c r="A741" s="612" t="s">
        <v>2130</v>
      </c>
      <c r="B741" s="613"/>
      <c r="C741" s="613"/>
      <c r="D741" s="613"/>
      <c r="E741" s="613"/>
      <c r="F741" s="67" t="s">
        <v>44</v>
      </c>
      <c r="G741" s="80"/>
      <c r="K741" s="222"/>
    </row>
    <row r="742" spans="1:11" ht="28.5">
      <c r="A742" s="623" t="s">
        <v>364</v>
      </c>
      <c r="B742" s="624"/>
      <c r="C742" s="69" t="s">
        <v>3</v>
      </c>
      <c r="D742" s="69" t="s">
        <v>4</v>
      </c>
      <c r="E742" s="69" t="s">
        <v>1826</v>
      </c>
      <c r="F742" s="69" t="s">
        <v>367</v>
      </c>
      <c r="G742" s="69" t="s">
        <v>368</v>
      </c>
      <c r="K742" s="222"/>
    </row>
    <row r="743" spans="1:11">
      <c r="A743" s="76">
        <v>20047</v>
      </c>
      <c r="B743" s="77" t="e">
        <f>I743</f>
        <v>#REF!</v>
      </c>
      <c r="C743" s="78" t="s">
        <v>12</v>
      </c>
      <c r="D743" s="78" t="s">
        <v>17</v>
      </c>
      <c r="E743" s="73">
        <v>1</v>
      </c>
      <c r="F743" s="22">
        <f>H743</f>
        <v>37.8675</v>
      </c>
      <c r="G743" s="22">
        <f>ROUND(F743*E743,2)</f>
        <v>37.869999999999997</v>
      </c>
      <c r="H743" s="337">
        <v>37.8675</v>
      </c>
      <c r="I743" s="23" t="e">
        <f>IF(A743&lt;&gt;0,VLOOKUP(A743,#REF!,2,FALSE),"")</f>
        <v>#REF!</v>
      </c>
      <c r="K743" s="222"/>
    </row>
    <row r="744" spans="1:11" ht="30">
      <c r="A744" s="76">
        <v>20083</v>
      </c>
      <c r="B744" s="77" t="s">
        <v>479</v>
      </c>
      <c r="C744" s="78" t="s">
        <v>12</v>
      </c>
      <c r="D744" s="78" t="s">
        <v>17</v>
      </c>
      <c r="E744" s="73">
        <v>8.7999999999999995E-2</v>
      </c>
      <c r="F744" s="22">
        <f>H744</f>
        <v>48.271500000000003</v>
      </c>
      <c r="G744" s="22">
        <f>ROUND(F744*E744,2)</f>
        <v>4.25</v>
      </c>
      <c r="H744" s="337">
        <v>48.271500000000003</v>
      </c>
      <c r="I744" s="23" t="e">
        <f>IF(A744&lt;&gt;0,VLOOKUP(A744,#REF!,2,FALSE),"")</f>
        <v>#REF!</v>
      </c>
      <c r="K744" s="222"/>
    </row>
    <row r="745" spans="1:11" ht="30">
      <c r="A745" s="76">
        <v>122</v>
      </c>
      <c r="B745" s="77" t="s">
        <v>477</v>
      </c>
      <c r="C745" s="78" t="s">
        <v>12</v>
      </c>
      <c r="D745" s="78" t="s">
        <v>17</v>
      </c>
      <c r="E745" s="73">
        <v>5.8299999999999998E-2</v>
      </c>
      <c r="F745" s="22">
        <f>H745</f>
        <v>55.59</v>
      </c>
      <c r="G745" s="22">
        <f>ROUND(F745*E745,2)</f>
        <v>3.24</v>
      </c>
      <c r="H745" s="337">
        <v>55.59</v>
      </c>
      <c r="I745" s="23" t="e">
        <f>IF(A745&lt;&gt;0,VLOOKUP(A745,#REF!,2,FALSE),"")</f>
        <v>#REF!</v>
      </c>
      <c r="K745" s="222"/>
    </row>
    <row r="746" spans="1:11" ht="30">
      <c r="A746" s="76">
        <v>88267</v>
      </c>
      <c r="B746" s="77" t="s">
        <v>472</v>
      </c>
      <c r="C746" s="78" t="s">
        <v>12</v>
      </c>
      <c r="D746" s="78" t="s">
        <v>19</v>
      </c>
      <c r="E746" s="73">
        <v>0.22</v>
      </c>
      <c r="F746" s="22">
        <f>H746</f>
        <v>14.7135</v>
      </c>
      <c r="G746" s="22">
        <f>ROUND(F746*E746,2)</f>
        <v>3.24</v>
      </c>
      <c r="H746" s="337">
        <v>14.7135</v>
      </c>
      <c r="I746" s="23" t="e">
        <f>IF(A746&lt;&gt;0,VLOOKUP(A746,#REF!,2,FALSE),"")</f>
        <v>#REF!</v>
      </c>
      <c r="K746" s="222"/>
    </row>
    <row r="747" spans="1:11" ht="30">
      <c r="A747" s="76">
        <v>88316</v>
      </c>
      <c r="B747" s="77" t="s">
        <v>377</v>
      </c>
      <c r="C747" s="78" t="s">
        <v>12</v>
      </c>
      <c r="D747" s="78" t="s">
        <v>19</v>
      </c>
      <c r="E747" s="73">
        <v>0.22</v>
      </c>
      <c r="F747" s="22">
        <f>H747</f>
        <v>11.798000000000002</v>
      </c>
      <c r="G747" s="22">
        <f>ROUND(F747*E747,2)</f>
        <v>2.6</v>
      </c>
      <c r="H747" s="337">
        <v>11.798000000000002</v>
      </c>
      <c r="I747" s="23" t="e">
        <f>IF(A747&lt;&gt;0,VLOOKUP(A747,#REF!,2,FALSE),"")</f>
        <v>#REF!</v>
      </c>
      <c r="K747" s="222"/>
    </row>
    <row r="748" spans="1:11" ht="15" customHeight="1">
      <c r="A748" s="719" t="s">
        <v>1893</v>
      </c>
      <c r="B748" s="719"/>
      <c r="C748" s="719"/>
      <c r="D748" s="719"/>
      <c r="E748" s="719"/>
      <c r="F748" s="719"/>
      <c r="G748" s="71">
        <f>ROUND(SUM(G743:G747),2)</f>
        <v>51.2</v>
      </c>
      <c r="K748" s="222"/>
    </row>
    <row r="749" spans="1:11" ht="31.5" customHeight="1">
      <c r="A749" s="72"/>
      <c r="B749" s="72"/>
      <c r="C749" s="752"/>
      <c r="D749" s="753"/>
      <c r="E749" s="72"/>
      <c r="F749" s="72"/>
      <c r="G749" s="72"/>
      <c r="K749" s="222"/>
    </row>
    <row r="750" spans="1:11" ht="30.75" customHeight="1">
      <c r="A750" s="612" t="s">
        <v>2131</v>
      </c>
      <c r="B750" s="613"/>
      <c r="C750" s="613"/>
      <c r="D750" s="613"/>
      <c r="E750" s="718"/>
      <c r="F750" s="67" t="s">
        <v>44</v>
      </c>
      <c r="G750" s="80"/>
      <c r="K750" s="222"/>
    </row>
    <row r="751" spans="1:11" ht="28.5">
      <c r="A751" s="623" t="s">
        <v>364</v>
      </c>
      <c r="B751" s="624"/>
      <c r="C751" s="69" t="s">
        <v>3</v>
      </c>
      <c r="D751" s="69" t="s">
        <v>4</v>
      </c>
      <c r="E751" s="69" t="s">
        <v>1826</v>
      </c>
      <c r="F751" s="69" t="s">
        <v>367</v>
      </c>
      <c r="G751" s="69" t="s">
        <v>368</v>
      </c>
      <c r="K751" s="222"/>
    </row>
    <row r="752" spans="1:11" ht="30">
      <c r="A752" s="20">
        <v>20083</v>
      </c>
      <c r="B752" s="70" t="s">
        <v>479</v>
      </c>
      <c r="C752" s="21" t="s">
        <v>12</v>
      </c>
      <c r="D752" s="21" t="s">
        <v>17</v>
      </c>
      <c r="E752" s="22">
        <v>3.6999999999999998E-2</v>
      </c>
      <c r="F752" s="22">
        <f>H752</f>
        <v>48.271500000000003</v>
      </c>
      <c r="G752" s="22">
        <f>ROUND(F752*E752,2)</f>
        <v>1.79</v>
      </c>
      <c r="H752" s="337">
        <v>48.271500000000003</v>
      </c>
      <c r="I752" s="23" t="e">
        <f>IF(A752&lt;&gt;0,VLOOKUP(A752,#REF!,2,FALSE),"")</f>
        <v>#REF!</v>
      </c>
      <c r="K752" s="222"/>
    </row>
    <row r="753" spans="1:11" ht="30">
      <c r="A753" s="20">
        <v>20042</v>
      </c>
      <c r="B753" s="70" t="s">
        <v>527</v>
      </c>
      <c r="C753" s="21" t="s">
        <v>12</v>
      </c>
      <c r="D753" s="21" t="s">
        <v>17</v>
      </c>
      <c r="E753" s="22">
        <v>1</v>
      </c>
      <c r="F753" s="22">
        <f>H753</f>
        <v>4.7345000000000006</v>
      </c>
      <c r="G753" s="22">
        <f>ROUND(F753*E753,2)</f>
        <v>4.7300000000000004</v>
      </c>
      <c r="H753" s="337">
        <v>4.7345000000000006</v>
      </c>
      <c r="I753" s="23" t="e">
        <f>IF(A753&lt;&gt;0,VLOOKUP(A753,#REF!,2,FALSE),"")</f>
        <v>#REF!</v>
      </c>
      <c r="K753" s="222"/>
    </row>
    <row r="754" spans="1:11" ht="30">
      <c r="A754" s="20">
        <v>122</v>
      </c>
      <c r="B754" s="70" t="s">
        <v>477</v>
      </c>
      <c r="C754" s="21" t="s">
        <v>12</v>
      </c>
      <c r="D754" s="21" t="s">
        <v>17</v>
      </c>
      <c r="E754" s="22">
        <v>2.5000000000000001E-2</v>
      </c>
      <c r="F754" s="22">
        <f>H754</f>
        <v>55.59</v>
      </c>
      <c r="G754" s="22">
        <f>ROUND(F754*E754,2)</f>
        <v>1.39</v>
      </c>
      <c r="H754" s="337">
        <v>55.59</v>
      </c>
      <c r="I754" s="23" t="e">
        <f>IF(A754&lt;&gt;0,VLOOKUP(A754,#REF!,2,FALSE),"")</f>
        <v>#REF!</v>
      </c>
      <c r="K754" s="222"/>
    </row>
    <row r="755" spans="1:11" ht="30">
      <c r="A755" s="20">
        <v>88267</v>
      </c>
      <c r="B755" s="70" t="s">
        <v>472</v>
      </c>
      <c r="C755" s="21" t="s">
        <v>12</v>
      </c>
      <c r="D755" s="21" t="s">
        <v>19</v>
      </c>
      <c r="E755" s="22">
        <v>0.18</v>
      </c>
      <c r="F755" s="22">
        <f>H755</f>
        <v>14.7135</v>
      </c>
      <c r="G755" s="22">
        <f>ROUND(F755*E755,2)</f>
        <v>2.65</v>
      </c>
      <c r="H755" s="337">
        <v>14.7135</v>
      </c>
      <c r="I755" s="23" t="e">
        <f>IF(A755&lt;&gt;0,VLOOKUP(A755,#REF!,2,FALSE),"")</f>
        <v>#REF!</v>
      </c>
      <c r="K755" s="222"/>
    </row>
    <row r="756" spans="1:11" ht="30">
      <c r="A756" s="20">
        <v>88316</v>
      </c>
      <c r="B756" s="70" t="s">
        <v>377</v>
      </c>
      <c r="C756" s="21" t="s">
        <v>12</v>
      </c>
      <c r="D756" s="21" t="s">
        <v>19</v>
      </c>
      <c r="E756" s="22">
        <v>0.18</v>
      </c>
      <c r="F756" s="22">
        <f>H756</f>
        <v>11.798000000000002</v>
      </c>
      <c r="G756" s="22">
        <f>ROUND(F756*E756,2)</f>
        <v>2.12</v>
      </c>
      <c r="H756" s="337">
        <v>11.798000000000002</v>
      </c>
      <c r="I756" s="23" t="e">
        <f>IF(A756&lt;&gt;0,VLOOKUP(A756,#REF!,2,FALSE),"")</f>
        <v>#REF!</v>
      </c>
      <c r="K756" s="222"/>
    </row>
    <row r="757" spans="1:11" ht="15" customHeight="1">
      <c r="A757" s="719" t="s">
        <v>1893</v>
      </c>
      <c r="B757" s="719"/>
      <c r="C757" s="719"/>
      <c r="D757" s="719"/>
      <c r="E757" s="719"/>
      <c r="F757" s="719"/>
      <c r="G757" s="71">
        <f>ROUND(SUM(G752:G756),2)</f>
        <v>12.68</v>
      </c>
      <c r="K757" s="222"/>
    </row>
    <row r="758" spans="1:11" ht="24" customHeight="1">
      <c r="A758" s="72"/>
      <c r="B758" s="72"/>
      <c r="C758" s="752"/>
      <c r="D758" s="753"/>
      <c r="E758" s="72"/>
      <c r="F758" s="72"/>
      <c r="G758" s="72"/>
      <c r="K758" s="222"/>
    </row>
    <row r="759" spans="1:11" ht="27" customHeight="1">
      <c r="A759" s="612" t="s">
        <v>2132</v>
      </c>
      <c r="B759" s="613"/>
      <c r="C759" s="613"/>
      <c r="D759" s="613"/>
      <c r="E759" s="718"/>
      <c r="F759" s="67" t="s">
        <v>70</v>
      </c>
      <c r="G759" s="80"/>
      <c r="K759" s="222"/>
    </row>
    <row r="760" spans="1:11" ht="28.5">
      <c r="A760" s="623" t="s">
        <v>364</v>
      </c>
      <c r="B760" s="624"/>
      <c r="C760" s="69" t="s">
        <v>3</v>
      </c>
      <c r="D760" s="69" t="s">
        <v>4</v>
      </c>
      <c r="E760" s="69" t="s">
        <v>1826</v>
      </c>
      <c r="F760" s="69" t="s">
        <v>367</v>
      </c>
      <c r="G760" s="69" t="s">
        <v>368</v>
      </c>
      <c r="K760" s="222"/>
    </row>
    <row r="761" spans="1:11">
      <c r="A761" s="21">
        <v>11071</v>
      </c>
      <c r="B761" s="70" t="s">
        <v>528</v>
      </c>
      <c r="C761" s="21" t="s">
        <v>12</v>
      </c>
      <c r="D761" s="21" t="s">
        <v>17</v>
      </c>
      <c r="E761" s="22">
        <v>1</v>
      </c>
      <c r="F761" s="22">
        <f>H761</f>
        <v>6.6555</v>
      </c>
      <c r="G761" s="22">
        <f>ROUND(F761*E761,2)</f>
        <v>6.66</v>
      </c>
      <c r="H761" s="337">
        <v>6.6555</v>
      </c>
      <c r="I761" s="23" t="e">
        <f>IF(A761&lt;&gt;0,VLOOKUP(A761,#REF!,2,FALSE),"")</f>
        <v>#REF!</v>
      </c>
      <c r="K761" s="222"/>
    </row>
    <row r="762" spans="1:11" ht="30">
      <c r="A762" s="20">
        <v>122</v>
      </c>
      <c r="B762" s="70" t="s">
        <v>477</v>
      </c>
      <c r="C762" s="21" t="s">
        <v>12</v>
      </c>
      <c r="D762" s="21" t="s">
        <v>17</v>
      </c>
      <c r="E762" s="22">
        <v>2.5000000000000001E-2</v>
      </c>
      <c r="F762" s="22">
        <f>H762</f>
        <v>55.59</v>
      </c>
      <c r="G762" s="22">
        <f>ROUND(F762*E762,2)</f>
        <v>1.39</v>
      </c>
      <c r="H762" s="337">
        <v>55.59</v>
      </c>
      <c r="I762" s="23" t="e">
        <f>IF(A762&lt;&gt;0,VLOOKUP(A762,#REF!,2,FALSE),"")</f>
        <v>#REF!</v>
      </c>
      <c r="K762" s="222"/>
    </row>
    <row r="763" spans="1:11" ht="30">
      <c r="A763" s="20">
        <v>20083</v>
      </c>
      <c r="B763" s="70" t="s">
        <v>479</v>
      </c>
      <c r="C763" s="21" t="s">
        <v>12</v>
      </c>
      <c r="D763" s="21" t="s">
        <v>17</v>
      </c>
      <c r="E763" s="22">
        <v>0.04</v>
      </c>
      <c r="F763" s="22">
        <f>H763</f>
        <v>48.271500000000003</v>
      </c>
      <c r="G763" s="22">
        <f>ROUND(F763*E763,2)</f>
        <v>1.93</v>
      </c>
      <c r="H763" s="337">
        <v>48.271500000000003</v>
      </c>
      <c r="I763" s="23" t="e">
        <f>IF(A763&lt;&gt;0,VLOOKUP(A763,#REF!,2,FALSE),"")</f>
        <v>#REF!</v>
      </c>
      <c r="K763" s="222"/>
    </row>
    <row r="764" spans="1:11" ht="30">
      <c r="A764" s="20">
        <v>88267</v>
      </c>
      <c r="B764" s="70" t="s">
        <v>472</v>
      </c>
      <c r="C764" s="21" t="s">
        <v>12</v>
      </c>
      <c r="D764" s="21" t="s">
        <v>19</v>
      </c>
      <c r="E764" s="22">
        <v>0.12</v>
      </c>
      <c r="F764" s="22">
        <f>H764</f>
        <v>14.7135</v>
      </c>
      <c r="G764" s="22">
        <f>ROUND(F764*E764,2)</f>
        <v>1.77</v>
      </c>
      <c r="H764" s="337">
        <v>14.7135</v>
      </c>
      <c r="I764" s="23" t="e">
        <f>IF(A764&lt;&gt;0,VLOOKUP(A764,#REF!,2,FALSE),"")</f>
        <v>#REF!</v>
      </c>
      <c r="K764" s="222"/>
    </row>
    <row r="765" spans="1:11" ht="45">
      <c r="A765" s="20">
        <v>88248</v>
      </c>
      <c r="B765" s="70" t="s">
        <v>473</v>
      </c>
      <c r="C765" s="21" t="s">
        <v>12</v>
      </c>
      <c r="D765" s="21" t="s">
        <v>19</v>
      </c>
      <c r="E765" s="22">
        <v>0.12</v>
      </c>
      <c r="F765" s="22">
        <f>H765</f>
        <v>11.483499999999999</v>
      </c>
      <c r="G765" s="22">
        <f>ROUND(F765*E765,2)</f>
        <v>1.38</v>
      </c>
      <c r="H765" s="337">
        <v>11.483499999999999</v>
      </c>
      <c r="I765" s="23" t="e">
        <f>IF(A765&lt;&gt;0,VLOOKUP(A765,#REF!,2,FALSE),"")</f>
        <v>#REF!</v>
      </c>
      <c r="K765" s="222"/>
    </row>
    <row r="766" spans="1:11" ht="15" customHeight="1">
      <c r="A766" s="719" t="s">
        <v>1893</v>
      </c>
      <c r="B766" s="719"/>
      <c r="C766" s="719"/>
      <c r="D766" s="719"/>
      <c r="E766" s="719"/>
      <c r="F766" s="719"/>
      <c r="G766" s="71">
        <f>ROUND(SUM(G761:G765),2)</f>
        <v>13.13</v>
      </c>
      <c r="K766" s="222"/>
    </row>
    <row r="767" spans="1:11" ht="27" customHeight="1">
      <c r="A767" s="72"/>
      <c r="B767" s="72"/>
      <c r="C767" s="752"/>
      <c r="D767" s="753"/>
      <c r="E767" s="72"/>
      <c r="F767" s="72"/>
      <c r="G767" s="72"/>
      <c r="K767" s="222"/>
    </row>
    <row r="768" spans="1:11" ht="15" customHeight="1">
      <c r="A768" s="612" t="s">
        <v>2133</v>
      </c>
      <c r="B768" s="613"/>
      <c r="C768" s="613"/>
      <c r="D768" s="613"/>
      <c r="E768" s="718"/>
      <c r="F768" s="67" t="s">
        <v>70</v>
      </c>
      <c r="G768" s="80"/>
      <c r="K768" s="222"/>
    </row>
    <row r="769" spans="1:11" ht="28.5">
      <c r="A769" s="623" t="s">
        <v>364</v>
      </c>
      <c r="B769" s="624"/>
      <c r="C769" s="69" t="s">
        <v>3</v>
      </c>
      <c r="D769" s="69" t="s">
        <v>4</v>
      </c>
      <c r="E769" s="69" t="s">
        <v>1826</v>
      </c>
      <c r="F769" s="69" t="s">
        <v>367</v>
      </c>
      <c r="G769" s="69" t="s">
        <v>368</v>
      </c>
      <c r="K769" s="222"/>
    </row>
    <row r="770" spans="1:11">
      <c r="A770" s="21">
        <v>11072</v>
      </c>
      <c r="B770" s="70" t="s">
        <v>529</v>
      </c>
      <c r="C770" s="21" t="s">
        <v>12</v>
      </c>
      <c r="D770" s="21" t="s">
        <v>17</v>
      </c>
      <c r="E770" s="22">
        <v>1</v>
      </c>
      <c r="F770" s="22">
        <f>H770</f>
        <v>2.3205</v>
      </c>
      <c r="G770" s="22">
        <f>ROUND(F770*E770,2)</f>
        <v>2.3199999999999998</v>
      </c>
      <c r="H770" s="337">
        <v>2.3205</v>
      </c>
      <c r="I770" s="23" t="e">
        <f>IF(A770&lt;&gt;0,VLOOKUP(A770,#REF!,2,FALSE),"")</f>
        <v>#REF!</v>
      </c>
      <c r="K770" s="222"/>
    </row>
    <row r="771" spans="1:11" ht="30">
      <c r="A771" s="20">
        <v>20083</v>
      </c>
      <c r="B771" s="70" t="s">
        <v>479</v>
      </c>
      <c r="C771" s="21" t="s">
        <v>12</v>
      </c>
      <c r="D771" s="21" t="s">
        <v>17</v>
      </c>
      <c r="E771" s="22">
        <v>1.0999999999999999E-2</v>
      </c>
      <c r="F771" s="22">
        <f>H771</f>
        <v>48.271500000000003</v>
      </c>
      <c r="G771" s="22">
        <f>ROUND(F771*E771,2)</f>
        <v>0.53</v>
      </c>
      <c r="H771" s="337">
        <v>48.271500000000003</v>
      </c>
      <c r="I771" s="23" t="e">
        <f>IF(A771&lt;&gt;0,VLOOKUP(A771,#REF!,2,FALSE),"")</f>
        <v>#REF!</v>
      </c>
      <c r="K771" s="222"/>
    </row>
    <row r="772" spans="1:11" ht="30">
      <c r="A772" s="20">
        <v>122</v>
      </c>
      <c r="B772" s="70" t="s">
        <v>477</v>
      </c>
      <c r="C772" s="21" t="s">
        <v>12</v>
      </c>
      <c r="D772" s="21" t="s">
        <v>17</v>
      </c>
      <c r="E772" s="22">
        <v>7.4999999999999997E-3</v>
      </c>
      <c r="F772" s="22">
        <f>H772</f>
        <v>55.59</v>
      </c>
      <c r="G772" s="22">
        <f>ROUND(F772*E772,2)</f>
        <v>0.42</v>
      </c>
      <c r="H772" s="337">
        <v>55.59</v>
      </c>
      <c r="I772" s="23" t="e">
        <f>IF(A772&lt;&gt;0,VLOOKUP(A772,#REF!,2,FALSE),"")</f>
        <v>#REF!</v>
      </c>
      <c r="K772" s="222"/>
    </row>
    <row r="773" spans="1:11" ht="30">
      <c r="A773" s="20">
        <v>88267</v>
      </c>
      <c r="B773" s="70" t="s">
        <v>472</v>
      </c>
      <c r="C773" s="21" t="s">
        <v>12</v>
      </c>
      <c r="D773" s="21" t="s">
        <v>19</v>
      </c>
      <c r="E773" s="22">
        <v>7.0000000000000007E-2</v>
      </c>
      <c r="F773" s="22">
        <f>H773</f>
        <v>14.7135</v>
      </c>
      <c r="G773" s="22">
        <f>ROUND(F773*E773,2)</f>
        <v>1.03</v>
      </c>
      <c r="H773" s="337">
        <v>14.7135</v>
      </c>
      <c r="I773" s="23" t="e">
        <f>IF(A773&lt;&gt;0,VLOOKUP(A773,#REF!,2,FALSE),"")</f>
        <v>#REF!</v>
      </c>
      <c r="K773" s="222"/>
    </row>
    <row r="774" spans="1:11" ht="45">
      <c r="A774" s="20">
        <v>88248</v>
      </c>
      <c r="B774" s="70" t="s">
        <v>473</v>
      </c>
      <c r="C774" s="21" t="s">
        <v>12</v>
      </c>
      <c r="D774" s="21" t="s">
        <v>19</v>
      </c>
      <c r="E774" s="22">
        <v>7.0000000000000007E-2</v>
      </c>
      <c r="F774" s="22">
        <f>H774</f>
        <v>11.483499999999999</v>
      </c>
      <c r="G774" s="22">
        <f>ROUND(F774*E774,2)</f>
        <v>0.8</v>
      </c>
      <c r="H774" s="337">
        <v>11.483499999999999</v>
      </c>
      <c r="I774" s="23" t="e">
        <f>IF(A774&lt;&gt;0,VLOOKUP(A774,#REF!,2,FALSE),"")</f>
        <v>#REF!</v>
      </c>
      <c r="K774" s="222"/>
    </row>
    <row r="775" spans="1:11" ht="15" customHeight="1">
      <c r="A775" s="719" t="s">
        <v>1893</v>
      </c>
      <c r="B775" s="719"/>
      <c r="C775" s="719"/>
      <c r="D775" s="719"/>
      <c r="E775" s="719"/>
      <c r="F775" s="719"/>
      <c r="G775" s="71">
        <f>ROUND(SUM(G770:G774),2)</f>
        <v>5.0999999999999996</v>
      </c>
      <c r="K775" s="222"/>
    </row>
    <row r="776" spans="1:11" ht="35.25" customHeight="1">
      <c r="A776" s="72"/>
      <c r="B776" s="72"/>
      <c r="C776" s="752"/>
      <c r="D776" s="753"/>
      <c r="E776" s="72"/>
      <c r="F776" s="72"/>
      <c r="G776" s="72"/>
      <c r="K776" s="222"/>
    </row>
    <row r="777" spans="1:11" ht="69" customHeight="1">
      <c r="A777" s="612" t="s">
        <v>2136</v>
      </c>
      <c r="B777" s="613"/>
      <c r="C777" s="613"/>
      <c r="D777" s="613"/>
      <c r="E777" s="718"/>
      <c r="F777" s="67" t="s">
        <v>1914</v>
      </c>
      <c r="G777" s="80"/>
      <c r="K777" s="222"/>
    </row>
    <row r="778" spans="1:11" ht="28.5">
      <c r="A778" s="623" t="s">
        <v>364</v>
      </c>
      <c r="B778" s="624"/>
      <c r="C778" s="69" t="s">
        <v>3</v>
      </c>
      <c r="D778" s="69" t="s">
        <v>4</v>
      </c>
      <c r="E778" s="69" t="s">
        <v>1826</v>
      </c>
      <c r="F778" s="69" t="s">
        <v>367</v>
      </c>
      <c r="G778" s="69" t="s">
        <v>368</v>
      </c>
      <c r="K778" s="222"/>
    </row>
    <row r="779" spans="1:11">
      <c r="A779" s="76">
        <v>1379</v>
      </c>
      <c r="B779" s="77" t="s">
        <v>397</v>
      </c>
      <c r="C779" s="78" t="s">
        <v>12</v>
      </c>
      <c r="D779" s="78" t="s">
        <v>45</v>
      </c>
      <c r="E779" s="73">
        <v>0.8</v>
      </c>
      <c r="F779" s="22">
        <f>H779</f>
        <v>0.60349999999999993</v>
      </c>
      <c r="G779" s="22">
        <f>ROUND(F779*E779,2)</f>
        <v>0.48</v>
      </c>
      <c r="H779" s="337">
        <v>0.60349999999999993</v>
      </c>
      <c r="I779" s="23" t="e">
        <f>IF(A779&lt;&gt;0,VLOOKUP(A779,#REF!,2,FALSE),"")</f>
        <v>#REF!</v>
      </c>
      <c r="K779" s="222"/>
    </row>
    <row r="780" spans="1:11">
      <c r="A780" s="20">
        <v>7258</v>
      </c>
      <c r="B780" s="70" t="s">
        <v>403</v>
      </c>
      <c r="C780" s="21" t="s">
        <v>12</v>
      </c>
      <c r="D780" s="21" t="s">
        <v>17</v>
      </c>
      <c r="E780" s="22">
        <v>75.885999999999996</v>
      </c>
      <c r="F780" s="22">
        <f t="shared" ref="F780:F787" si="80">H780</f>
        <v>0.59499999999999997</v>
      </c>
      <c r="G780" s="22">
        <f t="shared" ref="G780:G787" si="81">ROUND(F780*E780,2)</f>
        <v>45.15</v>
      </c>
      <c r="H780" s="337">
        <v>0.59499999999999997</v>
      </c>
      <c r="I780" s="23" t="e">
        <f>IF(A780&lt;&gt;0,VLOOKUP(A780,#REF!,2,FALSE),"")</f>
        <v>#REF!</v>
      </c>
      <c r="K780" s="222"/>
    </row>
    <row r="781" spans="1:11" ht="30">
      <c r="A781" s="20">
        <v>41613</v>
      </c>
      <c r="B781" s="70" t="s">
        <v>514</v>
      </c>
      <c r="C781" s="21" t="s">
        <v>12</v>
      </c>
      <c r="D781" s="21" t="s">
        <v>17</v>
      </c>
      <c r="E781" s="22">
        <v>1</v>
      </c>
      <c r="F781" s="22">
        <f t="shared" si="80"/>
        <v>72.182000000000002</v>
      </c>
      <c r="G781" s="22">
        <f t="shared" si="81"/>
        <v>72.180000000000007</v>
      </c>
      <c r="H781" s="337">
        <v>72.182000000000002</v>
      </c>
      <c r="I781" s="23" t="e">
        <f>IF(A781&lt;&gt;0,VLOOKUP(A781,#REF!,2,FALSE),"")</f>
        <v>#REF!</v>
      </c>
      <c r="K781" s="222"/>
    </row>
    <row r="782" spans="1:11" ht="90">
      <c r="A782" s="20">
        <v>87335</v>
      </c>
      <c r="B782" s="70" t="s">
        <v>1807</v>
      </c>
      <c r="C782" s="21" t="s">
        <v>12</v>
      </c>
      <c r="D782" s="21" t="s">
        <v>35</v>
      </c>
      <c r="E782" s="22">
        <v>2.2800000000000001E-2</v>
      </c>
      <c r="F782" s="22">
        <f t="shared" si="80"/>
        <v>358.92949999999996</v>
      </c>
      <c r="G782" s="22">
        <f t="shared" si="81"/>
        <v>8.18</v>
      </c>
      <c r="H782" s="337">
        <v>358.92949999999996</v>
      </c>
      <c r="I782" s="23" t="e">
        <f>IF(A782&lt;&gt;0,VLOOKUP(A782,#REF!,2,FALSE),"")</f>
        <v>#REF!</v>
      </c>
      <c r="K782" s="222"/>
    </row>
    <row r="783" spans="1:11" ht="30">
      <c r="A783" s="20">
        <v>88309</v>
      </c>
      <c r="B783" s="70" t="s">
        <v>390</v>
      </c>
      <c r="C783" s="21" t="s">
        <v>12</v>
      </c>
      <c r="D783" s="21" t="s">
        <v>19</v>
      </c>
      <c r="E783" s="22">
        <v>1.9</v>
      </c>
      <c r="F783" s="22">
        <f t="shared" si="80"/>
        <v>15.121499999999999</v>
      </c>
      <c r="G783" s="22">
        <f t="shared" si="81"/>
        <v>28.73</v>
      </c>
      <c r="H783" s="337">
        <v>15.121499999999999</v>
      </c>
      <c r="I783" s="23" t="e">
        <f>IF(A783&lt;&gt;0,VLOOKUP(A783,#REF!,2,FALSE),"")</f>
        <v>#REF!</v>
      </c>
      <c r="K783" s="222"/>
    </row>
    <row r="784" spans="1:11" ht="30">
      <c r="A784" s="20">
        <v>88316</v>
      </c>
      <c r="B784" s="70" t="s">
        <v>377</v>
      </c>
      <c r="C784" s="21" t="s">
        <v>12</v>
      </c>
      <c r="D784" s="21" t="s">
        <v>19</v>
      </c>
      <c r="E784" s="22">
        <v>1.65</v>
      </c>
      <c r="F784" s="22">
        <f t="shared" si="80"/>
        <v>11.798000000000002</v>
      </c>
      <c r="G784" s="22">
        <f t="shared" si="81"/>
        <v>19.47</v>
      </c>
      <c r="H784" s="337">
        <v>11.798000000000002</v>
      </c>
      <c r="I784" s="23" t="e">
        <f>IF(A784&lt;&gt;0,VLOOKUP(A784,#REF!,2,FALSE),"")</f>
        <v>#REF!</v>
      </c>
      <c r="K784" s="222"/>
    </row>
    <row r="785" spans="1:11" ht="45">
      <c r="A785" s="20">
        <v>88630</v>
      </c>
      <c r="B785" s="70" t="s">
        <v>1808</v>
      </c>
      <c r="C785" s="21" t="s">
        <v>12</v>
      </c>
      <c r="D785" s="21" t="s">
        <v>35</v>
      </c>
      <c r="E785" s="22">
        <v>1.6500000000000001E-2</v>
      </c>
      <c r="F785" s="22">
        <f t="shared" si="80"/>
        <v>317.60249999999996</v>
      </c>
      <c r="G785" s="22">
        <f t="shared" si="81"/>
        <v>5.24</v>
      </c>
      <c r="H785" s="337">
        <v>317.60249999999996</v>
      </c>
      <c r="I785" s="23" t="e">
        <f>IF(A785&lt;&gt;0,VLOOKUP(A785,#REF!,2,FALSE),"")</f>
        <v>#REF!</v>
      </c>
      <c r="K785" s="222"/>
    </row>
    <row r="786" spans="1:11" ht="30">
      <c r="A786" s="20">
        <v>93358</v>
      </c>
      <c r="B786" s="70" t="s">
        <v>1774</v>
      </c>
      <c r="C786" s="21" t="s">
        <v>12</v>
      </c>
      <c r="D786" s="21" t="s">
        <v>35</v>
      </c>
      <c r="E786" s="22">
        <v>0.216</v>
      </c>
      <c r="F786" s="22">
        <f t="shared" si="80"/>
        <v>46.664999999999999</v>
      </c>
      <c r="G786" s="22">
        <f t="shared" si="81"/>
        <v>10.08</v>
      </c>
      <c r="H786" s="337">
        <v>46.664999999999999</v>
      </c>
      <c r="I786" s="23" t="e">
        <f>IF(A786&lt;&gt;0,VLOOKUP(A786,#REF!,2,FALSE),"")</f>
        <v>#REF!</v>
      </c>
      <c r="K786" s="222"/>
    </row>
    <row r="787" spans="1:11" ht="45">
      <c r="A787" s="20">
        <v>94969</v>
      </c>
      <c r="B787" s="70" t="s">
        <v>1795</v>
      </c>
      <c r="C787" s="21" t="s">
        <v>12</v>
      </c>
      <c r="D787" s="21" t="s">
        <v>35</v>
      </c>
      <c r="E787" s="22">
        <v>1.7999999999999999E-2</v>
      </c>
      <c r="F787" s="22">
        <f t="shared" si="80"/>
        <v>291.31200000000001</v>
      </c>
      <c r="G787" s="22">
        <f t="shared" si="81"/>
        <v>5.24</v>
      </c>
      <c r="H787" s="337">
        <v>291.31200000000001</v>
      </c>
      <c r="I787" s="23" t="e">
        <f>IF(A787&lt;&gt;0,VLOOKUP(A787,#REF!,2,FALSE),"")</f>
        <v>#REF!</v>
      </c>
      <c r="K787" s="222"/>
    </row>
    <row r="788" spans="1:11" ht="15" customHeight="1">
      <c r="A788" s="719" t="s">
        <v>1893</v>
      </c>
      <c r="B788" s="719"/>
      <c r="C788" s="719"/>
      <c r="D788" s="719"/>
      <c r="E788" s="719"/>
      <c r="F788" s="719"/>
      <c r="G788" s="71">
        <f>ROUND(SUM(G779:G787),2)</f>
        <v>194.75</v>
      </c>
      <c r="K788" s="222"/>
    </row>
    <row r="789" spans="1:11" ht="21.75" customHeight="1">
      <c r="A789" s="72"/>
      <c r="B789" s="72"/>
      <c r="C789" s="752"/>
      <c r="D789" s="753"/>
      <c r="E789" s="72"/>
      <c r="F789" s="72"/>
      <c r="G789" s="72"/>
      <c r="K789" s="222"/>
    </row>
    <row r="790" spans="1:11" ht="30" customHeight="1">
      <c r="A790" s="612" t="s">
        <v>2137</v>
      </c>
      <c r="B790" s="613"/>
      <c r="C790" s="613"/>
      <c r="D790" s="613"/>
      <c r="E790" s="718"/>
      <c r="F790" s="67" t="s">
        <v>1914</v>
      </c>
      <c r="G790" s="80"/>
      <c r="K790" s="222"/>
    </row>
    <row r="791" spans="1:11" ht="28.5">
      <c r="A791" s="623" t="s">
        <v>364</v>
      </c>
      <c r="B791" s="624"/>
      <c r="C791" s="69" t="s">
        <v>3</v>
      </c>
      <c r="D791" s="69" t="s">
        <v>4</v>
      </c>
      <c r="E791" s="69" t="s">
        <v>1826</v>
      </c>
      <c r="F791" s="69" t="s">
        <v>367</v>
      </c>
      <c r="G791" s="69" t="s">
        <v>368</v>
      </c>
      <c r="K791" s="222"/>
    </row>
    <row r="792" spans="1:11">
      <c r="A792" s="20">
        <v>1379</v>
      </c>
      <c r="B792" s="70" t="s">
        <v>397</v>
      </c>
      <c r="C792" s="21" t="s">
        <v>12</v>
      </c>
      <c r="D792" s="21" t="s">
        <v>45</v>
      </c>
      <c r="E792" s="22">
        <v>0.5</v>
      </c>
      <c r="F792" s="22">
        <f>H792</f>
        <v>0.60349999999999993</v>
      </c>
      <c r="G792" s="22">
        <f>ROUND(F792*E792,2)</f>
        <v>0.3</v>
      </c>
      <c r="H792" s="337">
        <v>0.60349999999999993</v>
      </c>
      <c r="I792" s="23" t="e">
        <f>IF(A792&lt;&gt;0,VLOOKUP(A792,#REF!,2,FALSE),"")</f>
        <v>#REF!</v>
      </c>
      <c r="K792" s="222"/>
    </row>
    <row r="793" spans="1:11" ht="60">
      <c r="A793" s="20">
        <v>35277</v>
      </c>
      <c r="B793" s="70" t="s">
        <v>530</v>
      </c>
      <c r="C793" s="21" t="s">
        <v>12</v>
      </c>
      <c r="D793" s="21" t="s">
        <v>17</v>
      </c>
      <c r="E793" s="22">
        <v>1</v>
      </c>
      <c r="F793" s="22">
        <f>H793</f>
        <v>283.798</v>
      </c>
      <c r="G793" s="22">
        <f>ROUND(F793*E793,2)</f>
        <v>283.8</v>
      </c>
      <c r="H793" s="337">
        <v>283.798</v>
      </c>
      <c r="I793" s="23" t="e">
        <f>IF(A793&lt;&gt;0,VLOOKUP(A793,#REF!,2,FALSE),"")</f>
        <v>#REF!</v>
      </c>
      <c r="K793" s="222"/>
    </row>
    <row r="794" spans="1:11" ht="30">
      <c r="A794" s="20">
        <v>88267</v>
      </c>
      <c r="B794" s="70" t="s">
        <v>472</v>
      </c>
      <c r="C794" s="21" t="s">
        <v>12</v>
      </c>
      <c r="D794" s="21" t="s">
        <v>19</v>
      </c>
      <c r="E794" s="22">
        <v>2</v>
      </c>
      <c r="F794" s="22">
        <f>H794</f>
        <v>14.7135</v>
      </c>
      <c r="G794" s="22">
        <f>ROUND(F794*E794,2)</f>
        <v>29.43</v>
      </c>
      <c r="H794" s="337">
        <v>14.7135</v>
      </c>
      <c r="I794" s="23" t="e">
        <f>IF(A794&lt;&gt;0,VLOOKUP(A794,#REF!,2,FALSE),"")</f>
        <v>#REF!</v>
      </c>
      <c r="K794" s="222"/>
    </row>
    <row r="795" spans="1:11" ht="30">
      <c r="A795" s="20">
        <v>88316</v>
      </c>
      <c r="B795" s="70" t="s">
        <v>377</v>
      </c>
      <c r="C795" s="21" t="s">
        <v>12</v>
      </c>
      <c r="D795" s="21" t="s">
        <v>19</v>
      </c>
      <c r="E795" s="22">
        <v>2</v>
      </c>
      <c r="F795" s="22">
        <f>H795</f>
        <v>11.798000000000002</v>
      </c>
      <c r="G795" s="22">
        <f>ROUND(F795*E795,2)</f>
        <v>23.6</v>
      </c>
      <c r="H795" s="337">
        <v>11.798000000000002</v>
      </c>
      <c r="I795" s="23" t="e">
        <f>IF(A795&lt;&gt;0,VLOOKUP(A795,#REF!,2,FALSE),"")</f>
        <v>#REF!</v>
      </c>
      <c r="K795" s="222"/>
    </row>
    <row r="796" spans="1:11" ht="15" customHeight="1">
      <c r="A796" s="719" t="s">
        <v>1893</v>
      </c>
      <c r="B796" s="719"/>
      <c r="C796" s="719"/>
      <c r="D796" s="719"/>
      <c r="E796" s="719"/>
      <c r="F796" s="719"/>
      <c r="G796" s="71">
        <f>ROUND(SUM(G792:G795),2)</f>
        <v>337.13</v>
      </c>
      <c r="I796" s="23"/>
      <c r="K796" s="222"/>
    </row>
    <row r="797" spans="1:11" ht="25.5" customHeight="1">
      <c r="A797" s="72"/>
      <c r="B797" s="72"/>
      <c r="C797" s="752"/>
      <c r="D797" s="753"/>
      <c r="E797" s="72"/>
      <c r="F797" s="72"/>
      <c r="G797" s="72"/>
      <c r="K797" s="222"/>
    </row>
    <row r="798" spans="1:11" ht="21.75" customHeight="1">
      <c r="A798" s="612" t="s">
        <v>2138</v>
      </c>
      <c r="B798" s="613"/>
      <c r="C798" s="613"/>
      <c r="D798" s="613"/>
      <c r="E798" s="613"/>
      <c r="F798" s="67" t="s">
        <v>1914</v>
      </c>
      <c r="G798" s="80"/>
      <c r="K798" s="222"/>
    </row>
    <row r="799" spans="1:11" ht="28.5">
      <c r="A799" s="623" t="s">
        <v>364</v>
      </c>
      <c r="B799" s="624"/>
      <c r="C799" s="69" t="s">
        <v>3</v>
      </c>
      <c r="D799" s="69" t="s">
        <v>4</v>
      </c>
      <c r="E799" s="69" t="s">
        <v>1826</v>
      </c>
      <c r="F799" s="69" t="s">
        <v>367</v>
      </c>
      <c r="G799" s="69" t="s">
        <v>368</v>
      </c>
      <c r="K799" s="222"/>
    </row>
    <row r="800" spans="1:11" ht="30">
      <c r="A800" s="20">
        <v>6138</v>
      </c>
      <c r="B800" s="70" t="s">
        <v>154</v>
      </c>
      <c r="C800" s="21" t="s">
        <v>12</v>
      </c>
      <c r="D800" s="21" t="s">
        <v>17</v>
      </c>
      <c r="E800" s="22">
        <v>1</v>
      </c>
      <c r="F800" s="22">
        <f>H800</f>
        <v>1.36</v>
      </c>
      <c r="G800" s="22">
        <f>ROUND(F800*E800,2)</f>
        <v>1.36</v>
      </c>
      <c r="H800" s="337">
        <v>1.36</v>
      </c>
      <c r="I800" s="23" t="e">
        <f>IF(A800&lt;&gt;0,VLOOKUP(A800,#REF!,2,FALSE),"")</f>
        <v>#REF!</v>
      </c>
      <c r="K800" s="222"/>
    </row>
    <row r="801" spans="1:11" ht="30">
      <c r="A801" s="20">
        <v>3146</v>
      </c>
      <c r="B801" s="70" t="s">
        <v>471</v>
      </c>
      <c r="C801" s="21" t="s">
        <v>12</v>
      </c>
      <c r="D801" s="21" t="s">
        <v>17</v>
      </c>
      <c r="E801" s="22">
        <v>7.0000000000000001E-3</v>
      </c>
      <c r="F801" s="22">
        <f>H801</f>
        <v>3.06</v>
      </c>
      <c r="G801" s="22">
        <f>ROUND(F801*E801,2)</f>
        <v>0.02</v>
      </c>
      <c r="H801" s="337">
        <v>3.06</v>
      </c>
      <c r="I801" s="23" t="e">
        <f>IF(A801&lt;&gt;0,VLOOKUP(A801,#REF!,2,FALSE),"")</f>
        <v>#REF!</v>
      </c>
      <c r="K801" s="222"/>
    </row>
    <row r="802" spans="1:11" ht="30">
      <c r="A802" s="20">
        <v>20080</v>
      </c>
      <c r="B802" s="70" t="s">
        <v>475</v>
      </c>
      <c r="C802" s="21" t="s">
        <v>12</v>
      </c>
      <c r="D802" s="21" t="s">
        <v>17</v>
      </c>
      <c r="E802" s="22">
        <v>0.03</v>
      </c>
      <c r="F802" s="22">
        <f>H802</f>
        <v>17.646000000000001</v>
      </c>
      <c r="G802" s="22">
        <f>ROUND(F802*E802,2)</f>
        <v>0.53</v>
      </c>
      <c r="H802" s="337">
        <v>17.646000000000001</v>
      </c>
      <c r="I802" s="23" t="e">
        <f>IF(A802&lt;&gt;0,VLOOKUP(A802,#REF!,2,FALSE),"")</f>
        <v>#REF!</v>
      </c>
      <c r="K802" s="222"/>
    </row>
    <row r="803" spans="1:11" ht="30">
      <c r="A803" s="20">
        <v>88267</v>
      </c>
      <c r="B803" s="70" t="s">
        <v>472</v>
      </c>
      <c r="C803" s="21" t="s">
        <v>12</v>
      </c>
      <c r="D803" s="21" t="s">
        <v>19</v>
      </c>
      <c r="E803" s="22">
        <v>0.18</v>
      </c>
      <c r="F803" s="22">
        <f>H803</f>
        <v>14.7135</v>
      </c>
      <c r="G803" s="22">
        <f>ROUND(F803*E803,2)</f>
        <v>2.65</v>
      </c>
      <c r="H803" s="337">
        <v>14.7135</v>
      </c>
      <c r="I803" s="23" t="e">
        <f>IF(A803&lt;&gt;0,VLOOKUP(A803,#REF!,2,FALSE),"")</f>
        <v>#REF!</v>
      </c>
      <c r="K803" s="222"/>
    </row>
    <row r="804" spans="1:11" ht="45">
      <c r="A804" s="20">
        <v>88248</v>
      </c>
      <c r="B804" s="70" t="s">
        <v>473</v>
      </c>
      <c r="C804" s="21" t="s">
        <v>12</v>
      </c>
      <c r="D804" s="21" t="s">
        <v>19</v>
      </c>
      <c r="E804" s="22">
        <v>0.18</v>
      </c>
      <c r="F804" s="22">
        <f>H804</f>
        <v>11.483499999999999</v>
      </c>
      <c r="G804" s="22">
        <f>ROUND(F804*E804,2)</f>
        <v>2.0699999999999998</v>
      </c>
      <c r="H804" s="337">
        <v>11.483499999999999</v>
      </c>
      <c r="I804" s="23" t="e">
        <f>IF(A804&lt;&gt;0,VLOOKUP(A804,#REF!,2,FALSE),"")</f>
        <v>#REF!</v>
      </c>
      <c r="K804" s="222"/>
    </row>
    <row r="805" spans="1:11" ht="15" customHeight="1">
      <c r="A805" s="719" t="s">
        <v>1893</v>
      </c>
      <c r="B805" s="719"/>
      <c r="C805" s="719"/>
      <c r="D805" s="719"/>
      <c r="E805" s="719"/>
      <c r="F805" s="719"/>
      <c r="G805" s="71">
        <f>ROUND(SUM(G800:G804),2)</f>
        <v>6.63</v>
      </c>
      <c r="K805" s="222"/>
    </row>
    <row r="806" spans="1:11" ht="36.75" customHeight="1">
      <c r="A806" s="72"/>
      <c r="B806" s="72"/>
      <c r="C806" s="752"/>
      <c r="D806" s="753"/>
      <c r="E806" s="72"/>
      <c r="F806" s="72"/>
      <c r="G806" s="72"/>
      <c r="K806" s="222"/>
    </row>
    <row r="807" spans="1:11" ht="22.5" customHeight="1">
      <c r="A807" s="612" t="s">
        <v>2140</v>
      </c>
      <c r="B807" s="613"/>
      <c r="C807" s="613"/>
      <c r="D807" s="613"/>
      <c r="E807" s="614"/>
      <c r="F807" s="67" t="s">
        <v>70</v>
      </c>
      <c r="G807" s="230"/>
      <c r="K807" s="222"/>
    </row>
    <row r="808" spans="1:11" ht="28.5">
      <c r="A808" s="229" t="s">
        <v>364</v>
      </c>
      <c r="B808" s="230"/>
      <c r="C808" s="69" t="s">
        <v>3</v>
      </c>
      <c r="D808" s="69" t="s">
        <v>4</v>
      </c>
      <c r="E808" s="69" t="s">
        <v>1826</v>
      </c>
      <c r="F808" s="69" t="s">
        <v>367</v>
      </c>
      <c r="G808" s="69" t="s">
        <v>368</v>
      </c>
      <c r="K808" s="222"/>
    </row>
    <row r="809" spans="1:11" ht="30">
      <c r="A809" s="20">
        <v>5069</v>
      </c>
      <c r="B809" s="70" t="s">
        <v>380</v>
      </c>
      <c r="C809" s="21" t="s">
        <v>12</v>
      </c>
      <c r="D809" s="21" t="s">
        <v>45</v>
      </c>
      <c r="E809" s="22">
        <v>0.1</v>
      </c>
      <c r="F809" s="22">
        <f>H809</f>
        <v>16.303000000000001</v>
      </c>
      <c r="G809" s="22">
        <f>ROUND(F809*E809,2)</f>
        <v>1.63</v>
      </c>
      <c r="H809" s="337">
        <v>16.303000000000001</v>
      </c>
      <c r="I809" s="23" t="e">
        <f>IF(A809&lt;&gt;0,VLOOKUP(A809,#REF!,2,FALSE),"")</f>
        <v>#REF!</v>
      </c>
      <c r="K809" s="222"/>
    </row>
    <row r="810" spans="1:11" ht="30">
      <c r="A810" s="20">
        <v>6189</v>
      </c>
      <c r="B810" s="70" t="s">
        <v>531</v>
      </c>
      <c r="C810" s="21" t="s">
        <v>12</v>
      </c>
      <c r="D810" s="21" t="s">
        <v>26</v>
      </c>
      <c r="E810" s="22">
        <v>0.65</v>
      </c>
      <c r="F810" s="22">
        <f t="shared" ref="F810:F816" si="82">H810</f>
        <v>17.527000000000001</v>
      </c>
      <c r="G810" s="22">
        <f t="shared" ref="G810:G816" si="83">ROUND(F810*E810,2)</f>
        <v>11.39</v>
      </c>
      <c r="H810" s="337">
        <v>17.527000000000001</v>
      </c>
      <c r="I810" s="23" t="e">
        <f>IF(A810&lt;&gt;0,VLOOKUP(A810,#REF!,2,FALSE),"")</f>
        <v>#REF!</v>
      </c>
      <c r="K810" s="222"/>
    </row>
    <row r="811" spans="1:11" ht="45">
      <c r="A811" s="20">
        <v>4433</v>
      </c>
      <c r="B811" s="70" t="s">
        <v>532</v>
      </c>
      <c r="C811" s="21" t="s">
        <v>12</v>
      </c>
      <c r="D811" s="21" t="s">
        <v>52</v>
      </c>
      <c r="E811" s="22">
        <v>1.5</v>
      </c>
      <c r="F811" s="22">
        <f t="shared" si="82"/>
        <v>16.6175</v>
      </c>
      <c r="G811" s="22">
        <f t="shared" si="83"/>
        <v>24.93</v>
      </c>
      <c r="H811" s="337">
        <v>16.6175</v>
      </c>
      <c r="I811" s="23" t="e">
        <f>IF(A811&lt;&gt;0,VLOOKUP(A811,#REF!,2,FALSE),"")</f>
        <v>#REF!</v>
      </c>
      <c r="K811" s="222"/>
    </row>
    <row r="812" spans="1:11" ht="30">
      <c r="A812" s="20">
        <v>88262</v>
      </c>
      <c r="B812" s="70" t="s">
        <v>376</v>
      </c>
      <c r="C812" s="21" t="s">
        <v>12</v>
      </c>
      <c r="D812" s="21" t="s">
        <v>19</v>
      </c>
      <c r="E812" s="22">
        <v>0.75</v>
      </c>
      <c r="F812" s="22">
        <f t="shared" si="82"/>
        <v>14.96</v>
      </c>
      <c r="G812" s="22">
        <f t="shared" si="83"/>
        <v>11.22</v>
      </c>
      <c r="H812" s="337">
        <v>14.96</v>
      </c>
      <c r="I812" s="23" t="e">
        <f>IF(A812&lt;&gt;0,VLOOKUP(A812,#REF!,2,FALSE),"")</f>
        <v>#REF!</v>
      </c>
      <c r="K812" s="222"/>
    </row>
    <row r="813" spans="1:11" ht="45">
      <c r="A813" s="20">
        <v>88248</v>
      </c>
      <c r="B813" s="70" t="s">
        <v>473</v>
      </c>
      <c r="C813" s="21" t="s">
        <v>12</v>
      </c>
      <c r="D813" s="21" t="s">
        <v>19</v>
      </c>
      <c r="E813" s="22">
        <v>0.75</v>
      </c>
      <c r="F813" s="22">
        <f t="shared" si="82"/>
        <v>11.483499999999999</v>
      </c>
      <c r="G813" s="22">
        <f t="shared" si="83"/>
        <v>8.61</v>
      </c>
      <c r="H813" s="337">
        <v>11.483499999999999</v>
      </c>
      <c r="I813" s="23" t="e">
        <f>IF(A813&lt;&gt;0,VLOOKUP(A813,#REF!,2,FALSE),"")</f>
        <v>#REF!</v>
      </c>
      <c r="K813" s="222"/>
    </row>
    <row r="814" spans="1:11" ht="30">
      <c r="A814" s="20">
        <v>88267</v>
      </c>
      <c r="B814" s="70" t="s">
        <v>472</v>
      </c>
      <c r="C814" s="21" t="s">
        <v>12</v>
      </c>
      <c r="D814" s="21" t="s">
        <v>19</v>
      </c>
      <c r="E814" s="22">
        <v>0.12</v>
      </c>
      <c r="F814" s="22">
        <f t="shared" si="82"/>
        <v>14.7135</v>
      </c>
      <c r="G814" s="22">
        <f t="shared" si="83"/>
        <v>1.77</v>
      </c>
      <c r="H814" s="337">
        <v>14.7135</v>
      </c>
      <c r="I814" s="23" t="e">
        <f>IF(A814&lt;&gt;0,VLOOKUP(A814,#REF!,2,FALSE),"")</f>
        <v>#REF!</v>
      </c>
      <c r="K814" s="222"/>
    </row>
    <row r="815" spans="1:11" ht="30">
      <c r="A815" s="20">
        <v>88316</v>
      </c>
      <c r="B815" s="70" t="s">
        <v>377</v>
      </c>
      <c r="C815" s="21" t="s">
        <v>12</v>
      </c>
      <c r="D815" s="21" t="s">
        <v>19</v>
      </c>
      <c r="E815" s="22">
        <v>5.36</v>
      </c>
      <c r="F815" s="22">
        <f t="shared" si="82"/>
        <v>11.798000000000002</v>
      </c>
      <c r="G815" s="22">
        <f t="shared" si="83"/>
        <v>63.24</v>
      </c>
      <c r="H815" s="337">
        <v>11.798000000000002</v>
      </c>
      <c r="I815" s="23" t="e">
        <f>IF(A815&lt;&gt;0,VLOOKUP(A815,#REF!,2,FALSE),"")</f>
        <v>#REF!</v>
      </c>
      <c r="K815" s="222"/>
    </row>
    <row r="816" spans="1:11">
      <c r="A816" s="20">
        <v>94963</v>
      </c>
      <c r="B816" s="70" t="e">
        <f>I816</f>
        <v>#REF!</v>
      </c>
      <c r="C816" s="21" t="s">
        <v>12</v>
      </c>
      <c r="D816" s="21" t="s">
        <v>35</v>
      </c>
      <c r="E816" s="84">
        <v>0.18479999999999999</v>
      </c>
      <c r="F816" s="22">
        <f t="shared" si="82"/>
        <v>294.51650000000001</v>
      </c>
      <c r="G816" s="22">
        <f t="shared" si="83"/>
        <v>54.43</v>
      </c>
      <c r="H816" s="337">
        <v>294.51650000000001</v>
      </c>
      <c r="I816" s="23" t="e">
        <f>IF(A816&lt;&gt;0,VLOOKUP(A816,#REF!,2,FALSE),"")</f>
        <v>#REF!</v>
      </c>
      <c r="K816" s="222"/>
    </row>
    <row r="817" spans="1:11" ht="15" customHeight="1">
      <c r="A817" s="719" t="s">
        <v>1893</v>
      </c>
      <c r="B817" s="719"/>
      <c r="C817" s="719"/>
      <c r="D817" s="719"/>
      <c r="E817" s="719"/>
      <c r="F817" s="719"/>
      <c r="G817" s="71">
        <f>ROUND(SUM(G809:G816),2)</f>
        <v>177.22</v>
      </c>
      <c r="K817" s="222"/>
    </row>
    <row r="818" spans="1:11" ht="35.25" customHeight="1">
      <c r="A818" s="72"/>
      <c r="B818" s="72"/>
      <c r="C818" s="327"/>
      <c r="D818" s="328"/>
      <c r="E818" s="72"/>
      <c r="F818" s="72"/>
      <c r="G818" s="72"/>
      <c r="K818" s="222"/>
    </row>
    <row r="819" spans="1:11" ht="38.25" customHeight="1">
      <c r="A819" s="612" t="s">
        <v>2141</v>
      </c>
      <c r="B819" s="613"/>
      <c r="C819" s="613"/>
      <c r="D819" s="613"/>
      <c r="E819" s="614"/>
      <c r="F819" s="67" t="s">
        <v>70</v>
      </c>
      <c r="G819" s="230"/>
      <c r="K819" s="222"/>
    </row>
    <row r="820" spans="1:11" ht="28.5">
      <c r="A820" s="229" t="s">
        <v>364</v>
      </c>
      <c r="B820" s="230"/>
      <c r="C820" s="69" t="s">
        <v>3</v>
      </c>
      <c r="D820" s="69" t="s">
        <v>4</v>
      </c>
      <c r="E820" s="69" t="s">
        <v>1826</v>
      </c>
      <c r="F820" s="69" t="s">
        <v>367</v>
      </c>
      <c r="G820" s="69" t="s">
        <v>368</v>
      </c>
      <c r="K820" s="222"/>
    </row>
    <row r="821" spans="1:11" s="23" customFormat="1" ht="30">
      <c r="A821" s="20">
        <v>11135</v>
      </c>
      <c r="B821" s="70" t="s">
        <v>533</v>
      </c>
      <c r="C821" s="21" t="s">
        <v>12</v>
      </c>
      <c r="D821" s="21" t="s">
        <v>26</v>
      </c>
      <c r="E821" s="22">
        <v>0.32400000000000001</v>
      </c>
      <c r="F821" s="22">
        <f>H821</f>
        <v>42.950500000000005</v>
      </c>
      <c r="G821" s="22">
        <f>ROUND(F821*E821,2)</f>
        <v>13.92</v>
      </c>
      <c r="H821" s="346">
        <v>42.950500000000005</v>
      </c>
      <c r="I821" s="23" t="e">
        <f>IF(A821&lt;&gt;0,VLOOKUP(A821,#REF!,2,FALSE),"")</f>
        <v>#REF!</v>
      </c>
      <c r="J821" s="346"/>
      <c r="K821" s="222"/>
    </row>
    <row r="822" spans="1:11" ht="45">
      <c r="A822" s="20">
        <v>3992</v>
      </c>
      <c r="B822" s="70" t="s">
        <v>534</v>
      </c>
      <c r="C822" s="21" t="s">
        <v>12</v>
      </c>
      <c r="D822" s="21" t="s">
        <v>52</v>
      </c>
      <c r="E822" s="22">
        <v>9.7000000000000003E-2</v>
      </c>
      <c r="F822" s="22">
        <f t="shared" ref="F822:F835" si="84">H822</f>
        <v>19.72</v>
      </c>
      <c r="G822" s="22">
        <f t="shared" ref="G822:G835" si="85">ROUND(F822*E822,2)</f>
        <v>1.91</v>
      </c>
      <c r="H822" s="337">
        <v>19.72</v>
      </c>
      <c r="I822" s="23" t="e">
        <f>IF(A822&lt;&gt;0,VLOOKUP(A822,#REF!,2,FALSE),"")</f>
        <v>#REF!</v>
      </c>
      <c r="K822" s="222"/>
    </row>
    <row r="823" spans="1:11">
      <c r="A823" s="20">
        <v>1379</v>
      </c>
      <c r="B823" s="70" t="s">
        <v>397</v>
      </c>
      <c r="C823" s="21" t="s">
        <v>12</v>
      </c>
      <c r="D823" s="21" t="s">
        <v>45</v>
      </c>
      <c r="E823" s="22">
        <v>87.186000000000007</v>
      </c>
      <c r="F823" s="22">
        <f t="shared" si="84"/>
        <v>0.60349999999999993</v>
      </c>
      <c r="G823" s="22">
        <f t="shared" si="85"/>
        <v>52.62</v>
      </c>
      <c r="H823" s="337">
        <v>0.60349999999999993</v>
      </c>
      <c r="I823" s="23" t="e">
        <f>IF(A823&lt;&gt;0,VLOOKUP(A823,#REF!,2,FALSE),"")</f>
        <v>#REF!</v>
      </c>
      <c r="K823" s="222"/>
    </row>
    <row r="824" spans="1:11" ht="30">
      <c r="A824" s="20">
        <v>370</v>
      </c>
      <c r="B824" s="70" t="s">
        <v>396</v>
      </c>
      <c r="C824" s="21" t="s">
        <v>12</v>
      </c>
      <c r="D824" s="21" t="s">
        <v>35</v>
      </c>
      <c r="E824" s="22">
        <v>0.36899999999999999</v>
      </c>
      <c r="F824" s="22">
        <f t="shared" si="84"/>
        <v>42.5</v>
      </c>
      <c r="G824" s="22">
        <f t="shared" si="85"/>
        <v>15.68</v>
      </c>
      <c r="H824" s="337">
        <v>42.5</v>
      </c>
      <c r="I824" s="23" t="e">
        <f>IF(A824&lt;&gt;0,VLOOKUP(A824,#REF!,2,FALSE),"")</f>
        <v>#REF!</v>
      </c>
      <c r="K824" s="222"/>
    </row>
    <row r="825" spans="1:11" ht="30">
      <c r="A825" s="20">
        <v>43132</v>
      </c>
      <c r="B825" s="70" t="s">
        <v>385</v>
      </c>
      <c r="C825" s="21" t="s">
        <v>12</v>
      </c>
      <c r="D825" s="21" t="s">
        <v>45</v>
      </c>
      <c r="E825" s="22">
        <v>7.1999999999999995E-2</v>
      </c>
      <c r="F825" s="22">
        <f t="shared" si="84"/>
        <v>17.8415</v>
      </c>
      <c r="G825" s="22">
        <f t="shared" si="85"/>
        <v>1.28</v>
      </c>
      <c r="H825" s="337">
        <v>17.8415</v>
      </c>
      <c r="I825" s="23" t="e">
        <f>IF(A825&lt;&gt;0,VLOOKUP(A825,#REF!,2,FALSE),"")</f>
        <v>#REF!</v>
      </c>
      <c r="K825" s="222"/>
    </row>
    <row r="826" spans="1:11">
      <c r="A826" s="20">
        <v>1106</v>
      </c>
      <c r="B826" s="70" t="s">
        <v>535</v>
      </c>
      <c r="C826" s="21" t="s">
        <v>12</v>
      </c>
      <c r="D826" s="21" t="s">
        <v>45</v>
      </c>
      <c r="E826" s="22">
        <v>24.888000000000002</v>
      </c>
      <c r="F826" s="22">
        <f t="shared" si="84"/>
        <v>0.76500000000000001</v>
      </c>
      <c r="G826" s="22">
        <f t="shared" si="85"/>
        <v>19.04</v>
      </c>
      <c r="H826" s="337">
        <v>0.76500000000000001</v>
      </c>
      <c r="I826" s="23" t="e">
        <f>IF(A826&lt;&gt;0,VLOOKUP(A826,#REF!,2,FALSE),"")</f>
        <v>#REF!</v>
      </c>
      <c r="K826" s="222"/>
    </row>
    <row r="827" spans="1:11" ht="30">
      <c r="A827" s="20">
        <v>4718</v>
      </c>
      <c r="B827" s="70" t="s">
        <v>536</v>
      </c>
      <c r="C827" s="21" t="s">
        <v>12</v>
      </c>
      <c r="D827" s="21" t="s">
        <v>35</v>
      </c>
      <c r="E827" s="22">
        <v>0.32400000000000001</v>
      </c>
      <c r="F827" s="22">
        <f t="shared" si="84"/>
        <v>78.625</v>
      </c>
      <c r="G827" s="22">
        <f t="shared" si="85"/>
        <v>25.47</v>
      </c>
      <c r="H827" s="337">
        <v>78.625</v>
      </c>
      <c r="I827" s="23" t="e">
        <f>IF(A827&lt;&gt;0,VLOOKUP(A827,#REF!,2,FALSE),"")</f>
        <v>#REF!</v>
      </c>
      <c r="K827" s="222"/>
    </row>
    <row r="828" spans="1:11">
      <c r="A828" s="20">
        <v>43059</v>
      </c>
      <c r="B828" s="70" t="s">
        <v>537</v>
      </c>
      <c r="C828" s="21" t="s">
        <v>12</v>
      </c>
      <c r="D828" s="21" t="s">
        <v>45</v>
      </c>
      <c r="E828" s="22">
        <v>4.2679999999999998</v>
      </c>
      <c r="F828" s="22">
        <f t="shared" si="84"/>
        <v>8.9589999999999996</v>
      </c>
      <c r="G828" s="22">
        <f t="shared" si="85"/>
        <v>38.24</v>
      </c>
      <c r="H828" s="337">
        <v>8.9589999999999996</v>
      </c>
      <c r="I828" s="23" t="e">
        <f>IF(A828&lt;&gt;0,VLOOKUP(A828,#REF!,2,FALSE),"")</f>
        <v>#REF!</v>
      </c>
      <c r="K828" s="222"/>
    </row>
    <row r="829" spans="1:11" ht="30">
      <c r="A829" s="20">
        <v>7267</v>
      </c>
      <c r="B829" s="70" t="s">
        <v>402</v>
      </c>
      <c r="C829" s="21" t="s">
        <v>12</v>
      </c>
      <c r="D829" s="21" t="s">
        <v>17</v>
      </c>
      <c r="E829" s="22">
        <v>51.85</v>
      </c>
      <c r="F829" s="22">
        <f t="shared" si="84"/>
        <v>0.62049999999999994</v>
      </c>
      <c r="G829" s="22">
        <f t="shared" si="85"/>
        <v>32.17</v>
      </c>
      <c r="H829" s="337">
        <v>0.62049999999999994</v>
      </c>
      <c r="I829" s="23" t="e">
        <f>IF(A829&lt;&gt;0,VLOOKUP(A829,#REF!,2,FALSE),"")</f>
        <v>#REF!</v>
      </c>
      <c r="K829" s="222"/>
    </row>
    <row r="830" spans="1:11" ht="30">
      <c r="A830" s="20">
        <v>88309</v>
      </c>
      <c r="B830" s="70" t="s">
        <v>390</v>
      </c>
      <c r="C830" s="21" t="s">
        <v>12</v>
      </c>
      <c r="D830" s="21" t="s">
        <v>19</v>
      </c>
      <c r="E830" s="22">
        <v>8.2110000000000003</v>
      </c>
      <c r="F830" s="22">
        <f t="shared" si="84"/>
        <v>15.121499999999999</v>
      </c>
      <c r="G830" s="22">
        <f t="shared" si="85"/>
        <v>124.16</v>
      </c>
      <c r="H830" s="337">
        <v>15.121499999999999</v>
      </c>
      <c r="I830" s="23" t="e">
        <f>IF(A830&lt;&gt;0,VLOOKUP(A830,#REF!,2,FALSE),"")</f>
        <v>#REF!</v>
      </c>
      <c r="K830" s="222"/>
    </row>
    <row r="831" spans="1:11" ht="30">
      <c r="A831" s="20">
        <v>88316</v>
      </c>
      <c r="B831" s="70" t="s">
        <v>377</v>
      </c>
      <c r="C831" s="21" t="s">
        <v>12</v>
      </c>
      <c r="D831" s="21" t="s">
        <v>19</v>
      </c>
      <c r="E831" s="22">
        <v>15.840999999999999</v>
      </c>
      <c r="F831" s="22">
        <f t="shared" si="84"/>
        <v>11.798000000000002</v>
      </c>
      <c r="G831" s="22">
        <f t="shared" si="85"/>
        <v>186.89</v>
      </c>
      <c r="H831" s="337">
        <v>11.798000000000002</v>
      </c>
      <c r="I831" s="23" t="e">
        <f>IF(A831&lt;&gt;0,VLOOKUP(A831,#REF!,2,FALSE),"")</f>
        <v>#REF!</v>
      </c>
      <c r="K831" s="222"/>
    </row>
    <row r="832" spans="1:11" ht="30">
      <c r="A832" s="20">
        <v>88261</v>
      </c>
      <c r="B832" s="70" t="s">
        <v>435</v>
      </c>
      <c r="C832" s="21" t="s">
        <v>12</v>
      </c>
      <c r="D832" s="21" t="s">
        <v>19</v>
      </c>
      <c r="E832" s="22">
        <v>1.96</v>
      </c>
      <c r="F832" s="22">
        <f t="shared" si="84"/>
        <v>14.314</v>
      </c>
      <c r="G832" s="22">
        <f t="shared" si="85"/>
        <v>28.06</v>
      </c>
      <c r="H832" s="337">
        <v>14.314</v>
      </c>
      <c r="I832" s="23" t="e">
        <f>IF(A832&lt;&gt;0,VLOOKUP(A832,#REF!,2,FALSE),"")</f>
        <v>#REF!</v>
      </c>
      <c r="K832" s="222"/>
    </row>
    <row r="833" spans="1:11" ht="30">
      <c r="A833" s="20">
        <v>88245</v>
      </c>
      <c r="B833" s="70" t="s">
        <v>395</v>
      </c>
      <c r="C833" s="21" t="s">
        <v>12</v>
      </c>
      <c r="D833" s="21" t="s">
        <v>19</v>
      </c>
      <c r="E833" s="22">
        <v>0.41299999999999998</v>
      </c>
      <c r="F833" s="22">
        <f t="shared" si="84"/>
        <v>15.045</v>
      </c>
      <c r="G833" s="22">
        <f t="shared" si="85"/>
        <v>6.21</v>
      </c>
      <c r="H833" s="337">
        <v>15.045</v>
      </c>
      <c r="I833" s="23" t="e">
        <f>IF(A833&lt;&gt;0,VLOOKUP(A833,#REF!,2,FALSE),"")</f>
        <v>#REF!</v>
      </c>
      <c r="K833" s="222"/>
    </row>
    <row r="834" spans="1:11" ht="30">
      <c r="A834" s="20">
        <v>88239</v>
      </c>
      <c r="B834" s="70" t="s">
        <v>393</v>
      </c>
      <c r="C834" s="21" t="s">
        <v>12</v>
      </c>
      <c r="D834" s="21" t="s">
        <v>19</v>
      </c>
      <c r="E834" s="22">
        <v>1.96</v>
      </c>
      <c r="F834" s="22">
        <f t="shared" si="84"/>
        <v>12.622499999999999</v>
      </c>
      <c r="G834" s="22">
        <f t="shared" si="85"/>
        <v>24.74</v>
      </c>
      <c r="H834" s="337">
        <v>12.622499999999999</v>
      </c>
      <c r="I834" s="23" t="e">
        <f>IF(A834&lt;&gt;0,VLOOKUP(A834,#REF!,2,FALSE),"")</f>
        <v>#REF!</v>
      </c>
      <c r="K834" s="222"/>
    </row>
    <row r="835" spans="1:11" ht="30">
      <c r="A835" s="20">
        <v>88238</v>
      </c>
      <c r="B835" s="70" t="s">
        <v>394</v>
      </c>
      <c r="C835" s="21" t="s">
        <v>12</v>
      </c>
      <c r="D835" s="21" t="s">
        <v>19</v>
      </c>
      <c r="E835" s="22">
        <v>0.41299999999999998</v>
      </c>
      <c r="F835" s="22">
        <f t="shared" si="84"/>
        <v>11.704499999999999</v>
      </c>
      <c r="G835" s="22">
        <f t="shared" si="85"/>
        <v>4.83</v>
      </c>
      <c r="H835" s="337">
        <v>11.704499999999999</v>
      </c>
      <c r="I835" s="23" t="e">
        <f>IF(A835&lt;&gt;0,VLOOKUP(A835,#REF!,2,FALSE),"")</f>
        <v>#REF!</v>
      </c>
      <c r="K835" s="222"/>
    </row>
    <row r="836" spans="1:11" ht="15" customHeight="1">
      <c r="A836" s="719" t="s">
        <v>1893</v>
      </c>
      <c r="B836" s="719"/>
      <c r="C836" s="719"/>
      <c r="D836" s="719"/>
      <c r="E836" s="719"/>
      <c r="F836" s="719"/>
      <c r="G836" s="71">
        <f>ROUND(SUM(G821:G835),2)</f>
        <v>575.22</v>
      </c>
      <c r="K836" s="222"/>
    </row>
    <row r="837" spans="1:11" ht="22.5" customHeight="1">
      <c r="A837" s="72"/>
      <c r="B837" s="72"/>
      <c r="C837" s="327"/>
      <c r="D837" s="328"/>
      <c r="E837" s="72"/>
      <c r="F837" s="72"/>
      <c r="G837" s="72"/>
      <c r="K837" s="222"/>
    </row>
    <row r="838" spans="1:11" ht="36.75" customHeight="1">
      <c r="A838" s="612" t="s">
        <v>2144</v>
      </c>
      <c r="B838" s="613"/>
      <c r="C838" s="613"/>
      <c r="D838" s="613"/>
      <c r="E838" s="718"/>
      <c r="F838" s="67" t="s">
        <v>1914</v>
      </c>
      <c r="G838" s="230"/>
      <c r="K838" s="222"/>
    </row>
    <row r="839" spans="1:11" ht="28.5">
      <c r="A839" s="229" t="s">
        <v>364</v>
      </c>
      <c r="B839" s="230"/>
      <c r="C839" s="69" t="s">
        <v>3</v>
      </c>
      <c r="D839" s="69" t="s">
        <v>4</v>
      </c>
      <c r="E839" s="69" t="s">
        <v>1826</v>
      </c>
      <c r="F839" s="69" t="s">
        <v>367</v>
      </c>
      <c r="G839" s="69" t="s">
        <v>368</v>
      </c>
      <c r="K839" s="222"/>
    </row>
    <row r="840" spans="1:11" ht="60">
      <c r="A840" s="20">
        <v>35277</v>
      </c>
      <c r="B840" s="70" t="s">
        <v>530</v>
      </c>
      <c r="C840" s="21" t="s">
        <v>12</v>
      </c>
      <c r="D840" s="21" t="s">
        <v>17</v>
      </c>
      <c r="E840" s="22">
        <v>1</v>
      </c>
      <c r="F840" s="22">
        <f>H840</f>
        <v>283.798</v>
      </c>
      <c r="G840" s="22">
        <f>ROUND(F840*E840,2)</f>
        <v>283.8</v>
      </c>
      <c r="H840" s="337">
        <v>283.798</v>
      </c>
      <c r="I840" s="23" t="e">
        <f>IF(A840&lt;&gt;0,VLOOKUP(A840,#REF!,2,FALSE),"")</f>
        <v>#REF!</v>
      </c>
      <c r="K840" s="222"/>
    </row>
    <row r="841" spans="1:11" ht="30">
      <c r="A841" s="20">
        <v>3146</v>
      </c>
      <c r="B841" s="70" t="s">
        <v>471</v>
      </c>
      <c r="C841" s="21" t="s">
        <v>12</v>
      </c>
      <c r="D841" s="21" t="s">
        <v>17</v>
      </c>
      <c r="E841" s="22">
        <v>7.0000000000000001E-3</v>
      </c>
      <c r="F841" s="22">
        <f>H841</f>
        <v>3.06</v>
      </c>
      <c r="G841" s="22">
        <f>ROUND(F841*E841,2)</f>
        <v>0.02</v>
      </c>
      <c r="H841" s="337">
        <v>3.06</v>
      </c>
      <c r="I841" s="23" t="e">
        <f>IF(A841&lt;&gt;0,VLOOKUP(A841,#REF!,2,FALSE),"")</f>
        <v>#REF!</v>
      </c>
      <c r="K841" s="222"/>
    </row>
    <row r="842" spans="1:11" ht="30">
      <c r="A842" s="20">
        <v>20080</v>
      </c>
      <c r="B842" s="70" t="s">
        <v>475</v>
      </c>
      <c r="C842" s="21" t="s">
        <v>12</v>
      </c>
      <c r="D842" s="21" t="s">
        <v>17</v>
      </c>
      <c r="E842" s="22">
        <v>0.03</v>
      </c>
      <c r="F842" s="22">
        <f>H842</f>
        <v>17.646000000000001</v>
      </c>
      <c r="G842" s="22">
        <f>ROUND(F842*E842,2)</f>
        <v>0.53</v>
      </c>
      <c r="H842" s="337">
        <v>17.646000000000001</v>
      </c>
      <c r="I842" s="23" t="e">
        <f>IF(A842&lt;&gt;0,VLOOKUP(A842,#REF!,2,FALSE),"")</f>
        <v>#REF!</v>
      </c>
      <c r="K842" s="222"/>
    </row>
    <row r="843" spans="1:11" ht="30">
      <c r="A843" s="20">
        <v>88267</v>
      </c>
      <c r="B843" s="70" t="s">
        <v>472</v>
      </c>
      <c r="C843" s="21" t="s">
        <v>12</v>
      </c>
      <c r="D843" s="21" t="s">
        <v>19</v>
      </c>
      <c r="E843" s="22">
        <v>2.5299999999999998</v>
      </c>
      <c r="F843" s="22">
        <f>H843</f>
        <v>14.7135</v>
      </c>
      <c r="G843" s="22">
        <f>ROUND(F843*E843,2)</f>
        <v>37.229999999999997</v>
      </c>
      <c r="H843" s="337">
        <v>14.7135</v>
      </c>
      <c r="I843" s="23" t="e">
        <f>IF(A843&lt;&gt;0,VLOOKUP(A843,#REF!,2,FALSE),"")</f>
        <v>#REF!</v>
      </c>
      <c r="K843" s="222"/>
    </row>
    <row r="844" spans="1:11" ht="45">
      <c r="A844" s="20">
        <v>88248</v>
      </c>
      <c r="B844" s="70" t="s">
        <v>473</v>
      </c>
      <c r="C844" s="21" t="s">
        <v>12</v>
      </c>
      <c r="D844" s="21" t="s">
        <v>19</v>
      </c>
      <c r="E844" s="22">
        <v>2.5299999999999998</v>
      </c>
      <c r="F844" s="22">
        <f>H844</f>
        <v>11.483499999999999</v>
      </c>
      <c r="G844" s="22">
        <f>ROUND(F844*E844,2)</f>
        <v>29.05</v>
      </c>
      <c r="H844" s="337">
        <v>11.483499999999999</v>
      </c>
      <c r="I844" s="23" t="e">
        <f>IF(A844&lt;&gt;0,VLOOKUP(A844,#REF!,2,FALSE),"")</f>
        <v>#REF!</v>
      </c>
      <c r="K844" s="222"/>
    </row>
    <row r="845" spans="1:11" ht="15" customHeight="1">
      <c r="A845" s="719" t="s">
        <v>1893</v>
      </c>
      <c r="B845" s="719"/>
      <c r="C845" s="719"/>
      <c r="D845" s="719"/>
      <c r="E845" s="719"/>
      <c r="F845" s="719"/>
      <c r="G845" s="71">
        <f>ROUND(SUM(G840:G844),2)</f>
        <v>350.63</v>
      </c>
      <c r="I845" s="23"/>
      <c r="K845" s="222"/>
    </row>
    <row r="846" spans="1:11" ht="20.25" customHeight="1">
      <c r="A846" s="72"/>
      <c r="B846" s="72"/>
      <c r="C846" s="327"/>
      <c r="D846" s="328"/>
      <c r="E846" s="72"/>
      <c r="F846" s="72"/>
      <c r="G846" s="72"/>
      <c r="K846" s="222"/>
    </row>
    <row r="847" spans="1:11" ht="45" customHeight="1">
      <c r="A847" s="612" t="s">
        <v>2583</v>
      </c>
      <c r="B847" s="613"/>
      <c r="C847" s="613"/>
      <c r="D847" s="613"/>
      <c r="E847" s="718"/>
      <c r="F847" s="67" t="s">
        <v>1914</v>
      </c>
      <c r="G847" s="230"/>
      <c r="K847" s="222"/>
    </row>
    <row r="848" spans="1:11" ht="28.5">
      <c r="A848" s="229" t="s">
        <v>364</v>
      </c>
      <c r="B848" s="230"/>
      <c r="C848" s="69" t="s">
        <v>3</v>
      </c>
      <c r="D848" s="69" t="s">
        <v>4</v>
      </c>
      <c r="E848" s="69" t="s">
        <v>1826</v>
      </c>
      <c r="F848" s="69" t="s">
        <v>367</v>
      </c>
      <c r="G848" s="69" t="s">
        <v>368</v>
      </c>
      <c r="K848" s="222"/>
    </row>
    <row r="849" spans="1:11" ht="30">
      <c r="A849" s="20">
        <v>12532</v>
      </c>
      <c r="B849" s="70" t="s">
        <v>538</v>
      </c>
      <c r="C849" s="21" t="s">
        <v>12</v>
      </c>
      <c r="D849" s="21" t="s">
        <v>17</v>
      </c>
      <c r="E849" s="22">
        <v>2</v>
      </c>
      <c r="F849" s="22">
        <f t="shared" ref="F849:F854" si="86">H849</f>
        <v>75.412000000000006</v>
      </c>
      <c r="G849" s="22">
        <f t="shared" ref="G849:G854" si="87">ROUND(F849*E849,2)</f>
        <v>150.82</v>
      </c>
      <c r="H849" s="337">
        <v>75.412000000000006</v>
      </c>
      <c r="I849" s="23" t="e">
        <f>IF(A849&lt;&gt;0,VLOOKUP(A849,#REF!,2,FALSE),"")</f>
        <v>#REF!</v>
      </c>
      <c r="K849" s="222"/>
    </row>
    <row r="850" spans="1:11" ht="30">
      <c r="A850" s="20">
        <v>43423</v>
      </c>
      <c r="B850" s="70" t="s">
        <v>539</v>
      </c>
      <c r="C850" s="21" t="s">
        <v>12</v>
      </c>
      <c r="D850" s="21" t="s">
        <v>17</v>
      </c>
      <c r="E850" s="22">
        <v>2</v>
      </c>
      <c r="F850" s="22">
        <f t="shared" si="86"/>
        <v>48.892000000000003</v>
      </c>
      <c r="G850" s="22">
        <f t="shared" si="87"/>
        <v>97.78</v>
      </c>
      <c r="H850" s="337">
        <v>48.892000000000003</v>
      </c>
      <c r="I850" s="23" t="e">
        <f>IF(A850&lt;&gt;0,VLOOKUP(A850,#REF!,2,FALSE),"")</f>
        <v>#REF!</v>
      </c>
      <c r="K850" s="222"/>
    </row>
    <row r="851" spans="1:11" ht="30">
      <c r="A851" s="20">
        <v>43423</v>
      </c>
      <c r="B851" s="70" t="s">
        <v>540</v>
      </c>
      <c r="C851" s="21" t="s">
        <v>12</v>
      </c>
      <c r="D851" s="21" t="s">
        <v>17</v>
      </c>
      <c r="E851" s="22">
        <v>1</v>
      </c>
      <c r="F851" s="22">
        <f t="shared" si="86"/>
        <v>48.892000000000003</v>
      </c>
      <c r="G851" s="22">
        <f t="shared" si="87"/>
        <v>48.89</v>
      </c>
      <c r="H851" s="337">
        <v>48.892000000000003</v>
      </c>
      <c r="I851" s="23" t="e">
        <f>IF(A851&lt;&gt;0,VLOOKUP(A851,#REF!,2,FALSE),"")</f>
        <v>#REF!</v>
      </c>
      <c r="K851" s="222"/>
    </row>
    <row r="852" spans="1:11" ht="60">
      <c r="A852" s="20">
        <v>87369</v>
      </c>
      <c r="B852" s="70" t="s">
        <v>1784</v>
      </c>
      <c r="C852" s="21" t="s">
        <v>12</v>
      </c>
      <c r="D852" s="21" t="s">
        <v>35</v>
      </c>
      <c r="E852" s="22">
        <v>0.01</v>
      </c>
      <c r="F852" s="22">
        <f t="shared" si="86"/>
        <v>426.48750000000001</v>
      </c>
      <c r="G852" s="22">
        <f t="shared" si="87"/>
        <v>4.26</v>
      </c>
      <c r="H852" s="337">
        <v>426.48750000000001</v>
      </c>
      <c r="I852" s="23" t="e">
        <f>IF(A852&lt;&gt;0,VLOOKUP(A852,#REF!,2,FALSE),"")</f>
        <v>#REF!</v>
      </c>
      <c r="K852" s="222"/>
    </row>
    <row r="853" spans="1:11" ht="30">
      <c r="A853" s="20">
        <v>88309</v>
      </c>
      <c r="B853" s="70" t="s">
        <v>390</v>
      </c>
      <c r="C853" s="21" t="s">
        <v>12</v>
      </c>
      <c r="D853" s="21" t="s">
        <v>19</v>
      </c>
      <c r="E853" s="22">
        <v>2</v>
      </c>
      <c r="F853" s="22">
        <f t="shared" si="86"/>
        <v>15.121499999999999</v>
      </c>
      <c r="G853" s="22">
        <f t="shared" si="87"/>
        <v>30.24</v>
      </c>
      <c r="H853" s="337">
        <v>15.121499999999999</v>
      </c>
      <c r="I853" s="23" t="e">
        <f>IF(A853&lt;&gt;0,VLOOKUP(A853,#REF!,2,FALSE),"")</f>
        <v>#REF!</v>
      </c>
      <c r="K853" s="222"/>
    </row>
    <row r="854" spans="1:11" ht="30">
      <c r="A854" s="20">
        <v>88316</v>
      </c>
      <c r="B854" s="70" t="s">
        <v>377</v>
      </c>
      <c r="C854" s="21" t="s">
        <v>12</v>
      </c>
      <c r="D854" s="21" t="s">
        <v>19</v>
      </c>
      <c r="E854" s="22">
        <v>1</v>
      </c>
      <c r="F854" s="22">
        <f t="shared" si="86"/>
        <v>11.798000000000002</v>
      </c>
      <c r="G854" s="22">
        <f t="shared" si="87"/>
        <v>11.8</v>
      </c>
      <c r="H854" s="337">
        <v>11.798000000000002</v>
      </c>
      <c r="I854" s="23" t="e">
        <f>IF(A854&lt;&gt;0,VLOOKUP(A854,#REF!,2,FALSE),"")</f>
        <v>#REF!</v>
      </c>
      <c r="K854" s="222"/>
    </row>
    <row r="855" spans="1:11" ht="15" customHeight="1">
      <c r="A855" s="719" t="s">
        <v>1893</v>
      </c>
      <c r="B855" s="719"/>
      <c r="C855" s="719"/>
      <c r="D855" s="719"/>
      <c r="E855" s="719"/>
      <c r="F855" s="719"/>
      <c r="G855" s="71">
        <f>ROUND(SUM(G849:G854),2)</f>
        <v>343.79</v>
      </c>
      <c r="K855" s="222"/>
    </row>
    <row r="856" spans="1:11" ht="26.25" customHeight="1">
      <c r="A856" s="72"/>
      <c r="B856" s="72"/>
      <c r="C856" s="327"/>
      <c r="D856" s="328"/>
      <c r="E856" s="72"/>
      <c r="F856" s="72"/>
      <c r="G856" s="72"/>
      <c r="K856" s="222"/>
    </row>
    <row r="857" spans="1:11" ht="33.75" customHeight="1">
      <c r="A857" s="612" t="s">
        <v>2582</v>
      </c>
      <c r="B857" s="613"/>
      <c r="C857" s="613"/>
      <c r="D857" s="613"/>
      <c r="E857" s="718"/>
      <c r="F857" s="67" t="s">
        <v>1914</v>
      </c>
      <c r="G857" s="230"/>
      <c r="K857" s="222"/>
    </row>
    <row r="858" spans="1:11" ht="28.5">
      <c r="A858" s="229" t="s">
        <v>364</v>
      </c>
      <c r="B858" s="230"/>
      <c r="C858" s="69" t="s">
        <v>3</v>
      </c>
      <c r="D858" s="69" t="s">
        <v>4</v>
      </c>
      <c r="E858" s="69" t="s">
        <v>1826</v>
      </c>
      <c r="F858" s="69" t="s">
        <v>367</v>
      </c>
      <c r="G858" s="69" t="s">
        <v>368</v>
      </c>
      <c r="K858" s="222"/>
    </row>
    <row r="859" spans="1:11" ht="60">
      <c r="A859" s="20">
        <v>11649</v>
      </c>
      <c r="B859" s="70" t="s">
        <v>541</v>
      </c>
      <c r="C859" s="21" t="s">
        <v>12</v>
      </c>
      <c r="D859" s="21" t="s">
        <v>17</v>
      </c>
      <c r="E859" s="22">
        <v>1</v>
      </c>
      <c r="F859" s="22">
        <f>H859</f>
        <v>496.69749999999999</v>
      </c>
      <c r="G859" s="22">
        <f>ROUND(F859*E859,2)</f>
        <v>496.7</v>
      </c>
      <c r="H859" s="337">
        <v>496.69749999999999</v>
      </c>
      <c r="I859" s="23" t="e">
        <f>IF(A859&lt;&gt;0,VLOOKUP(A859,#REF!,2,FALSE),"")</f>
        <v>#REF!</v>
      </c>
      <c r="K859" s="222"/>
    </row>
    <row r="860" spans="1:11" ht="30">
      <c r="A860" s="20">
        <v>41637</v>
      </c>
      <c r="B860" s="70" t="s">
        <v>542</v>
      </c>
      <c r="C860" s="21" t="s">
        <v>12</v>
      </c>
      <c r="D860" s="21" t="s">
        <v>17</v>
      </c>
      <c r="E860" s="22">
        <v>5</v>
      </c>
      <c r="F860" s="22">
        <f t="shared" ref="F860:F865" si="88">H860</f>
        <v>88.484999999999999</v>
      </c>
      <c r="G860" s="22">
        <f t="shared" ref="G860:G865" si="89">ROUND(F860*E860,2)</f>
        <v>442.43</v>
      </c>
      <c r="H860" s="337">
        <v>88.484999999999999</v>
      </c>
      <c r="I860" s="23" t="e">
        <f>IF(A860&lt;&gt;0,VLOOKUP(A860,#REF!,2,FALSE),"")</f>
        <v>#REF!</v>
      </c>
      <c r="K860" s="222"/>
    </row>
    <row r="861" spans="1:11" ht="45">
      <c r="A861" s="20">
        <v>102498</v>
      </c>
      <c r="B861" s="70" t="s">
        <v>543</v>
      </c>
      <c r="C861" s="21" t="s">
        <v>12</v>
      </c>
      <c r="D861" s="21" t="s">
        <v>26</v>
      </c>
      <c r="E861" s="22">
        <f>2*5.77</f>
        <v>11.54</v>
      </c>
      <c r="F861" s="22">
        <f t="shared" si="88"/>
        <v>0.90100000000000002</v>
      </c>
      <c r="G861" s="22">
        <f t="shared" si="89"/>
        <v>10.4</v>
      </c>
      <c r="H861" s="337">
        <v>0.90100000000000002</v>
      </c>
      <c r="I861" s="23" t="e">
        <f>IF(A861&lt;&gt;0,VLOOKUP(A861,#REF!,2,FALSE),"")</f>
        <v>#REF!</v>
      </c>
      <c r="K861" s="222"/>
    </row>
    <row r="862" spans="1:11" ht="45">
      <c r="A862" s="20">
        <v>87316</v>
      </c>
      <c r="B862" s="70" t="s">
        <v>1809</v>
      </c>
      <c r="C862" s="21" t="s">
        <v>12</v>
      </c>
      <c r="D862" s="21" t="s">
        <v>35</v>
      </c>
      <c r="E862" s="22">
        <v>4.2999999999999997E-2</v>
      </c>
      <c r="F862" s="22">
        <f t="shared" si="88"/>
        <v>322.6345</v>
      </c>
      <c r="G862" s="22">
        <f t="shared" si="89"/>
        <v>13.87</v>
      </c>
      <c r="H862" s="337">
        <v>322.6345</v>
      </c>
      <c r="I862" s="23" t="e">
        <f>IF(A862&lt;&gt;0,VLOOKUP(A862,#REF!,2,FALSE),"")</f>
        <v>#REF!</v>
      </c>
      <c r="K862" s="222"/>
    </row>
    <row r="863" spans="1:11" ht="30">
      <c r="A863" s="20">
        <v>88309</v>
      </c>
      <c r="B863" s="70" t="s">
        <v>390</v>
      </c>
      <c r="C863" s="21" t="s">
        <v>12</v>
      </c>
      <c r="D863" s="21" t="s">
        <v>19</v>
      </c>
      <c r="E863" s="22">
        <v>10.5</v>
      </c>
      <c r="F863" s="22">
        <f t="shared" si="88"/>
        <v>15.121499999999999</v>
      </c>
      <c r="G863" s="22">
        <f t="shared" si="89"/>
        <v>158.78</v>
      </c>
      <c r="H863" s="337">
        <v>15.121499999999999</v>
      </c>
      <c r="I863" s="23" t="e">
        <f>IF(A863&lt;&gt;0,VLOOKUP(A863,#REF!,2,FALSE),"")</f>
        <v>#REF!</v>
      </c>
      <c r="K863" s="222"/>
    </row>
    <row r="864" spans="1:11" ht="30">
      <c r="A864" s="20">
        <v>88316</v>
      </c>
      <c r="B864" s="70" t="s">
        <v>377</v>
      </c>
      <c r="C864" s="21" t="s">
        <v>12</v>
      </c>
      <c r="D864" s="21" t="s">
        <v>19</v>
      </c>
      <c r="E864" s="22">
        <v>9</v>
      </c>
      <c r="F864" s="22">
        <f t="shared" si="88"/>
        <v>11.798000000000002</v>
      </c>
      <c r="G864" s="22">
        <f t="shared" si="89"/>
        <v>106.18</v>
      </c>
      <c r="H864" s="337">
        <v>11.798000000000002</v>
      </c>
      <c r="I864" s="23" t="e">
        <f>IF(A864&lt;&gt;0,VLOOKUP(A864,#REF!,2,FALSE),"")</f>
        <v>#REF!</v>
      </c>
      <c r="K864" s="222"/>
    </row>
    <row r="865" spans="1:11" ht="45">
      <c r="A865" s="20">
        <v>94962</v>
      </c>
      <c r="B865" s="70" t="s">
        <v>1773</v>
      </c>
      <c r="C865" s="21" t="s">
        <v>12</v>
      </c>
      <c r="D865" s="21" t="s">
        <v>35</v>
      </c>
      <c r="E865" s="22">
        <v>0.76</v>
      </c>
      <c r="F865" s="22">
        <f t="shared" si="88"/>
        <v>258.9015</v>
      </c>
      <c r="G865" s="22">
        <f t="shared" si="89"/>
        <v>196.77</v>
      </c>
      <c r="H865" s="337">
        <v>258.9015</v>
      </c>
      <c r="I865" s="23" t="e">
        <f>IF(A865&lt;&gt;0,VLOOKUP(A865,#REF!,2,FALSE),"")</f>
        <v>#REF!</v>
      </c>
      <c r="K865" s="222"/>
    </row>
    <row r="866" spans="1:11" ht="15" customHeight="1">
      <c r="A866" s="719" t="s">
        <v>1893</v>
      </c>
      <c r="B866" s="719"/>
      <c r="C866" s="719"/>
      <c r="D866" s="719"/>
      <c r="E866" s="719"/>
      <c r="F866" s="719"/>
      <c r="G866" s="71">
        <f>ROUND(SUM(G859:G865),2)</f>
        <v>1425.13</v>
      </c>
      <c r="K866" s="222"/>
    </row>
    <row r="867" spans="1:11" ht="30.75" customHeight="1">
      <c r="A867" s="72"/>
      <c r="B867" s="72"/>
      <c r="C867" s="327"/>
      <c r="D867" s="328"/>
      <c r="E867" s="72"/>
      <c r="F867" s="72"/>
      <c r="G867" s="72"/>
      <c r="K867" s="222"/>
    </row>
    <row r="868" spans="1:11" ht="21.75" customHeight="1">
      <c r="A868" s="612" t="s">
        <v>2145</v>
      </c>
      <c r="B868" s="613"/>
      <c r="C868" s="613"/>
      <c r="D868" s="613"/>
      <c r="E868" s="614"/>
      <c r="F868" s="67" t="s">
        <v>70</v>
      </c>
      <c r="G868" s="230"/>
      <c r="K868" s="222"/>
    </row>
    <row r="869" spans="1:11" ht="28.5">
      <c r="A869" s="229" t="s">
        <v>364</v>
      </c>
      <c r="B869" s="230"/>
      <c r="C869" s="69" t="s">
        <v>3</v>
      </c>
      <c r="D869" s="69" t="s">
        <v>4</v>
      </c>
      <c r="E869" s="69" t="s">
        <v>1826</v>
      </c>
      <c r="F869" s="69" t="s">
        <v>367</v>
      </c>
      <c r="G869" s="69" t="s">
        <v>368</v>
      </c>
      <c r="K869" s="222"/>
    </row>
    <row r="870" spans="1:11" ht="30">
      <c r="A870" s="21">
        <v>11135</v>
      </c>
      <c r="B870" s="70" t="s">
        <v>533</v>
      </c>
      <c r="C870" s="21" t="s">
        <v>12</v>
      </c>
      <c r="D870" s="21" t="s">
        <v>26</v>
      </c>
      <c r="E870" s="22">
        <v>0.105</v>
      </c>
      <c r="F870" s="22">
        <f>H870</f>
        <v>42.950500000000005</v>
      </c>
      <c r="G870" s="22">
        <f>ROUND(F870*E870,2)</f>
        <v>4.51</v>
      </c>
      <c r="H870" s="337">
        <v>42.950500000000005</v>
      </c>
      <c r="I870" s="23" t="e">
        <f>IF(A870&lt;&gt;0,VLOOKUP(A870,#REF!,2,FALSE),"")</f>
        <v>#REF!</v>
      </c>
      <c r="K870" s="222"/>
    </row>
    <row r="871" spans="1:11" ht="30">
      <c r="A871" s="20">
        <v>43132</v>
      </c>
      <c r="B871" s="70" t="s">
        <v>385</v>
      </c>
      <c r="C871" s="21" t="s">
        <v>12</v>
      </c>
      <c r="D871" s="21" t="s">
        <v>45</v>
      </c>
      <c r="E871" s="22">
        <v>2.1999999999999999E-2</v>
      </c>
      <c r="F871" s="22">
        <f t="shared" ref="F871:F882" si="90">H871</f>
        <v>17.8415</v>
      </c>
      <c r="G871" s="22">
        <f t="shared" ref="G871:G882" si="91">ROUND(F871*E871,2)</f>
        <v>0.39</v>
      </c>
      <c r="H871" s="337">
        <v>17.8415</v>
      </c>
      <c r="I871" s="23" t="e">
        <f>IF(A871&lt;&gt;0,VLOOKUP(A871,#REF!,2,FALSE),"")</f>
        <v>#REF!</v>
      </c>
      <c r="K871" s="222"/>
    </row>
    <row r="872" spans="1:11" ht="30">
      <c r="A872" s="20">
        <v>370</v>
      </c>
      <c r="B872" s="70" t="s">
        <v>396</v>
      </c>
      <c r="C872" s="21" t="s">
        <v>12</v>
      </c>
      <c r="D872" s="21" t="s">
        <v>35</v>
      </c>
      <c r="E872" s="22">
        <v>0.105</v>
      </c>
      <c r="F872" s="22">
        <f t="shared" si="90"/>
        <v>42.5</v>
      </c>
      <c r="G872" s="22">
        <f t="shared" si="91"/>
        <v>4.46</v>
      </c>
      <c r="H872" s="337">
        <v>42.5</v>
      </c>
      <c r="I872" s="23" t="e">
        <f>IF(A872&lt;&gt;0,VLOOKUP(A872,#REF!,2,FALSE),"")</f>
        <v>#REF!</v>
      </c>
      <c r="K872" s="222"/>
    </row>
    <row r="873" spans="1:11">
      <c r="A873" s="20">
        <v>1106</v>
      </c>
      <c r="B873" s="70" t="s">
        <v>535</v>
      </c>
      <c r="C873" s="21" t="s">
        <v>12</v>
      </c>
      <c r="D873" s="21" t="s">
        <v>45</v>
      </c>
      <c r="E873" s="22">
        <v>5.46</v>
      </c>
      <c r="F873" s="22">
        <f t="shared" si="90"/>
        <v>0.76500000000000001</v>
      </c>
      <c r="G873" s="22">
        <f t="shared" si="91"/>
        <v>4.18</v>
      </c>
      <c r="H873" s="337">
        <v>0.76500000000000001</v>
      </c>
      <c r="I873" s="23" t="e">
        <f>IF(A873&lt;&gt;0,VLOOKUP(A873,#REF!,2,FALSE),"")</f>
        <v>#REF!</v>
      </c>
      <c r="K873" s="222"/>
    </row>
    <row r="874" spans="1:11">
      <c r="A874" s="20">
        <v>1379</v>
      </c>
      <c r="B874" s="70" t="s">
        <v>397</v>
      </c>
      <c r="C874" s="21" t="s">
        <v>12</v>
      </c>
      <c r="D874" s="21" t="s">
        <v>45</v>
      </c>
      <c r="E874" s="22">
        <v>28.5</v>
      </c>
      <c r="F874" s="22">
        <f t="shared" si="90"/>
        <v>0.60349999999999993</v>
      </c>
      <c r="G874" s="22">
        <f t="shared" si="91"/>
        <v>17.2</v>
      </c>
      <c r="H874" s="337">
        <v>0.60349999999999993</v>
      </c>
      <c r="I874" s="23" t="e">
        <f>IF(A874&lt;&gt;0,VLOOKUP(A874,#REF!,2,FALSE),"")</f>
        <v>#REF!</v>
      </c>
      <c r="K874" s="222"/>
    </row>
    <row r="875" spans="1:11" ht="45">
      <c r="A875" s="20">
        <v>4720</v>
      </c>
      <c r="B875" s="70" t="s">
        <v>544</v>
      </c>
      <c r="C875" s="21" t="s">
        <v>12</v>
      </c>
      <c r="D875" s="21" t="s">
        <v>35</v>
      </c>
      <c r="E875" s="22">
        <v>4.2000000000000003E-2</v>
      </c>
      <c r="F875" s="22">
        <f t="shared" si="90"/>
        <v>90.295500000000004</v>
      </c>
      <c r="G875" s="22">
        <f t="shared" si="91"/>
        <v>3.79</v>
      </c>
      <c r="H875" s="337">
        <v>90.295500000000004</v>
      </c>
      <c r="I875" s="23" t="e">
        <f>IF(A875&lt;&gt;0,VLOOKUP(A875,#REF!,2,FALSE),"")</f>
        <v>#REF!</v>
      </c>
      <c r="K875" s="222"/>
    </row>
    <row r="876" spans="1:11" ht="30">
      <c r="A876" s="20">
        <v>7267</v>
      </c>
      <c r="B876" s="70" t="s">
        <v>402</v>
      </c>
      <c r="C876" s="21" t="s">
        <v>12</v>
      </c>
      <c r="D876" s="21" t="s">
        <v>17</v>
      </c>
      <c r="E876" s="22">
        <v>14.74</v>
      </c>
      <c r="F876" s="22">
        <f t="shared" si="90"/>
        <v>0.62049999999999994</v>
      </c>
      <c r="G876" s="22">
        <f t="shared" si="91"/>
        <v>9.15</v>
      </c>
      <c r="H876" s="337">
        <v>0.62049999999999994</v>
      </c>
      <c r="I876" s="23" t="e">
        <f>IF(A876&lt;&gt;0,VLOOKUP(A876,#REF!,2,FALSE),"")</f>
        <v>#REF!</v>
      </c>
      <c r="K876" s="222"/>
    </row>
    <row r="877" spans="1:11" ht="30">
      <c r="A877" s="20">
        <v>9837</v>
      </c>
      <c r="B877" s="70" t="s">
        <v>518</v>
      </c>
      <c r="C877" s="21" t="s">
        <v>12</v>
      </c>
      <c r="D877" s="21" t="s">
        <v>52</v>
      </c>
      <c r="E877" s="22">
        <v>0.4</v>
      </c>
      <c r="F877" s="22">
        <f t="shared" si="90"/>
        <v>9.7665000000000006</v>
      </c>
      <c r="G877" s="22">
        <f t="shared" si="91"/>
        <v>3.91</v>
      </c>
      <c r="H877" s="337">
        <v>9.7665000000000006</v>
      </c>
      <c r="I877" s="23" t="e">
        <f>IF(A877&lt;&gt;0,VLOOKUP(A877,#REF!,2,FALSE),"")</f>
        <v>#REF!</v>
      </c>
      <c r="K877" s="222"/>
    </row>
    <row r="878" spans="1:11" ht="30">
      <c r="A878" s="20">
        <v>88239</v>
      </c>
      <c r="B878" s="70" t="s">
        <v>393</v>
      </c>
      <c r="C878" s="21" t="s">
        <v>12</v>
      </c>
      <c r="D878" s="21" t="s">
        <v>19</v>
      </c>
      <c r="E878" s="22">
        <v>0.60499999999999998</v>
      </c>
      <c r="F878" s="22">
        <f t="shared" si="90"/>
        <v>12.622499999999999</v>
      </c>
      <c r="G878" s="22">
        <f t="shared" si="91"/>
        <v>7.64</v>
      </c>
      <c r="H878" s="337">
        <v>12.622499999999999</v>
      </c>
      <c r="I878" s="23" t="e">
        <f>IF(A878&lt;&gt;0,VLOOKUP(A878,#REF!,2,FALSE),"")</f>
        <v>#REF!</v>
      </c>
      <c r="K878" s="222"/>
    </row>
    <row r="879" spans="1:11" ht="30">
      <c r="A879" s="20">
        <v>88262</v>
      </c>
      <c r="B879" s="70" t="s">
        <v>376</v>
      </c>
      <c r="C879" s="21" t="s">
        <v>12</v>
      </c>
      <c r="D879" s="21" t="s">
        <v>19</v>
      </c>
      <c r="E879" s="22">
        <v>0.60499999999999998</v>
      </c>
      <c r="F879" s="22">
        <f t="shared" si="90"/>
        <v>14.96</v>
      </c>
      <c r="G879" s="22">
        <f t="shared" si="91"/>
        <v>9.0500000000000007</v>
      </c>
      <c r="H879" s="337">
        <v>14.96</v>
      </c>
      <c r="I879" s="23" t="e">
        <f>IF(A879&lt;&gt;0,VLOOKUP(A879,#REF!,2,FALSE),"")</f>
        <v>#REF!</v>
      </c>
      <c r="K879" s="222"/>
    </row>
    <row r="880" spans="1:11" ht="30">
      <c r="A880" s="20">
        <v>88309</v>
      </c>
      <c r="B880" s="70" t="s">
        <v>390</v>
      </c>
      <c r="C880" s="21" t="s">
        <v>12</v>
      </c>
      <c r="D880" s="21" t="s">
        <v>19</v>
      </c>
      <c r="E880" s="22">
        <v>3.2</v>
      </c>
      <c r="F880" s="22">
        <f t="shared" si="90"/>
        <v>15.121499999999999</v>
      </c>
      <c r="G880" s="22">
        <f t="shared" si="91"/>
        <v>48.39</v>
      </c>
      <c r="H880" s="337">
        <v>15.121499999999999</v>
      </c>
      <c r="I880" s="23" t="e">
        <f>IF(A880&lt;&gt;0,VLOOKUP(A880,#REF!,2,FALSE),"")</f>
        <v>#REF!</v>
      </c>
      <c r="K880" s="222"/>
    </row>
    <row r="881" spans="1:11" ht="30">
      <c r="A881" s="20">
        <v>88316</v>
      </c>
      <c r="B881" s="70" t="s">
        <v>377</v>
      </c>
      <c r="C881" s="21" t="s">
        <v>12</v>
      </c>
      <c r="D881" s="21" t="s">
        <v>19</v>
      </c>
      <c r="E881" s="22">
        <v>5.85</v>
      </c>
      <c r="F881" s="22">
        <f t="shared" si="90"/>
        <v>11.798000000000002</v>
      </c>
      <c r="G881" s="22">
        <f t="shared" si="91"/>
        <v>69.02</v>
      </c>
      <c r="H881" s="337">
        <v>11.798000000000002</v>
      </c>
      <c r="I881" s="23" t="e">
        <f>IF(A881&lt;&gt;0,VLOOKUP(A881,#REF!,2,FALSE),"")</f>
        <v>#REF!</v>
      </c>
      <c r="K881" s="222"/>
    </row>
    <row r="882" spans="1:11" ht="60">
      <c r="A882" s="20">
        <v>92915</v>
      </c>
      <c r="B882" s="70" t="s">
        <v>1810</v>
      </c>
      <c r="C882" s="21" t="s">
        <v>12</v>
      </c>
      <c r="D882" s="21" t="s">
        <v>45</v>
      </c>
      <c r="E882" s="22">
        <v>1.75</v>
      </c>
      <c r="F882" s="22">
        <f t="shared" si="90"/>
        <v>14.45</v>
      </c>
      <c r="G882" s="22">
        <f t="shared" si="91"/>
        <v>25.29</v>
      </c>
      <c r="H882" s="337">
        <v>14.45</v>
      </c>
      <c r="I882" s="23" t="e">
        <f>IF(A882&lt;&gt;0,VLOOKUP(A882,#REF!,2,FALSE),"")</f>
        <v>#REF!</v>
      </c>
      <c r="K882" s="222"/>
    </row>
    <row r="883" spans="1:11" ht="15" customHeight="1">
      <c r="A883" s="719" t="s">
        <v>1893</v>
      </c>
      <c r="B883" s="719"/>
      <c r="C883" s="719"/>
      <c r="D883" s="719"/>
      <c r="E883" s="719"/>
      <c r="F883" s="719"/>
      <c r="G883" s="71">
        <f>ROUND(SUM(G870:G882),2)</f>
        <v>206.98</v>
      </c>
      <c r="K883" s="222"/>
    </row>
    <row r="884" spans="1:11" ht="27.75" customHeight="1">
      <c r="A884" s="72"/>
      <c r="B884" s="72"/>
      <c r="C884" s="327"/>
      <c r="D884" s="328"/>
      <c r="E884" s="72"/>
      <c r="F884" s="72"/>
      <c r="G884" s="72"/>
      <c r="K884" s="222"/>
    </row>
    <row r="885" spans="1:11" ht="21" customHeight="1">
      <c r="A885" s="612" t="s">
        <v>2146</v>
      </c>
      <c r="B885" s="613"/>
      <c r="C885" s="613"/>
      <c r="D885" s="613"/>
      <c r="E885" s="614"/>
      <c r="F885" s="67" t="s">
        <v>70</v>
      </c>
      <c r="G885" s="230"/>
      <c r="K885" s="222"/>
    </row>
    <row r="886" spans="1:11" ht="28.5">
      <c r="A886" s="229" t="s">
        <v>364</v>
      </c>
      <c r="B886" s="230"/>
      <c r="C886" s="69" t="s">
        <v>3</v>
      </c>
      <c r="D886" s="69" t="s">
        <v>4</v>
      </c>
      <c r="E886" s="69" t="s">
        <v>1826</v>
      </c>
      <c r="F886" s="69" t="s">
        <v>367</v>
      </c>
      <c r="G886" s="69" t="s">
        <v>368</v>
      </c>
      <c r="K886" s="222"/>
    </row>
    <row r="887" spans="1:11" s="38" customFormat="1">
      <c r="A887" s="20">
        <v>1058</v>
      </c>
      <c r="B887" s="70" t="s">
        <v>545</v>
      </c>
      <c r="C887" s="21" t="s">
        <v>44</v>
      </c>
      <c r="D887" s="21" t="s">
        <v>26</v>
      </c>
      <c r="E887" s="22">
        <v>1.05</v>
      </c>
      <c r="F887" s="22">
        <f t="shared" ref="F887:F892" si="92">H887</f>
        <v>169.38800000000001</v>
      </c>
      <c r="G887" s="22">
        <f t="shared" ref="G887:G892" si="93">ROUND(F887*E887,2)</f>
        <v>177.86</v>
      </c>
      <c r="H887" s="336">
        <v>169.38800000000001</v>
      </c>
      <c r="I887" s="38" t="e">
        <f>IF(A887&lt;&gt;0,VLOOKUP(A887,#REF!,2,FALSE),"")</f>
        <v>#REF!</v>
      </c>
      <c r="J887" s="336"/>
      <c r="K887" s="222"/>
    </row>
    <row r="888" spans="1:11">
      <c r="A888" s="20">
        <v>1379</v>
      </c>
      <c r="B888" s="70" t="s">
        <v>397</v>
      </c>
      <c r="C888" s="21" t="s">
        <v>12</v>
      </c>
      <c r="D888" s="21" t="s">
        <v>45</v>
      </c>
      <c r="E888" s="22">
        <v>3.8</v>
      </c>
      <c r="F888" s="22">
        <f t="shared" si="92"/>
        <v>0.60349999999999993</v>
      </c>
      <c r="G888" s="22">
        <f t="shared" si="93"/>
        <v>2.29</v>
      </c>
      <c r="H888" s="337">
        <v>0.60349999999999993</v>
      </c>
      <c r="I888" s="23" t="e">
        <f>IF(A888&lt;&gt;0,VLOOKUP(A888,#REF!,2,FALSE),"")</f>
        <v>#REF!</v>
      </c>
      <c r="K888" s="222"/>
    </row>
    <row r="889" spans="1:11" ht="45">
      <c r="A889" s="20">
        <v>367</v>
      </c>
      <c r="B889" s="70" t="s">
        <v>444</v>
      </c>
      <c r="C889" s="21" t="s">
        <v>12</v>
      </c>
      <c r="D889" s="21" t="s">
        <v>35</v>
      </c>
      <c r="E889" s="22">
        <v>0.01</v>
      </c>
      <c r="F889" s="22">
        <f t="shared" si="92"/>
        <v>43.919499999999999</v>
      </c>
      <c r="G889" s="22">
        <f t="shared" si="93"/>
        <v>0.44</v>
      </c>
      <c r="H889" s="337">
        <v>43.919499999999999</v>
      </c>
      <c r="I889" s="23" t="e">
        <f>IF(A889&lt;&gt;0,VLOOKUP(A889,#REF!,2,FALSE),"")</f>
        <v>#REF!</v>
      </c>
      <c r="K889" s="222"/>
    </row>
    <row r="890" spans="1:11">
      <c r="A890" s="20">
        <v>1106</v>
      </c>
      <c r="B890" s="70" t="s">
        <v>535</v>
      </c>
      <c r="C890" s="21" t="s">
        <v>12</v>
      </c>
      <c r="D890" s="21" t="s">
        <v>45</v>
      </c>
      <c r="E890" s="22">
        <v>1</v>
      </c>
      <c r="F890" s="22">
        <f t="shared" si="92"/>
        <v>0.76500000000000001</v>
      </c>
      <c r="G890" s="22">
        <f t="shared" si="93"/>
        <v>0.77</v>
      </c>
      <c r="H890" s="337">
        <v>0.76500000000000001</v>
      </c>
      <c r="I890" s="23" t="e">
        <f>IF(A890&lt;&gt;0,VLOOKUP(A890,#REF!,2,FALSE),"")</f>
        <v>#REF!</v>
      </c>
      <c r="K890" s="222"/>
    </row>
    <row r="891" spans="1:11" ht="30">
      <c r="A891" s="20">
        <v>88309</v>
      </c>
      <c r="B891" s="70" t="s">
        <v>390</v>
      </c>
      <c r="C891" s="21" t="s">
        <v>12</v>
      </c>
      <c r="D891" s="21" t="s">
        <v>19</v>
      </c>
      <c r="E891" s="22">
        <v>1.5</v>
      </c>
      <c r="F891" s="22">
        <f t="shared" si="92"/>
        <v>15.121499999999999</v>
      </c>
      <c r="G891" s="22">
        <f t="shared" si="93"/>
        <v>22.68</v>
      </c>
      <c r="H891" s="337">
        <v>15.121499999999999</v>
      </c>
      <c r="I891" s="23" t="e">
        <f>IF(A891&lt;&gt;0,VLOOKUP(A891,#REF!,2,FALSE),"")</f>
        <v>#REF!</v>
      </c>
      <c r="K891" s="222"/>
    </row>
    <row r="892" spans="1:11" ht="30">
      <c r="A892" s="20">
        <v>88316</v>
      </c>
      <c r="B892" s="70" t="s">
        <v>377</v>
      </c>
      <c r="C892" s="21" t="s">
        <v>12</v>
      </c>
      <c r="D892" s="21" t="s">
        <v>19</v>
      </c>
      <c r="E892" s="22">
        <v>1.5</v>
      </c>
      <c r="F892" s="22">
        <f t="shared" si="92"/>
        <v>11.798000000000002</v>
      </c>
      <c r="G892" s="22">
        <f t="shared" si="93"/>
        <v>17.7</v>
      </c>
      <c r="H892" s="337">
        <v>11.798000000000002</v>
      </c>
      <c r="I892" s="23" t="e">
        <f>IF(A892&lt;&gt;0,VLOOKUP(A892,#REF!,2,FALSE),"")</f>
        <v>#REF!</v>
      </c>
      <c r="K892" s="222"/>
    </row>
    <row r="893" spans="1:11" ht="15" customHeight="1">
      <c r="A893" s="719" t="s">
        <v>1893</v>
      </c>
      <c r="B893" s="719"/>
      <c r="C893" s="719"/>
      <c r="D893" s="719"/>
      <c r="E893" s="719"/>
      <c r="F893" s="719"/>
      <c r="G893" s="71">
        <f>ROUND(SUM(G887:G892),2)</f>
        <v>221.74</v>
      </c>
      <c r="K893" s="222"/>
    </row>
    <row r="894" spans="1:11" ht="29.25" customHeight="1">
      <c r="A894" s="72"/>
      <c r="B894" s="72"/>
      <c r="C894" s="327"/>
      <c r="D894" s="328"/>
      <c r="E894" s="72"/>
      <c r="F894" s="72"/>
      <c r="G894" s="72"/>
      <c r="K894" s="222"/>
    </row>
    <row r="895" spans="1:11">
      <c r="A895" s="72"/>
      <c r="B895" s="72"/>
      <c r="C895" s="327"/>
      <c r="D895" s="328"/>
      <c r="E895" s="72"/>
      <c r="F895" s="72"/>
      <c r="G895" s="72"/>
      <c r="K895" s="222"/>
    </row>
    <row r="896" spans="1:11" ht="38.25" customHeight="1">
      <c r="A896" s="612" t="s">
        <v>2153</v>
      </c>
      <c r="B896" s="613"/>
      <c r="C896" s="613"/>
      <c r="D896" s="613"/>
      <c r="E896" s="614"/>
      <c r="F896" s="67" t="s">
        <v>1914</v>
      </c>
      <c r="G896" s="230"/>
      <c r="K896" s="222"/>
    </row>
    <row r="897" spans="1:11" ht="28.5">
      <c r="A897" s="229" t="s">
        <v>364</v>
      </c>
      <c r="B897" s="230"/>
      <c r="C897" s="69" t="s">
        <v>3</v>
      </c>
      <c r="D897" s="69" t="s">
        <v>4</v>
      </c>
      <c r="E897" s="69" t="s">
        <v>1826</v>
      </c>
      <c r="F897" s="69" t="s">
        <v>367</v>
      </c>
      <c r="G897" s="69" t="s">
        <v>368</v>
      </c>
      <c r="K897" s="222"/>
    </row>
    <row r="898" spans="1:11" ht="45">
      <c r="A898" s="20">
        <v>7694</v>
      </c>
      <c r="B898" s="70" t="s">
        <v>546</v>
      </c>
      <c r="C898" s="21" t="s">
        <v>12</v>
      </c>
      <c r="D898" s="21" t="s">
        <v>52</v>
      </c>
      <c r="E898" s="22">
        <v>1.0389999999999999</v>
      </c>
      <c r="F898" s="22">
        <f>H898</f>
        <v>126.85400000000001</v>
      </c>
      <c r="G898" s="22">
        <f>ROUND(F898*E898,2)</f>
        <v>131.80000000000001</v>
      </c>
      <c r="H898" s="337">
        <v>126.85400000000001</v>
      </c>
      <c r="I898" s="23" t="e">
        <f>IF(A898&lt;&gt;0,VLOOKUP(A898,#REF!,2,FALSE),"")</f>
        <v>#REF!</v>
      </c>
      <c r="K898" s="222"/>
    </row>
    <row r="899" spans="1:11" ht="45">
      <c r="A899" s="20">
        <v>88248</v>
      </c>
      <c r="B899" s="70" t="s">
        <v>473</v>
      </c>
      <c r="C899" s="21" t="s">
        <v>12</v>
      </c>
      <c r="D899" s="21" t="s">
        <v>19</v>
      </c>
      <c r="E899" s="22">
        <v>0.30599999999999999</v>
      </c>
      <c r="F899" s="22">
        <f>H899</f>
        <v>11.483499999999999</v>
      </c>
      <c r="G899" s="22">
        <f>ROUND(F899*E899,2)</f>
        <v>3.51</v>
      </c>
      <c r="H899" s="337">
        <v>11.483499999999999</v>
      </c>
      <c r="I899" s="23" t="e">
        <f>IF(A899&lt;&gt;0,VLOOKUP(A899,#REF!,2,FALSE),"")</f>
        <v>#REF!</v>
      </c>
      <c r="K899" s="222"/>
    </row>
    <row r="900" spans="1:11" ht="30">
      <c r="A900" s="20">
        <v>88267</v>
      </c>
      <c r="B900" s="70" t="s">
        <v>472</v>
      </c>
      <c r="C900" s="21" t="s">
        <v>12</v>
      </c>
      <c r="D900" s="21" t="s">
        <v>19</v>
      </c>
      <c r="E900" s="22">
        <v>0.30599999999999999</v>
      </c>
      <c r="F900" s="22">
        <f>H900</f>
        <v>14.7135</v>
      </c>
      <c r="G900" s="22">
        <f>ROUND(F900*E900,2)</f>
        <v>4.5</v>
      </c>
      <c r="H900" s="337">
        <v>14.7135</v>
      </c>
      <c r="I900" s="23" t="e">
        <f>IF(A900&lt;&gt;0,VLOOKUP(A900,#REF!,2,FALSE),"")</f>
        <v>#REF!</v>
      </c>
      <c r="K900" s="222"/>
    </row>
    <row r="901" spans="1:11" ht="15" customHeight="1">
      <c r="A901" s="719" t="s">
        <v>1893</v>
      </c>
      <c r="B901" s="719"/>
      <c r="C901" s="719"/>
      <c r="D901" s="719"/>
      <c r="E901" s="719"/>
      <c r="F901" s="719"/>
      <c r="G901" s="71">
        <f>ROUND(SUM(G898:G900),2)</f>
        <v>139.81</v>
      </c>
      <c r="I901" s="23"/>
      <c r="K901" s="222"/>
    </row>
    <row r="902" spans="1:11">
      <c r="A902" s="72"/>
      <c r="B902" s="72"/>
      <c r="C902" s="327"/>
      <c r="D902" s="328"/>
      <c r="E902" s="72"/>
      <c r="F902" s="72"/>
      <c r="G902" s="72"/>
      <c r="K902" s="222"/>
    </row>
    <row r="903" spans="1:11">
      <c r="A903" s="72"/>
      <c r="B903" s="72"/>
      <c r="C903" s="327"/>
      <c r="D903" s="328"/>
      <c r="E903" s="72"/>
      <c r="F903" s="72"/>
      <c r="G903" s="72"/>
      <c r="K903" s="222"/>
    </row>
    <row r="904" spans="1:11" ht="33" customHeight="1">
      <c r="A904" s="612" t="s">
        <v>2154</v>
      </c>
      <c r="B904" s="613"/>
      <c r="C904" s="613"/>
      <c r="D904" s="613"/>
      <c r="E904" s="718"/>
      <c r="F904" s="67" t="s">
        <v>1914</v>
      </c>
      <c r="G904" s="230"/>
      <c r="K904" s="222"/>
    </row>
    <row r="905" spans="1:11" ht="28.5">
      <c r="A905" s="229" t="s">
        <v>364</v>
      </c>
      <c r="B905" s="230"/>
      <c r="C905" s="69" t="s">
        <v>3</v>
      </c>
      <c r="D905" s="69" t="s">
        <v>4</v>
      </c>
      <c r="E905" s="69" t="s">
        <v>1826</v>
      </c>
      <c r="F905" s="69" t="s">
        <v>367</v>
      </c>
      <c r="G905" s="69" t="s">
        <v>368</v>
      </c>
      <c r="K905" s="222"/>
    </row>
    <row r="906" spans="1:11" ht="45">
      <c r="A906" s="20">
        <v>7697</v>
      </c>
      <c r="B906" s="70" t="s">
        <v>547</v>
      </c>
      <c r="C906" s="21" t="s">
        <v>12</v>
      </c>
      <c r="D906" s="21" t="s">
        <v>52</v>
      </c>
      <c r="E906" s="22">
        <v>1.0389999999999999</v>
      </c>
      <c r="F906" s="22">
        <f>H906</f>
        <v>52.674500000000002</v>
      </c>
      <c r="G906" s="22">
        <f>ROUND(F906*E906,2)</f>
        <v>54.73</v>
      </c>
      <c r="H906" s="337">
        <v>52.674500000000002</v>
      </c>
      <c r="I906" s="23" t="e">
        <f>IF(A906&lt;&gt;0,VLOOKUP(A906,#REF!,2,FALSE),"")</f>
        <v>#REF!</v>
      </c>
      <c r="K906" s="222"/>
    </row>
    <row r="907" spans="1:11" ht="45">
      <c r="A907" s="20">
        <v>88248</v>
      </c>
      <c r="B907" s="70" t="s">
        <v>473</v>
      </c>
      <c r="C907" s="21" t="s">
        <v>12</v>
      </c>
      <c r="D907" s="21" t="s">
        <v>19</v>
      </c>
      <c r="E907" s="22">
        <v>0.26500000000000001</v>
      </c>
      <c r="F907" s="22">
        <f>H907</f>
        <v>11.483499999999999</v>
      </c>
      <c r="G907" s="22">
        <f>ROUND(F907*E907,2)</f>
        <v>3.04</v>
      </c>
      <c r="H907" s="337">
        <v>11.483499999999999</v>
      </c>
      <c r="I907" s="23" t="e">
        <f>IF(A907&lt;&gt;0,VLOOKUP(A907,#REF!,2,FALSE),"")</f>
        <v>#REF!</v>
      </c>
      <c r="K907" s="222"/>
    </row>
    <row r="908" spans="1:11" ht="30">
      <c r="A908" s="20">
        <v>88267</v>
      </c>
      <c r="B908" s="70" t="s">
        <v>472</v>
      </c>
      <c r="C908" s="21" t="s">
        <v>12</v>
      </c>
      <c r="D908" s="21" t="s">
        <v>19</v>
      </c>
      <c r="E908" s="22">
        <v>0.26500000000000001</v>
      </c>
      <c r="F908" s="22">
        <f>H908</f>
        <v>14.7135</v>
      </c>
      <c r="G908" s="22">
        <f>ROUND(F908*E908,2)</f>
        <v>3.9</v>
      </c>
      <c r="H908" s="337">
        <v>14.7135</v>
      </c>
      <c r="I908" s="23" t="e">
        <f>IF(A908&lt;&gt;0,VLOOKUP(A908,#REF!,2,FALSE),"")</f>
        <v>#REF!</v>
      </c>
      <c r="K908" s="222"/>
    </row>
    <row r="909" spans="1:11" ht="15" customHeight="1">
      <c r="A909" s="719" t="s">
        <v>1893</v>
      </c>
      <c r="B909" s="719"/>
      <c r="C909" s="719"/>
      <c r="D909" s="719"/>
      <c r="E909" s="719"/>
      <c r="F909" s="719"/>
      <c r="G909" s="71">
        <f>ROUND(SUM(G906:G908),2)</f>
        <v>61.67</v>
      </c>
      <c r="I909" s="23"/>
      <c r="K909" s="222"/>
    </row>
    <row r="910" spans="1:11" ht="20.25" customHeight="1">
      <c r="A910" s="72"/>
      <c r="B910" s="72"/>
      <c r="C910" s="327"/>
      <c r="D910" s="328"/>
      <c r="E910" s="72"/>
      <c r="F910" s="72"/>
      <c r="G910" s="72"/>
      <c r="K910" s="222"/>
    </row>
    <row r="911" spans="1:11" ht="39" customHeight="1">
      <c r="A911" s="612" t="s">
        <v>2155</v>
      </c>
      <c r="B911" s="613"/>
      <c r="C911" s="613"/>
      <c r="D911" s="613"/>
      <c r="E911" s="718"/>
      <c r="F911" s="67" t="s">
        <v>1914</v>
      </c>
      <c r="G911" s="230"/>
      <c r="K911" s="222"/>
    </row>
    <row r="912" spans="1:11" ht="28.5">
      <c r="A912" s="229" t="s">
        <v>364</v>
      </c>
      <c r="B912" s="230"/>
      <c r="C912" s="69" t="s">
        <v>3</v>
      </c>
      <c r="D912" s="69" t="s">
        <v>4</v>
      </c>
      <c r="E912" s="69" t="s">
        <v>1826</v>
      </c>
      <c r="F912" s="69" t="s">
        <v>367</v>
      </c>
      <c r="G912" s="69" t="s">
        <v>368</v>
      </c>
      <c r="K912" s="222"/>
    </row>
    <row r="913" spans="1:11" ht="45">
      <c r="A913" s="20">
        <v>7698</v>
      </c>
      <c r="B913" s="70" t="s">
        <v>548</v>
      </c>
      <c r="C913" s="21" t="s">
        <v>12</v>
      </c>
      <c r="D913" s="21" t="s">
        <v>52</v>
      </c>
      <c r="E913" s="22">
        <v>1.0389999999999999</v>
      </c>
      <c r="F913" s="22">
        <f>H913</f>
        <v>45.347500000000004</v>
      </c>
      <c r="G913" s="22">
        <f>ROUND(F913*E913,2)</f>
        <v>47.12</v>
      </c>
      <c r="H913" s="337">
        <v>45.347500000000004</v>
      </c>
      <c r="I913" s="23" t="e">
        <f>IF(A913&lt;&gt;0,VLOOKUP(A913,#REF!,2,FALSE),"")</f>
        <v>#REF!</v>
      </c>
      <c r="K913" s="222"/>
    </row>
    <row r="914" spans="1:11" ht="45">
      <c r="A914" s="20">
        <v>88248</v>
      </c>
      <c r="B914" s="70" t="s">
        <v>473</v>
      </c>
      <c r="C914" s="21" t="s">
        <v>12</v>
      </c>
      <c r="D914" s="21" t="s">
        <v>19</v>
      </c>
      <c r="E914" s="22">
        <v>0.26500000000000001</v>
      </c>
      <c r="F914" s="22">
        <f>H914</f>
        <v>11.483499999999999</v>
      </c>
      <c r="G914" s="22">
        <f>ROUND(F914*E914,2)</f>
        <v>3.04</v>
      </c>
      <c r="H914" s="337">
        <v>11.483499999999999</v>
      </c>
      <c r="I914" s="23" t="e">
        <f>IF(A914&lt;&gt;0,VLOOKUP(A914,#REF!,2,FALSE),"")</f>
        <v>#REF!</v>
      </c>
      <c r="K914" s="222"/>
    </row>
    <row r="915" spans="1:11" ht="30">
      <c r="A915" s="20">
        <v>88267</v>
      </c>
      <c r="B915" s="70" t="s">
        <v>472</v>
      </c>
      <c r="C915" s="21" t="s">
        <v>12</v>
      </c>
      <c r="D915" s="21" t="s">
        <v>19</v>
      </c>
      <c r="E915" s="22">
        <v>0.26500000000000001</v>
      </c>
      <c r="F915" s="22">
        <f>H915</f>
        <v>14.7135</v>
      </c>
      <c r="G915" s="22">
        <f>ROUND(F915*E915,2)</f>
        <v>3.9</v>
      </c>
      <c r="H915" s="337">
        <v>14.7135</v>
      </c>
      <c r="I915" s="23" t="e">
        <f>IF(A915&lt;&gt;0,VLOOKUP(A915,#REF!,2,FALSE),"")</f>
        <v>#REF!</v>
      </c>
      <c r="K915" s="222"/>
    </row>
    <row r="916" spans="1:11" ht="15" customHeight="1">
      <c r="A916" s="719" t="s">
        <v>1893</v>
      </c>
      <c r="B916" s="719"/>
      <c r="C916" s="719"/>
      <c r="D916" s="719"/>
      <c r="E916" s="719"/>
      <c r="F916" s="719"/>
      <c r="G916" s="71">
        <f>ROUND(SUM(G913:G915),2)</f>
        <v>54.06</v>
      </c>
      <c r="K916" s="222"/>
    </row>
    <row r="917" spans="1:11" ht="22.5" customHeight="1">
      <c r="A917" s="72"/>
      <c r="B917" s="72"/>
      <c r="C917" s="327"/>
      <c r="D917" s="328"/>
      <c r="E917" s="72"/>
      <c r="F917" s="72"/>
      <c r="G917" s="72"/>
      <c r="K917" s="222"/>
    </row>
    <row r="918" spans="1:11" ht="33.75" customHeight="1">
      <c r="A918" s="612" t="s">
        <v>2156</v>
      </c>
      <c r="B918" s="613"/>
      <c r="C918" s="613"/>
      <c r="D918" s="613"/>
      <c r="E918" s="718"/>
      <c r="F918" s="67" t="s">
        <v>1914</v>
      </c>
      <c r="G918" s="230"/>
      <c r="K918" s="222"/>
    </row>
    <row r="919" spans="1:11" ht="28.5">
      <c r="A919" s="229" t="s">
        <v>364</v>
      </c>
      <c r="B919" s="230"/>
      <c r="C919" s="69" t="s">
        <v>3</v>
      </c>
      <c r="D919" s="69" t="s">
        <v>4</v>
      </c>
      <c r="E919" s="69" t="s">
        <v>1826</v>
      </c>
      <c r="F919" s="69" t="s">
        <v>367</v>
      </c>
      <c r="G919" s="69" t="s">
        <v>368</v>
      </c>
      <c r="K919" s="222"/>
    </row>
    <row r="920" spans="1:11" ht="45">
      <c r="A920" s="20">
        <v>40626</v>
      </c>
      <c r="B920" s="70" t="s">
        <v>549</v>
      </c>
      <c r="C920" s="21" t="s">
        <v>12</v>
      </c>
      <c r="D920" s="21" t="s">
        <v>52</v>
      </c>
      <c r="E920" s="22">
        <v>1.0389999999999999</v>
      </c>
      <c r="F920" s="22">
        <f>H920</f>
        <v>35.954999999999998</v>
      </c>
      <c r="G920" s="22">
        <f>ROUND(F920*E920,2)</f>
        <v>37.36</v>
      </c>
      <c r="H920" s="337">
        <v>35.954999999999998</v>
      </c>
      <c r="I920" s="23" t="e">
        <f>IF(A920&lt;&gt;0,VLOOKUP(A920,#REF!,2,FALSE),"")</f>
        <v>#REF!</v>
      </c>
      <c r="K920" s="222"/>
    </row>
    <row r="921" spans="1:11" ht="45">
      <c r="A921" s="20">
        <v>88248</v>
      </c>
      <c r="B921" s="70" t="s">
        <v>473</v>
      </c>
      <c r="C921" s="21" t="s">
        <v>12</v>
      </c>
      <c r="D921" s="21" t="s">
        <v>19</v>
      </c>
      <c r="E921" s="22">
        <v>0.26500000000000001</v>
      </c>
      <c r="F921" s="22">
        <f>H921</f>
        <v>11.483499999999999</v>
      </c>
      <c r="G921" s="22">
        <f>ROUND(F921*E921,2)</f>
        <v>3.04</v>
      </c>
      <c r="H921" s="337">
        <v>11.483499999999999</v>
      </c>
      <c r="I921" s="23" t="e">
        <f>IF(A921&lt;&gt;0,VLOOKUP(A921,#REF!,2,FALSE),"")</f>
        <v>#REF!</v>
      </c>
      <c r="K921" s="222"/>
    </row>
    <row r="922" spans="1:11" ht="30">
      <c r="A922" s="20">
        <v>88267</v>
      </c>
      <c r="B922" s="70" t="s">
        <v>472</v>
      </c>
      <c r="C922" s="21" t="s">
        <v>12</v>
      </c>
      <c r="D922" s="21" t="s">
        <v>19</v>
      </c>
      <c r="E922" s="22">
        <v>0.26500000000000001</v>
      </c>
      <c r="F922" s="22">
        <f>H922</f>
        <v>14.7135</v>
      </c>
      <c r="G922" s="22">
        <f>ROUND(F922*E922,2)</f>
        <v>3.9</v>
      </c>
      <c r="H922" s="337">
        <v>14.7135</v>
      </c>
      <c r="I922" s="23" t="e">
        <f>IF(A922&lt;&gt;0,VLOOKUP(A922,#REF!,2,FALSE),"")</f>
        <v>#REF!</v>
      </c>
      <c r="K922" s="222"/>
    </row>
    <row r="923" spans="1:11" ht="15" customHeight="1">
      <c r="A923" s="719" t="s">
        <v>1893</v>
      </c>
      <c r="B923" s="719"/>
      <c r="C923" s="719"/>
      <c r="D923" s="719"/>
      <c r="E923" s="719"/>
      <c r="F923" s="719"/>
      <c r="G923" s="71">
        <f>ROUND(SUM(G920:G922),2)</f>
        <v>44.3</v>
      </c>
      <c r="K923" s="222"/>
    </row>
    <row r="924" spans="1:11" ht="26.25" customHeight="1">
      <c r="A924" s="72"/>
      <c r="B924" s="72"/>
      <c r="C924" s="327"/>
      <c r="D924" s="328"/>
      <c r="E924" s="72"/>
      <c r="F924" s="72"/>
      <c r="G924" s="72"/>
      <c r="K924" s="222"/>
    </row>
    <row r="925" spans="1:11" ht="36.75" customHeight="1">
      <c r="A925" s="612" t="s">
        <v>2157</v>
      </c>
      <c r="B925" s="613"/>
      <c r="C925" s="613"/>
      <c r="D925" s="613"/>
      <c r="E925" s="614"/>
      <c r="F925" s="67" t="s">
        <v>1914</v>
      </c>
      <c r="G925" s="230"/>
      <c r="K925" s="222"/>
    </row>
    <row r="926" spans="1:11" ht="28.5">
      <c r="A926" s="229" t="s">
        <v>364</v>
      </c>
      <c r="B926" s="230"/>
      <c r="C926" s="69" t="s">
        <v>3</v>
      </c>
      <c r="D926" s="69" t="s">
        <v>4</v>
      </c>
      <c r="E926" s="69" t="s">
        <v>1826</v>
      </c>
      <c r="F926" s="69" t="s">
        <v>367</v>
      </c>
      <c r="G926" s="69" t="s">
        <v>368</v>
      </c>
      <c r="K926" s="222"/>
    </row>
    <row r="927" spans="1:11" ht="45">
      <c r="A927" s="20">
        <v>7693</v>
      </c>
      <c r="B927" s="70" t="s">
        <v>550</v>
      </c>
      <c r="C927" s="21" t="s">
        <v>12</v>
      </c>
      <c r="D927" s="21" t="s">
        <v>52</v>
      </c>
      <c r="E927" s="22">
        <v>1.0389999999999999</v>
      </c>
      <c r="F927" s="22">
        <f>H927</f>
        <v>174.709</v>
      </c>
      <c r="G927" s="22">
        <f>ROUND(F927*E927,2)</f>
        <v>181.52</v>
      </c>
      <c r="H927" s="337">
        <v>174.709</v>
      </c>
      <c r="I927" s="23" t="e">
        <f>IF(A927&lt;&gt;0,VLOOKUP(A927,#REF!,2,FALSE),"")</f>
        <v>#REF!</v>
      </c>
      <c r="K927" s="222"/>
    </row>
    <row r="928" spans="1:11" ht="45">
      <c r="A928" s="20">
        <v>88248</v>
      </c>
      <c r="B928" s="70" t="s">
        <v>473</v>
      </c>
      <c r="C928" s="21" t="s">
        <v>12</v>
      </c>
      <c r="D928" s="21" t="s">
        <v>19</v>
      </c>
      <c r="E928" s="22">
        <v>0.34599999999999997</v>
      </c>
      <c r="F928" s="22">
        <f>H928</f>
        <v>11.483499999999999</v>
      </c>
      <c r="G928" s="22">
        <f>ROUND(F928*E928,2)</f>
        <v>3.97</v>
      </c>
      <c r="H928" s="337">
        <v>11.483499999999999</v>
      </c>
      <c r="I928" s="23" t="e">
        <f>IF(A928&lt;&gt;0,VLOOKUP(A928,#REF!,2,FALSE),"")</f>
        <v>#REF!</v>
      </c>
      <c r="K928" s="222"/>
    </row>
    <row r="929" spans="1:11" ht="30">
      <c r="A929" s="20">
        <v>88267</v>
      </c>
      <c r="B929" s="70" t="s">
        <v>472</v>
      </c>
      <c r="C929" s="21" t="s">
        <v>12</v>
      </c>
      <c r="D929" s="21" t="s">
        <v>19</v>
      </c>
      <c r="E929" s="22">
        <v>0.34599999999999997</v>
      </c>
      <c r="F929" s="22">
        <f>H929</f>
        <v>14.7135</v>
      </c>
      <c r="G929" s="22">
        <f>ROUND(F929*E929,2)</f>
        <v>5.09</v>
      </c>
      <c r="H929" s="337">
        <v>14.7135</v>
      </c>
      <c r="I929" s="23" t="e">
        <f>IF(A929&lt;&gt;0,VLOOKUP(A929,#REF!,2,FALSE),"")</f>
        <v>#REF!</v>
      </c>
      <c r="K929" s="222"/>
    </row>
    <row r="930" spans="1:11" ht="15" customHeight="1">
      <c r="A930" s="719" t="s">
        <v>1893</v>
      </c>
      <c r="B930" s="719"/>
      <c r="C930" s="719"/>
      <c r="D930" s="719"/>
      <c r="E930" s="719"/>
      <c r="F930" s="719"/>
      <c r="G930" s="71">
        <f>ROUND(SUM(G927:G929),2)</f>
        <v>190.58</v>
      </c>
      <c r="K930" s="222"/>
    </row>
    <row r="931" spans="1:11" ht="24" customHeight="1">
      <c r="A931" s="72"/>
      <c r="B931" s="72"/>
      <c r="C931" s="327"/>
      <c r="D931" s="328"/>
      <c r="E931" s="72"/>
      <c r="F931" s="72"/>
      <c r="G931" s="72"/>
      <c r="K931" s="222"/>
    </row>
    <row r="932" spans="1:11" ht="43.5" customHeight="1">
      <c r="A932" s="612" t="s">
        <v>2158</v>
      </c>
      <c r="B932" s="613"/>
      <c r="C932" s="613"/>
      <c r="D932" s="613"/>
      <c r="E932" s="718"/>
      <c r="F932" s="67" t="s">
        <v>1914</v>
      </c>
      <c r="G932" s="230"/>
      <c r="K932" s="222"/>
    </row>
    <row r="933" spans="1:11" ht="28.5">
      <c r="A933" s="229" t="s">
        <v>364</v>
      </c>
      <c r="B933" s="230"/>
      <c r="C933" s="69" t="s">
        <v>3</v>
      </c>
      <c r="D933" s="69" t="s">
        <v>4</v>
      </c>
      <c r="E933" s="69" t="s">
        <v>1826</v>
      </c>
      <c r="F933" s="69" t="s">
        <v>367</v>
      </c>
      <c r="G933" s="69" t="s">
        <v>368</v>
      </c>
      <c r="K933" s="222"/>
    </row>
    <row r="934" spans="1:11" ht="30">
      <c r="A934" s="20">
        <v>3148</v>
      </c>
      <c r="B934" s="70" t="s">
        <v>509</v>
      </c>
      <c r="C934" s="21" t="s">
        <v>12</v>
      </c>
      <c r="D934" s="21" t="s">
        <v>17</v>
      </c>
      <c r="E934" s="22">
        <v>2.7E-2</v>
      </c>
      <c r="F934" s="22">
        <f>H934</f>
        <v>11.279499999999999</v>
      </c>
      <c r="G934" s="22">
        <f>ROUND(F934*E934,2)</f>
        <v>0.3</v>
      </c>
      <c r="H934" s="337">
        <v>11.279499999999999</v>
      </c>
      <c r="I934" s="23" t="e">
        <f>IF(A934&lt;&gt;0,VLOOKUP(A934,#REF!,2,FALSE),"")</f>
        <v>#REF!</v>
      </c>
      <c r="K934" s="222"/>
    </row>
    <row r="935" spans="1:11" ht="30">
      <c r="A935" s="20">
        <v>7307</v>
      </c>
      <c r="B935" s="70" t="s">
        <v>551</v>
      </c>
      <c r="C935" s="21" t="s">
        <v>12</v>
      </c>
      <c r="D935" s="21" t="s">
        <v>381</v>
      </c>
      <c r="E935" s="22">
        <v>3.0000000000000001E-3</v>
      </c>
      <c r="F935" s="22">
        <f>H935</f>
        <v>23.630000000000003</v>
      </c>
      <c r="G935" s="22">
        <f>ROUND(F935*E935,2)</f>
        <v>7.0000000000000007E-2</v>
      </c>
      <c r="H935" s="337">
        <v>23.630000000000003</v>
      </c>
      <c r="I935" s="23" t="e">
        <f>IF(A935&lt;&gt;0,VLOOKUP(A935,#REF!,2,FALSE),"")</f>
        <v>#REF!</v>
      </c>
      <c r="K935" s="222"/>
    </row>
    <row r="936" spans="1:11" ht="30">
      <c r="A936" s="20">
        <v>3472</v>
      </c>
      <c r="B936" s="70" t="s">
        <v>552</v>
      </c>
      <c r="C936" s="21" t="s">
        <v>12</v>
      </c>
      <c r="D936" s="21" t="s">
        <v>17</v>
      </c>
      <c r="E936" s="22">
        <v>1</v>
      </c>
      <c r="F936" s="22">
        <f>H936</f>
        <v>11.169</v>
      </c>
      <c r="G936" s="22">
        <f>ROUND(F936*E936,2)</f>
        <v>11.17</v>
      </c>
      <c r="H936" s="337">
        <v>11.169</v>
      </c>
      <c r="I936" s="23" t="e">
        <f>IF(A936&lt;&gt;0,VLOOKUP(A936,#REF!,2,FALSE),"")</f>
        <v>#REF!</v>
      </c>
      <c r="K936" s="222"/>
    </row>
    <row r="937" spans="1:11" ht="45">
      <c r="A937" s="20">
        <v>88248</v>
      </c>
      <c r="B937" s="70" t="s">
        <v>473</v>
      </c>
      <c r="C937" s="21" t="s">
        <v>12</v>
      </c>
      <c r="D937" s="21" t="s">
        <v>19</v>
      </c>
      <c r="E937" s="22">
        <v>0.52200000000000002</v>
      </c>
      <c r="F937" s="22">
        <f>H937</f>
        <v>11.483499999999999</v>
      </c>
      <c r="G937" s="22">
        <f>ROUND(F937*E937,2)</f>
        <v>5.99</v>
      </c>
      <c r="H937" s="337">
        <v>11.483499999999999</v>
      </c>
      <c r="I937" s="23" t="e">
        <f>IF(A937&lt;&gt;0,VLOOKUP(A937,#REF!,2,FALSE),"")</f>
        <v>#REF!</v>
      </c>
      <c r="K937" s="222"/>
    </row>
    <row r="938" spans="1:11" ht="30">
      <c r="A938" s="20">
        <v>88267</v>
      </c>
      <c r="B938" s="70" t="s">
        <v>472</v>
      </c>
      <c r="C938" s="21" t="s">
        <v>12</v>
      </c>
      <c r="D938" s="21" t="s">
        <v>19</v>
      </c>
      <c r="E938" s="22">
        <v>0.52200000000000002</v>
      </c>
      <c r="F938" s="22">
        <f>H938</f>
        <v>14.7135</v>
      </c>
      <c r="G938" s="22">
        <f>ROUND(F938*E938,2)</f>
        <v>7.68</v>
      </c>
      <c r="H938" s="337">
        <v>14.7135</v>
      </c>
      <c r="I938" s="23" t="e">
        <f>IF(A938&lt;&gt;0,VLOOKUP(A938,#REF!,2,FALSE),"")</f>
        <v>#REF!</v>
      </c>
      <c r="K938" s="222"/>
    </row>
    <row r="939" spans="1:11" ht="15" customHeight="1">
      <c r="A939" s="719" t="s">
        <v>1893</v>
      </c>
      <c r="B939" s="719"/>
      <c r="C939" s="719"/>
      <c r="D939" s="719"/>
      <c r="E939" s="719"/>
      <c r="F939" s="719"/>
      <c r="G939" s="71">
        <f>ROUND(SUM(G934:G938),2)</f>
        <v>25.21</v>
      </c>
      <c r="K939" s="222"/>
    </row>
    <row r="940" spans="1:11" ht="21" customHeight="1">
      <c r="A940" s="72"/>
      <c r="B940" s="72"/>
      <c r="C940" s="327"/>
      <c r="D940" s="328"/>
      <c r="E940" s="72"/>
      <c r="F940" s="72"/>
      <c r="G940" s="72"/>
      <c r="K940" s="222"/>
    </row>
    <row r="941" spans="1:11" ht="15" customHeight="1">
      <c r="A941" s="612" t="s">
        <v>2159</v>
      </c>
      <c r="B941" s="613"/>
      <c r="C941" s="613"/>
      <c r="D941" s="613"/>
      <c r="E941" s="718"/>
      <c r="F941" s="67" t="s">
        <v>1914</v>
      </c>
      <c r="G941" s="230"/>
      <c r="K941" s="222"/>
    </row>
    <row r="942" spans="1:11" ht="28.5">
      <c r="A942" s="229" t="s">
        <v>364</v>
      </c>
      <c r="B942" s="230"/>
      <c r="C942" s="69" t="s">
        <v>3</v>
      </c>
      <c r="D942" s="69" t="s">
        <v>4</v>
      </c>
      <c r="E942" s="69" t="s">
        <v>1826</v>
      </c>
      <c r="F942" s="69" t="s">
        <v>367</v>
      </c>
      <c r="G942" s="69" t="s">
        <v>368</v>
      </c>
      <c r="K942" s="222"/>
    </row>
    <row r="943" spans="1:11" ht="30">
      <c r="A943" s="20">
        <v>3590</v>
      </c>
      <c r="B943" s="70" t="s">
        <v>553</v>
      </c>
      <c r="C943" s="21" t="s">
        <v>12</v>
      </c>
      <c r="D943" s="21" t="s">
        <v>17</v>
      </c>
      <c r="E943" s="22">
        <v>1</v>
      </c>
      <c r="F943" s="22">
        <f>H943</f>
        <v>185.03649999999999</v>
      </c>
      <c r="G943" s="22">
        <f>ROUND(F943*E943,2)</f>
        <v>185.04</v>
      </c>
      <c r="H943" s="337">
        <v>185.03649999999999</v>
      </c>
      <c r="I943" s="23" t="e">
        <f>IF(A943&lt;&gt;0,VLOOKUP(A943,#REF!,2,FALSE),"")</f>
        <v>#REF!</v>
      </c>
      <c r="K943" s="222"/>
    </row>
    <row r="944" spans="1:11" ht="30">
      <c r="A944" s="20">
        <v>88267</v>
      </c>
      <c r="B944" s="70" t="s">
        <v>472</v>
      </c>
      <c r="C944" s="21" t="s">
        <v>12</v>
      </c>
      <c r="D944" s="21" t="s">
        <v>19</v>
      </c>
      <c r="E944" s="22">
        <v>0.52</v>
      </c>
      <c r="F944" s="22">
        <f>H944</f>
        <v>14.7135</v>
      </c>
      <c r="G944" s="22">
        <f>ROUND(F944*E944,2)</f>
        <v>7.65</v>
      </c>
      <c r="H944" s="337">
        <v>14.7135</v>
      </c>
      <c r="I944" s="23" t="e">
        <f>IF(A944&lt;&gt;0,VLOOKUP(A944,#REF!,2,FALSE),"")</f>
        <v>#REF!</v>
      </c>
      <c r="K944" s="222"/>
    </row>
    <row r="945" spans="1:11" ht="45">
      <c r="A945" s="20">
        <v>88248</v>
      </c>
      <c r="B945" s="70" t="s">
        <v>473</v>
      </c>
      <c r="C945" s="21" t="s">
        <v>12</v>
      </c>
      <c r="D945" s="21" t="s">
        <v>19</v>
      </c>
      <c r="E945" s="22">
        <v>0.52</v>
      </c>
      <c r="F945" s="22">
        <f>H945</f>
        <v>11.483499999999999</v>
      </c>
      <c r="G945" s="22">
        <f>ROUND(F945*E945,2)</f>
        <v>5.97</v>
      </c>
      <c r="H945" s="337">
        <v>11.483499999999999</v>
      </c>
      <c r="I945" s="23" t="e">
        <f>IF(A945&lt;&gt;0,VLOOKUP(A945,#REF!,2,FALSE),"")</f>
        <v>#REF!</v>
      </c>
      <c r="K945" s="222"/>
    </row>
    <row r="946" spans="1:11">
      <c r="A946" s="719" t="s">
        <v>1893</v>
      </c>
      <c r="B946" s="719"/>
      <c r="C946" s="719"/>
      <c r="D946" s="719"/>
      <c r="E946" s="719"/>
      <c r="F946" s="719"/>
      <c r="G946" s="71">
        <f>ROUND(SUM(G943:G945),2)</f>
        <v>198.66</v>
      </c>
      <c r="I946" s="23"/>
      <c r="K946" s="222"/>
    </row>
    <row r="947" spans="1:11" ht="32.25" customHeight="1">
      <c r="A947" s="72"/>
      <c r="B947" s="72"/>
      <c r="C947" s="327"/>
      <c r="D947" s="328"/>
      <c r="E947" s="72"/>
      <c r="F947" s="72"/>
      <c r="G947" s="72"/>
      <c r="K947" s="222"/>
    </row>
    <row r="948" spans="1:11" ht="31.5" customHeight="1">
      <c r="A948" s="612" t="s">
        <v>2160</v>
      </c>
      <c r="B948" s="613"/>
      <c r="C948" s="613"/>
      <c r="D948" s="613"/>
      <c r="E948" s="718"/>
      <c r="F948" s="67" t="s">
        <v>1914</v>
      </c>
      <c r="G948" s="230"/>
      <c r="K948" s="222"/>
    </row>
    <row r="949" spans="1:11" ht="28.5">
      <c r="A949" s="229" t="s">
        <v>364</v>
      </c>
      <c r="B949" s="230"/>
      <c r="C949" s="69" t="s">
        <v>3</v>
      </c>
      <c r="D949" s="69" t="s">
        <v>4</v>
      </c>
      <c r="E949" s="69" t="s">
        <v>1826</v>
      </c>
      <c r="F949" s="69" t="s">
        <v>367</v>
      </c>
      <c r="G949" s="69" t="s">
        <v>368</v>
      </c>
      <c r="K949" s="222"/>
    </row>
    <row r="950" spans="1:11" ht="30">
      <c r="A950" s="20">
        <v>83</v>
      </c>
      <c r="B950" s="70" t="s">
        <v>554</v>
      </c>
      <c r="C950" s="21" t="s">
        <v>12</v>
      </c>
      <c r="D950" s="21" t="s">
        <v>17</v>
      </c>
      <c r="E950" s="22">
        <v>1</v>
      </c>
      <c r="F950" s="22">
        <f>H950</f>
        <v>162.25649999999999</v>
      </c>
      <c r="G950" s="22">
        <f>ROUND(F950*E950,2)</f>
        <v>162.26</v>
      </c>
      <c r="H950" s="337">
        <v>162.25649999999999</v>
      </c>
      <c r="I950" s="23" t="e">
        <f>IF(A950&lt;&gt;0,VLOOKUP(A950,#REF!,2,FALSE),"")</f>
        <v>#REF!</v>
      </c>
      <c r="K950" s="222"/>
    </row>
    <row r="951" spans="1:11" ht="30">
      <c r="A951" s="20">
        <v>88267</v>
      </c>
      <c r="B951" s="70" t="s">
        <v>472</v>
      </c>
      <c r="C951" s="21" t="s">
        <v>12</v>
      </c>
      <c r="D951" s="21" t="s">
        <v>19</v>
      </c>
      <c r="E951" s="22">
        <v>0.32</v>
      </c>
      <c r="F951" s="22">
        <f>H951</f>
        <v>14.7135</v>
      </c>
      <c r="G951" s="22">
        <f>ROUND(F951*E951,2)</f>
        <v>4.71</v>
      </c>
      <c r="H951" s="337">
        <v>14.7135</v>
      </c>
      <c r="I951" s="23" t="e">
        <f>IF(A951&lt;&gt;0,VLOOKUP(A951,#REF!,2,FALSE),"")</f>
        <v>#REF!</v>
      </c>
      <c r="K951" s="222"/>
    </row>
    <row r="952" spans="1:11" ht="45">
      <c r="A952" s="20">
        <v>88248</v>
      </c>
      <c r="B952" s="70" t="s">
        <v>473</v>
      </c>
      <c r="C952" s="21" t="s">
        <v>12</v>
      </c>
      <c r="D952" s="21" t="s">
        <v>19</v>
      </c>
      <c r="E952" s="22">
        <v>0.32</v>
      </c>
      <c r="F952" s="22">
        <f>H952</f>
        <v>11.483499999999999</v>
      </c>
      <c r="G952" s="22">
        <f>ROUND(F952*E952,2)</f>
        <v>3.67</v>
      </c>
      <c r="H952" s="337">
        <v>11.483499999999999</v>
      </c>
      <c r="I952" s="23" t="e">
        <f>IF(A952&lt;&gt;0,VLOOKUP(A952,#REF!,2,FALSE),"")</f>
        <v>#REF!</v>
      </c>
      <c r="K952" s="222"/>
    </row>
    <row r="953" spans="1:11" ht="15" customHeight="1">
      <c r="A953" s="719" t="s">
        <v>1893</v>
      </c>
      <c r="B953" s="719"/>
      <c r="C953" s="719"/>
      <c r="D953" s="719"/>
      <c r="E953" s="719"/>
      <c r="F953" s="719"/>
      <c r="G953" s="71">
        <f>ROUND(SUM(G950:G952),2)</f>
        <v>170.64</v>
      </c>
      <c r="K953" s="222"/>
    </row>
    <row r="954" spans="1:11" ht="24.75" customHeight="1">
      <c r="A954" s="72"/>
      <c r="B954" s="72"/>
      <c r="C954" s="327"/>
      <c r="D954" s="328"/>
      <c r="E954" s="72"/>
      <c r="F954" s="72"/>
      <c r="G954" s="72"/>
      <c r="K954" s="222"/>
    </row>
    <row r="955" spans="1:11" ht="15" customHeight="1">
      <c r="A955" s="612" t="s">
        <v>2161</v>
      </c>
      <c r="B955" s="613"/>
      <c r="C955" s="613"/>
      <c r="D955" s="613"/>
      <c r="E955" s="718"/>
      <c r="F955" s="67" t="s">
        <v>1914</v>
      </c>
      <c r="G955" s="230"/>
      <c r="K955" s="222"/>
    </row>
    <row r="956" spans="1:11" ht="28.5">
      <c r="A956" s="229" t="s">
        <v>364</v>
      </c>
      <c r="B956" s="230"/>
      <c r="C956" s="69" t="s">
        <v>3</v>
      </c>
      <c r="D956" s="69" t="s">
        <v>4</v>
      </c>
      <c r="E956" s="69" t="s">
        <v>1826</v>
      </c>
      <c r="F956" s="69" t="s">
        <v>367</v>
      </c>
      <c r="G956" s="69" t="s">
        <v>368</v>
      </c>
      <c r="K956" s="222"/>
    </row>
    <row r="957" spans="1:11" ht="30">
      <c r="A957" s="20">
        <v>13279</v>
      </c>
      <c r="B957" s="70" t="s">
        <v>555</v>
      </c>
      <c r="C957" s="21" t="s">
        <v>12</v>
      </c>
      <c r="D957" s="21" t="s">
        <v>45</v>
      </c>
      <c r="E957" s="22">
        <v>4.32</v>
      </c>
      <c r="F957" s="22">
        <f>H957</f>
        <v>9.7495000000000012</v>
      </c>
      <c r="G957" s="22">
        <f>ROUND(F957*E957,2)</f>
        <v>42.12</v>
      </c>
      <c r="H957" s="337">
        <v>9.7495000000000012</v>
      </c>
      <c r="I957" s="23" t="e">
        <f>IF(A957&lt;&gt;0,VLOOKUP(A957,#REF!,2,FALSE),"")</f>
        <v>#REF!</v>
      </c>
      <c r="K957" s="222"/>
    </row>
    <row r="958" spans="1:11" ht="45">
      <c r="A958" s="20">
        <v>88248</v>
      </c>
      <c r="B958" s="70" t="s">
        <v>473</v>
      </c>
      <c r="C958" s="21" t="s">
        <v>12</v>
      </c>
      <c r="D958" s="21" t="s">
        <v>19</v>
      </c>
      <c r="E958" s="22">
        <v>0.13</v>
      </c>
      <c r="F958" s="22">
        <f>H958</f>
        <v>11.483499999999999</v>
      </c>
      <c r="G958" s="22">
        <f>ROUND(F958*E958,2)</f>
        <v>1.49</v>
      </c>
      <c r="H958" s="337">
        <v>11.483499999999999</v>
      </c>
      <c r="I958" s="23" t="e">
        <f>IF(A958&lt;&gt;0,VLOOKUP(A958,#REF!,2,FALSE),"")</f>
        <v>#REF!</v>
      </c>
      <c r="K958" s="222"/>
    </row>
    <row r="959" spans="1:11" ht="30">
      <c r="A959" s="20">
        <v>88267</v>
      </c>
      <c r="B959" s="70" t="s">
        <v>472</v>
      </c>
      <c r="C959" s="21" t="s">
        <v>12</v>
      </c>
      <c r="D959" s="21" t="s">
        <v>19</v>
      </c>
      <c r="E959" s="22">
        <v>0.13</v>
      </c>
      <c r="F959" s="22">
        <f>H959</f>
        <v>14.7135</v>
      </c>
      <c r="G959" s="22">
        <f>ROUND(F959*E959,2)</f>
        <v>1.91</v>
      </c>
      <c r="H959" s="337">
        <v>14.7135</v>
      </c>
      <c r="I959" s="23" t="e">
        <f>IF(A959&lt;&gt;0,VLOOKUP(A959,#REF!,2,FALSE),"")</f>
        <v>#REF!</v>
      </c>
      <c r="K959" s="222"/>
    </row>
    <row r="960" spans="1:11" ht="15" customHeight="1">
      <c r="A960" s="719" t="s">
        <v>1893</v>
      </c>
      <c r="B960" s="719"/>
      <c r="C960" s="719"/>
      <c r="D960" s="719"/>
      <c r="E960" s="719"/>
      <c r="F960" s="719"/>
      <c r="G960" s="71">
        <f>ROUND(SUM(G957:G959),2)</f>
        <v>45.52</v>
      </c>
      <c r="K960" s="222"/>
    </row>
    <row r="961" spans="1:11" ht="25.5" customHeight="1">
      <c r="A961" s="72"/>
      <c r="B961" s="72"/>
      <c r="C961" s="327"/>
      <c r="D961" s="328"/>
      <c r="E961" s="72"/>
      <c r="F961" s="72"/>
      <c r="G961" s="72"/>
      <c r="K961" s="222"/>
    </row>
    <row r="962" spans="1:11">
      <c r="A962" s="72"/>
      <c r="B962" s="72"/>
      <c r="C962" s="327"/>
      <c r="D962" s="328"/>
      <c r="E962" s="72"/>
      <c r="F962" s="72"/>
      <c r="G962" s="72"/>
      <c r="K962" s="222"/>
    </row>
    <row r="963" spans="1:11" ht="24.75" customHeight="1">
      <c r="A963" s="612" t="s">
        <v>2162</v>
      </c>
      <c r="B963" s="613"/>
      <c r="C963" s="613"/>
      <c r="D963" s="613"/>
      <c r="E963" s="614"/>
      <c r="F963" s="67" t="s">
        <v>1914</v>
      </c>
      <c r="G963" s="230"/>
      <c r="K963" s="222"/>
    </row>
    <row r="964" spans="1:11" ht="28.5">
      <c r="A964" s="229" t="s">
        <v>364</v>
      </c>
      <c r="B964" s="230"/>
      <c r="C964" s="69" t="s">
        <v>3</v>
      </c>
      <c r="D964" s="69" t="s">
        <v>4</v>
      </c>
      <c r="E964" s="69" t="s">
        <v>1826</v>
      </c>
      <c r="F964" s="69" t="s">
        <v>367</v>
      </c>
      <c r="G964" s="69" t="s">
        <v>368</v>
      </c>
      <c r="K964" s="222"/>
    </row>
    <row r="965" spans="1:11">
      <c r="A965" s="20">
        <v>3768</v>
      </c>
      <c r="B965" s="70" t="s">
        <v>556</v>
      </c>
      <c r="C965" s="21" t="s">
        <v>12</v>
      </c>
      <c r="D965" s="21" t="s">
        <v>17</v>
      </c>
      <c r="E965" s="22">
        <v>0.6</v>
      </c>
      <c r="F965" s="22">
        <f>H965</f>
        <v>2.4990000000000001</v>
      </c>
      <c r="G965" s="22">
        <f>ROUND(F965*E965,2)</f>
        <v>1.5</v>
      </c>
      <c r="H965" s="337">
        <v>2.4990000000000001</v>
      </c>
      <c r="I965" s="23" t="e">
        <f>IF(A965&lt;&gt;0,VLOOKUP(A965,#REF!,2,FALSE),"")</f>
        <v>#REF!</v>
      </c>
      <c r="K965" s="222"/>
    </row>
    <row r="966" spans="1:11">
      <c r="A966" s="20">
        <v>5318</v>
      </c>
      <c r="B966" s="70" t="s">
        <v>557</v>
      </c>
      <c r="C966" s="21" t="s">
        <v>12</v>
      </c>
      <c r="D966" s="21" t="s">
        <v>381</v>
      </c>
      <c r="E966" s="22">
        <v>7.0000000000000007E-2</v>
      </c>
      <c r="F966" s="22">
        <f>H966</f>
        <v>14.407499999999999</v>
      </c>
      <c r="G966" s="22">
        <f>ROUND(F966*E966,2)</f>
        <v>1.01</v>
      </c>
      <c r="H966" s="337">
        <v>14.407499999999999</v>
      </c>
      <c r="I966" s="23" t="e">
        <f>IF(A966&lt;&gt;0,VLOOKUP(A966,#REF!,2,FALSE),"")</f>
        <v>#REF!</v>
      </c>
      <c r="K966" s="222"/>
    </row>
    <row r="967" spans="1:11">
      <c r="A967" s="20">
        <v>7288</v>
      </c>
      <c r="B967" s="70" t="s">
        <v>558</v>
      </c>
      <c r="C967" s="21" t="s">
        <v>12</v>
      </c>
      <c r="D967" s="21" t="s">
        <v>381</v>
      </c>
      <c r="E967" s="22">
        <v>0.16</v>
      </c>
      <c r="F967" s="22">
        <f>H967</f>
        <v>22.2105</v>
      </c>
      <c r="G967" s="22">
        <f>ROUND(F967*E967,2)</f>
        <v>3.55</v>
      </c>
      <c r="H967" s="337">
        <v>22.2105</v>
      </c>
      <c r="I967" s="23" t="e">
        <f>IF(A967&lt;&gt;0,VLOOKUP(A967,#REF!,2,FALSE),"")</f>
        <v>#REF!</v>
      </c>
      <c r="K967" s="222"/>
    </row>
    <row r="968" spans="1:11">
      <c r="A968" s="20">
        <v>88310</v>
      </c>
      <c r="B968" s="70" t="s">
        <v>382</v>
      </c>
      <c r="C968" s="21" t="s">
        <v>12</v>
      </c>
      <c r="D968" s="21" t="s">
        <v>19</v>
      </c>
      <c r="E968" s="22">
        <v>0.5</v>
      </c>
      <c r="F968" s="22">
        <f>H968</f>
        <v>15.98</v>
      </c>
      <c r="G968" s="22">
        <f>ROUND(F968*E968,2)</f>
        <v>7.99</v>
      </c>
      <c r="H968" s="337">
        <v>15.98</v>
      </c>
      <c r="I968" s="23" t="e">
        <f>IF(A968&lt;&gt;0,VLOOKUP(A968,#REF!,2,FALSE),"")</f>
        <v>#REF!</v>
      </c>
      <c r="K968" s="222"/>
    </row>
    <row r="969" spans="1:11" ht="30">
      <c r="A969" s="20">
        <v>88316</v>
      </c>
      <c r="B969" s="70" t="s">
        <v>377</v>
      </c>
      <c r="C969" s="21" t="s">
        <v>12</v>
      </c>
      <c r="D969" s="21" t="s">
        <v>19</v>
      </c>
      <c r="E969" s="22">
        <v>0.5</v>
      </c>
      <c r="F969" s="22">
        <f>H969</f>
        <v>11.798000000000002</v>
      </c>
      <c r="G969" s="22">
        <f>ROUND(F969*E969,2)</f>
        <v>5.9</v>
      </c>
      <c r="H969" s="337">
        <v>11.798000000000002</v>
      </c>
      <c r="I969" s="23" t="e">
        <f>IF(A969&lt;&gt;0,VLOOKUP(A969,#REF!,2,FALSE),"")</f>
        <v>#REF!</v>
      </c>
      <c r="K969" s="222"/>
    </row>
    <row r="970" spans="1:11" ht="15" customHeight="1">
      <c r="A970" s="719" t="s">
        <v>1893</v>
      </c>
      <c r="B970" s="719"/>
      <c r="C970" s="719"/>
      <c r="D970" s="719"/>
      <c r="E970" s="719"/>
      <c r="F970" s="719"/>
      <c r="G970" s="71">
        <f>ROUND(SUM(G965:G969),2)</f>
        <v>19.95</v>
      </c>
      <c r="K970" s="222"/>
    </row>
    <row r="971" spans="1:11" ht="26.25" customHeight="1">
      <c r="A971" s="72"/>
      <c r="B971" s="72"/>
      <c r="C971" s="327"/>
      <c r="D971" s="328"/>
      <c r="E971" s="72"/>
      <c r="F971" s="72"/>
      <c r="G971" s="72"/>
      <c r="K971" s="222"/>
    </row>
    <row r="972" spans="1:11" ht="22.5" customHeight="1">
      <c r="A972" s="612" t="s">
        <v>2210</v>
      </c>
      <c r="B972" s="613"/>
      <c r="C972" s="613"/>
      <c r="D972" s="613"/>
      <c r="E972" s="614"/>
      <c r="F972" s="67" t="s">
        <v>70</v>
      </c>
      <c r="G972" s="230"/>
      <c r="K972" s="222"/>
    </row>
    <row r="973" spans="1:11" ht="28.5">
      <c r="A973" s="229" t="s">
        <v>364</v>
      </c>
      <c r="B973" s="230"/>
      <c r="C973" s="69" t="s">
        <v>3</v>
      </c>
      <c r="D973" s="69" t="s">
        <v>4</v>
      </c>
      <c r="E973" s="69" t="s">
        <v>1826</v>
      </c>
      <c r="F973" s="69" t="s">
        <v>367</v>
      </c>
      <c r="G973" s="69" t="s">
        <v>368</v>
      </c>
      <c r="K973" s="222"/>
    </row>
    <row r="974" spans="1:11">
      <c r="A974" s="78">
        <v>3146</v>
      </c>
      <c r="B974" s="77" t="s">
        <v>559</v>
      </c>
      <c r="C974" s="78" t="s">
        <v>12</v>
      </c>
      <c r="D974" s="78" t="s">
        <v>17</v>
      </c>
      <c r="E974" s="73">
        <v>0.2</v>
      </c>
      <c r="F974" s="22">
        <f>H974</f>
        <v>3.06</v>
      </c>
      <c r="G974" s="22">
        <f>ROUND(F974*E974,2)</f>
        <v>0.61</v>
      </c>
      <c r="H974" s="337">
        <v>3.06</v>
      </c>
      <c r="I974" s="23" t="e">
        <f>IF(A974&lt;&gt;0,VLOOKUP(A974,#REF!,2,FALSE),"")</f>
        <v>#REF!</v>
      </c>
      <c r="K974" s="222"/>
    </row>
    <row r="975" spans="1:11" s="23" customFormat="1" ht="30">
      <c r="A975" s="76">
        <v>1246</v>
      </c>
      <c r="B975" s="77" t="s">
        <v>560</v>
      </c>
      <c r="C975" s="78" t="s">
        <v>70</v>
      </c>
      <c r="D975" s="78" t="s">
        <v>17</v>
      </c>
      <c r="E975" s="73">
        <v>1</v>
      </c>
      <c r="F975" s="22">
        <f>H975</f>
        <v>570.05250000000001</v>
      </c>
      <c r="G975" s="22">
        <f>ROUND(F975*E975,2)</f>
        <v>570.04999999999995</v>
      </c>
      <c r="H975" s="346">
        <v>570.05250000000001</v>
      </c>
      <c r="J975" s="346"/>
      <c r="K975" s="222"/>
    </row>
    <row r="976" spans="1:11" ht="30">
      <c r="A976" s="76">
        <v>88267</v>
      </c>
      <c r="B976" s="77" t="s">
        <v>472</v>
      </c>
      <c r="C976" s="78" t="s">
        <v>12</v>
      </c>
      <c r="D976" s="78" t="s">
        <v>19</v>
      </c>
      <c r="E976" s="73">
        <v>1.1499999999999999</v>
      </c>
      <c r="F976" s="22">
        <f>H976</f>
        <v>14.7135</v>
      </c>
      <c r="G976" s="22">
        <f>ROUND(F976*E976,2)</f>
        <v>16.920000000000002</v>
      </c>
      <c r="H976" s="337">
        <v>14.7135</v>
      </c>
      <c r="I976" s="23" t="e">
        <f>IF(A976&lt;&gt;0,VLOOKUP(A976,#REF!,2,FALSE),"")</f>
        <v>#REF!</v>
      </c>
      <c r="K976" s="222"/>
    </row>
    <row r="977" spans="1:11" ht="45">
      <c r="A977" s="76">
        <v>88248</v>
      </c>
      <c r="B977" s="77" t="s">
        <v>473</v>
      </c>
      <c r="C977" s="78" t="s">
        <v>12</v>
      </c>
      <c r="D977" s="78" t="s">
        <v>19</v>
      </c>
      <c r="E977" s="73">
        <v>1.1499999999999999</v>
      </c>
      <c r="F977" s="22">
        <f>H977</f>
        <v>11.483499999999999</v>
      </c>
      <c r="G977" s="22">
        <f>ROUND(F977*E977,2)</f>
        <v>13.21</v>
      </c>
      <c r="H977" s="337">
        <v>11.483499999999999</v>
      </c>
      <c r="I977" s="23" t="e">
        <f>IF(A977&lt;&gt;0,VLOOKUP(A977,#REF!,2,FALSE),"")</f>
        <v>#REF!</v>
      </c>
      <c r="K977" s="222"/>
    </row>
    <row r="978" spans="1:11" ht="15" customHeight="1">
      <c r="A978" s="719" t="s">
        <v>1893</v>
      </c>
      <c r="B978" s="719"/>
      <c r="C978" s="719"/>
      <c r="D978" s="719"/>
      <c r="E978" s="719"/>
      <c r="F978" s="719"/>
      <c r="G978" s="71">
        <f>ROUND(SUM(G974:G977),2)</f>
        <v>600.79</v>
      </c>
      <c r="K978" s="222"/>
    </row>
    <row r="979" spans="1:11" ht="29.25" customHeight="1">
      <c r="A979" s="72"/>
      <c r="B979" s="72"/>
      <c r="C979" s="327"/>
      <c r="D979" s="328"/>
      <c r="E979" s="72"/>
      <c r="F979" s="72"/>
      <c r="G979" s="72"/>
      <c r="K979" s="222"/>
    </row>
    <row r="980" spans="1:11" ht="27.75" customHeight="1">
      <c r="A980" s="612" t="s">
        <v>2212</v>
      </c>
      <c r="B980" s="613"/>
      <c r="C980" s="613"/>
      <c r="D980" s="613"/>
      <c r="E980" s="718"/>
      <c r="F980" s="67" t="s">
        <v>70</v>
      </c>
      <c r="G980" s="230"/>
      <c r="K980" s="222"/>
    </row>
    <row r="981" spans="1:11" ht="28.5">
      <c r="A981" s="229" t="s">
        <v>364</v>
      </c>
      <c r="B981" s="230"/>
      <c r="C981" s="69" t="s">
        <v>3</v>
      </c>
      <c r="D981" s="69" t="s">
        <v>4</v>
      </c>
      <c r="E981" s="69" t="s">
        <v>1826</v>
      </c>
      <c r="F981" s="69" t="s">
        <v>367</v>
      </c>
      <c r="G981" s="69" t="s">
        <v>368</v>
      </c>
      <c r="K981" s="222"/>
    </row>
    <row r="982" spans="1:11">
      <c r="A982" s="76">
        <v>6240</v>
      </c>
      <c r="B982" s="77" t="s">
        <v>2211</v>
      </c>
      <c r="C982" s="78" t="s">
        <v>12</v>
      </c>
      <c r="D982" s="78" t="s">
        <v>17</v>
      </c>
      <c r="E982" s="73">
        <v>1</v>
      </c>
      <c r="F982" s="22">
        <f>H982</f>
        <v>675.24849999999992</v>
      </c>
      <c r="G982" s="22">
        <f>ROUND(F982*E982,2)</f>
        <v>675.25</v>
      </c>
      <c r="H982" s="337">
        <v>675.24849999999992</v>
      </c>
      <c r="I982" s="23" t="e">
        <f>IF(A982&lt;&gt;0,VLOOKUP(A982,#REF!,2,FALSE),"")</f>
        <v>#REF!</v>
      </c>
      <c r="K982" s="222"/>
    </row>
    <row r="983" spans="1:11" ht="30">
      <c r="A983" s="76">
        <v>88316</v>
      </c>
      <c r="B983" s="77" t="s">
        <v>377</v>
      </c>
      <c r="C983" s="78" t="s">
        <v>12</v>
      </c>
      <c r="D983" s="78" t="s">
        <v>19</v>
      </c>
      <c r="E983" s="73">
        <v>1.5</v>
      </c>
      <c r="F983" s="22">
        <f>H983</f>
        <v>11.798000000000002</v>
      </c>
      <c r="G983" s="22">
        <f>ROUND(F983*E983,2)</f>
        <v>17.7</v>
      </c>
      <c r="H983" s="337">
        <v>11.798000000000002</v>
      </c>
      <c r="I983" s="23" t="e">
        <f>IF(A983&lt;&gt;0,VLOOKUP(A983,#REF!,2,FALSE),"")</f>
        <v>#REF!</v>
      </c>
      <c r="K983" s="222"/>
    </row>
    <row r="984" spans="1:11" ht="15" customHeight="1">
      <c r="A984" s="719" t="s">
        <v>1893</v>
      </c>
      <c r="B984" s="719"/>
      <c r="C984" s="719"/>
      <c r="D984" s="719"/>
      <c r="E984" s="719"/>
      <c r="F984" s="719"/>
      <c r="G984" s="71">
        <f>ROUND(SUM(G982:G983),2)</f>
        <v>692.95</v>
      </c>
      <c r="I984" s="23" t="e">
        <f>IF(A984&lt;&gt;0,VLOOKUP(A984,#REF!,2,FALSE),"")</f>
        <v>#REF!</v>
      </c>
      <c r="K984" s="222"/>
    </row>
    <row r="985" spans="1:11" ht="27" customHeight="1">
      <c r="A985" s="72"/>
      <c r="B985" s="72"/>
      <c r="C985" s="327"/>
      <c r="D985" s="328"/>
      <c r="E985" s="72"/>
      <c r="F985" s="72"/>
      <c r="G985" s="72"/>
      <c r="K985" s="222"/>
    </row>
    <row r="986" spans="1:11" ht="32.25" customHeight="1">
      <c r="A986" s="612" t="s">
        <v>2168</v>
      </c>
      <c r="B986" s="613"/>
      <c r="C986" s="613"/>
      <c r="D986" s="613"/>
      <c r="E986" s="614"/>
      <c r="F986" s="67" t="s">
        <v>1914</v>
      </c>
      <c r="G986" s="230"/>
      <c r="K986" s="222"/>
    </row>
    <row r="987" spans="1:11" ht="28.5">
      <c r="A987" s="229" t="s">
        <v>369</v>
      </c>
      <c r="B987" s="230"/>
      <c r="C987" s="69" t="s">
        <v>3</v>
      </c>
      <c r="D987" s="69" t="s">
        <v>4</v>
      </c>
      <c r="E987" s="69" t="s">
        <v>1826</v>
      </c>
      <c r="F987" s="69" t="s">
        <v>367</v>
      </c>
      <c r="G987" s="69" t="s">
        <v>368</v>
      </c>
      <c r="K987" s="222"/>
    </row>
    <row r="988" spans="1:11">
      <c r="A988" s="20">
        <v>88248</v>
      </c>
      <c r="B988" s="70" t="e">
        <f>I988</f>
        <v>#REF!</v>
      </c>
      <c r="C988" s="21" t="s">
        <v>12</v>
      </c>
      <c r="D988" s="21" t="s">
        <v>19</v>
      </c>
      <c r="E988" s="22">
        <v>0.34</v>
      </c>
      <c r="F988" s="22">
        <f>H988</f>
        <v>11.483499999999999</v>
      </c>
      <c r="G988" s="22">
        <f>ROUND(F988*E988,2)</f>
        <v>3.9</v>
      </c>
      <c r="H988" s="337">
        <v>11.483499999999999</v>
      </c>
      <c r="I988" s="23" t="e">
        <f>IF(A988&lt;&gt;0,VLOOKUP(A988,#REF!,2,FALSE),"")</f>
        <v>#REF!</v>
      </c>
      <c r="K988" s="222"/>
    </row>
    <row r="989" spans="1:11">
      <c r="A989" s="20">
        <v>88267</v>
      </c>
      <c r="B989" s="70" t="e">
        <f>I989</f>
        <v>#REF!</v>
      </c>
      <c r="C989" s="21" t="s">
        <v>12</v>
      </c>
      <c r="D989" s="21" t="s">
        <v>19</v>
      </c>
      <c r="E989" s="22">
        <v>0.34</v>
      </c>
      <c r="F989" s="22">
        <f>H989</f>
        <v>14.7135</v>
      </c>
      <c r="G989" s="22">
        <f>ROUND(F989*E989,2)</f>
        <v>5</v>
      </c>
      <c r="H989" s="337">
        <v>14.7135</v>
      </c>
      <c r="I989" s="23" t="e">
        <f>IF(A989&lt;&gt;0,VLOOKUP(A989,#REF!,2,FALSE),"")</f>
        <v>#REF!</v>
      </c>
      <c r="K989" s="222"/>
    </row>
    <row r="990" spans="1:11" ht="45">
      <c r="A990" s="20">
        <v>10905</v>
      </c>
      <c r="B990" s="70" t="s">
        <v>563</v>
      </c>
      <c r="C990" s="21" t="s">
        <v>12</v>
      </c>
      <c r="D990" s="21" t="s">
        <v>17</v>
      </c>
      <c r="E990" s="22">
        <v>1</v>
      </c>
      <c r="F990" s="22">
        <f>H990</f>
        <v>67.583500000000001</v>
      </c>
      <c r="G990" s="22">
        <f>ROUND(F990*E990,2)</f>
        <v>67.58</v>
      </c>
      <c r="H990" s="337">
        <v>67.583500000000001</v>
      </c>
      <c r="I990" s="23" t="e">
        <f>IF(A990&lt;&gt;0,VLOOKUP(A990,#REF!,2,FALSE),"")</f>
        <v>#REF!</v>
      </c>
      <c r="K990" s="222"/>
    </row>
    <row r="991" spans="1:11" ht="15" customHeight="1">
      <c r="A991" s="719" t="s">
        <v>1893</v>
      </c>
      <c r="B991" s="719"/>
      <c r="C991" s="719"/>
      <c r="D991" s="719"/>
      <c r="E991" s="719"/>
      <c r="F991" s="719"/>
      <c r="G991" s="71">
        <f>ROUND(SUM(G988:G990),2)</f>
        <v>76.48</v>
      </c>
      <c r="K991" s="222"/>
    </row>
    <row r="992" spans="1:11" ht="24.75" customHeight="1">
      <c r="A992" s="72"/>
      <c r="B992" s="72"/>
      <c r="C992" s="327"/>
      <c r="D992" s="328"/>
      <c r="E992" s="72"/>
      <c r="F992" s="72"/>
      <c r="G992" s="72"/>
      <c r="K992" s="222"/>
    </row>
    <row r="993" spans="1:11" ht="21" customHeight="1">
      <c r="A993" s="612" t="s">
        <v>2169</v>
      </c>
      <c r="B993" s="613"/>
      <c r="C993" s="613"/>
      <c r="D993" s="613"/>
      <c r="E993" s="614"/>
      <c r="F993" s="67" t="s">
        <v>44</v>
      </c>
      <c r="G993" s="230"/>
      <c r="K993" s="222"/>
    </row>
    <row r="994" spans="1:11" ht="28.5">
      <c r="A994" s="229" t="s">
        <v>364</v>
      </c>
      <c r="B994" s="230"/>
      <c r="C994" s="69" t="s">
        <v>3</v>
      </c>
      <c r="D994" s="69" t="s">
        <v>4</v>
      </c>
      <c r="E994" s="69" t="s">
        <v>1826</v>
      </c>
      <c r="F994" s="69" t="s">
        <v>367</v>
      </c>
      <c r="G994" s="69" t="s">
        <v>368</v>
      </c>
      <c r="K994" s="222"/>
    </row>
    <row r="995" spans="1:11" s="38" customFormat="1" ht="30">
      <c r="A995" s="20">
        <v>3972</v>
      </c>
      <c r="B995" s="70" t="s">
        <v>564</v>
      </c>
      <c r="C995" s="21" t="s">
        <v>44</v>
      </c>
      <c r="D995" s="21" t="s">
        <v>17</v>
      </c>
      <c r="E995" s="22">
        <v>1.05</v>
      </c>
      <c r="F995" s="22">
        <f>H995</f>
        <v>93.075000000000003</v>
      </c>
      <c r="G995" s="22">
        <f>ROUND(F995*E995,2)</f>
        <v>97.73</v>
      </c>
      <c r="H995" s="336">
        <v>93.075000000000003</v>
      </c>
      <c r="I995" s="38" t="e">
        <f>IF(A995&lt;&gt;0,VLOOKUP(A995,#REF!,2,FALSE),"")</f>
        <v>#REF!</v>
      </c>
      <c r="J995" s="336"/>
      <c r="K995" s="222"/>
    </row>
    <row r="996" spans="1:11" ht="30">
      <c r="A996" s="20">
        <v>88264</v>
      </c>
      <c r="B996" s="70" t="s">
        <v>379</v>
      </c>
      <c r="C996" s="21" t="s">
        <v>12</v>
      </c>
      <c r="D996" s="21" t="s">
        <v>19</v>
      </c>
      <c r="E996" s="22">
        <v>0.75</v>
      </c>
      <c r="F996" s="22">
        <f>H996</f>
        <v>15.249000000000001</v>
      </c>
      <c r="G996" s="22">
        <f>ROUND(F996*E996,2)</f>
        <v>11.44</v>
      </c>
      <c r="H996" s="337">
        <v>15.249000000000001</v>
      </c>
      <c r="I996" s="23" t="e">
        <f>IF(A996&lt;&gt;0,VLOOKUP(A996,#REF!,2,FALSE),"")</f>
        <v>#REF!</v>
      </c>
      <c r="K996" s="222"/>
    </row>
    <row r="997" spans="1:11" ht="30">
      <c r="A997" s="20">
        <v>88316</v>
      </c>
      <c r="B997" s="70" t="s">
        <v>377</v>
      </c>
      <c r="C997" s="21" t="s">
        <v>12</v>
      </c>
      <c r="D997" s="21" t="s">
        <v>19</v>
      </c>
      <c r="E997" s="22">
        <v>0.75</v>
      </c>
      <c r="F997" s="22">
        <f>H997</f>
        <v>11.798000000000002</v>
      </c>
      <c r="G997" s="22">
        <f>ROUND(F997*E997,2)</f>
        <v>8.85</v>
      </c>
      <c r="H997" s="337">
        <v>11.798000000000002</v>
      </c>
      <c r="I997" s="23" t="e">
        <f>IF(A997&lt;&gt;0,VLOOKUP(A997,#REF!,2,FALSE),"")</f>
        <v>#REF!</v>
      </c>
      <c r="K997" s="222"/>
    </row>
    <row r="998" spans="1:11" ht="15" customHeight="1">
      <c r="A998" s="719" t="s">
        <v>1893</v>
      </c>
      <c r="B998" s="719"/>
      <c r="C998" s="719"/>
      <c r="D998" s="719"/>
      <c r="E998" s="719"/>
      <c r="F998" s="719"/>
      <c r="G998" s="71">
        <f>ROUND(SUM(G995:G997),2)</f>
        <v>118.02</v>
      </c>
      <c r="K998" s="222"/>
    </row>
    <row r="999" spans="1:11" ht="22.5" customHeight="1">
      <c r="A999" s="72"/>
      <c r="B999" s="72"/>
      <c r="C999" s="327"/>
      <c r="D999" s="328"/>
      <c r="E999" s="72"/>
      <c r="F999" s="72"/>
      <c r="G999" s="72"/>
      <c r="K999" s="222"/>
    </row>
    <row r="1000" spans="1:11" ht="23.25" customHeight="1">
      <c r="A1000" s="612" t="s">
        <v>2170</v>
      </c>
      <c r="B1000" s="613"/>
      <c r="C1000" s="613"/>
      <c r="D1000" s="613"/>
      <c r="E1000" s="614"/>
      <c r="F1000" s="67" t="s">
        <v>1914</v>
      </c>
      <c r="G1000" s="230"/>
      <c r="K1000" s="222"/>
    </row>
    <row r="1001" spans="1:11" ht="28.5">
      <c r="A1001" s="229" t="s">
        <v>364</v>
      </c>
      <c r="B1001" s="230"/>
      <c r="C1001" s="69" t="s">
        <v>3</v>
      </c>
      <c r="D1001" s="69" t="s">
        <v>4</v>
      </c>
      <c r="E1001" s="69" t="s">
        <v>1826</v>
      </c>
      <c r="F1001" s="69" t="s">
        <v>367</v>
      </c>
      <c r="G1001" s="69" t="s">
        <v>368</v>
      </c>
      <c r="K1001" s="222"/>
    </row>
    <row r="1002" spans="1:11">
      <c r="A1002" s="20">
        <v>38193</v>
      </c>
      <c r="B1002" s="70" t="s">
        <v>188</v>
      </c>
      <c r="C1002" s="21" t="s">
        <v>12</v>
      </c>
      <c r="D1002" s="21" t="s">
        <v>17</v>
      </c>
      <c r="E1002" s="22">
        <v>1</v>
      </c>
      <c r="F1002" s="22">
        <f>H1002</f>
        <v>8.0495000000000001</v>
      </c>
      <c r="G1002" s="22">
        <f>ROUND(F1002*E1002,2)</f>
        <v>8.0500000000000007</v>
      </c>
      <c r="H1002" s="337">
        <v>8.0495000000000001</v>
      </c>
      <c r="I1002" s="23" t="e">
        <f>IF(A1002&lt;&gt;0,VLOOKUP(A1002,#REF!,2,FALSE),"")</f>
        <v>#REF!</v>
      </c>
      <c r="K1002" s="222"/>
    </row>
    <row r="1003" spans="1:11" ht="30">
      <c r="A1003" s="20">
        <v>88264</v>
      </c>
      <c r="B1003" s="70" t="s">
        <v>379</v>
      </c>
      <c r="C1003" s="21" t="s">
        <v>12</v>
      </c>
      <c r="D1003" s="21" t="s">
        <v>19</v>
      </c>
      <c r="E1003" s="22">
        <v>0.14000000000000001</v>
      </c>
      <c r="F1003" s="22">
        <f>H1003</f>
        <v>15.249000000000001</v>
      </c>
      <c r="G1003" s="22">
        <f>ROUND(F1003*E1003,2)</f>
        <v>2.13</v>
      </c>
      <c r="H1003" s="337">
        <v>15.249000000000001</v>
      </c>
      <c r="I1003" s="23" t="e">
        <f>IF(A1003&lt;&gt;0,VLOOKUP(A1003,#REF!,2,FALSE),"")</f>
        <v>#REF!</v>
      </c>
      <c r="K1003" s="222"/>
    </row>
    <row r="1004" spans="1:11" ht="30">
      <c r="A1004" s="20">
        <v>88247</v>
      </c>
      <c r="B1004" s="70" t="s">
        <v>510</v>
      </c>
      <c r="C1004" s="21" t="s">
        <v>12</v>
      </c>
      <c r="D1004" s="21" t="s">
        <v>19</v>
      </c>
      <c r="E1004" s="22">
        <v>0.14000000000000001</v>
      </c>
      <c r="F1004" s="22">
        <f>H1004</f>
        <v>11.9085</v>
      </c>
      <c r="G1004" s="22">
        <f>ROUND(F1004*E1004,2)</f>
        <v>1.67</v>
      </c>
      <c r="H1004" s="337">
        <v>11.9085</v>
      </c>
      <c r="I1004" s="23" t="e">
        <f>IF(A1004&lt;&gt;0,VLOOKUP(A1004,#REF!,2,FALSE),"")</f>
        <v>#REF!</v>
      </c>
      <c r="K1004" s="222"/>
    </row>
    <row r="1005" spans="1:11" ht="15" customHeight="1">
      <c r="A1005" s="719" t="s">
        <v>1893</v>
      </c>
      <c r="B1005" s="719"/>
      <c r="C1005" s="719"/>
      <c r="D1005" s="719"/>
      <c r="E1005" s="719"/>
      <c r="F1005" s="719"/>
      <c r="G1005" s="71">
        <f>ROUND(SUM(G1002:G1004),2)</f>
        <v>11.85</v>
      </c>
      <c r="K1005" s="222"/>
    </row>
    <row r="1006" spans="1:11" ht="23.25" customHeight="1">
      <c r="A1006" s="72"/>
      <c r="B1006" s="72"/>
      <c r="C1006" s="327"/>
      <c r="D1006" s="328"/>
      <c r="E1006" s="72"/>
      <c r="F1006" s="72"/>
      <c r="G1006" s="72"/>
      <c r="K1006" s="222"/>
    </row>
    <row r="1007" spans="1:11" ht="26.25" customHeight="1">
      <c r="A1007" s="612" t="s">
        <v>2171</v>
      </c>
      <c r="B1007" s="613"/>
      <c r="C1007" s="613"/>
      <c r="D1007" s="613"/>
      <c r="E1007" s="614"/>
      <c r="F1007" s="67" t="s">
        <v>1914</v>
      </c>
      <c r="G1007" s="230"/>
      <c r="K1007" s="222"/>
    </row>
    <row r="1008" spans="1:11" ht="28.5">
      <c r="A1008" s="229" t="s">
        <v>369</v>
      </c>
      <c r="B1008" s="230"/>
      <c r="C1008" s="69" t="s">
        <v>3</v>
      </c>
      <c r="D1008" s="69" t="s">
        <v>4</v>
      </c>
      <c r="E1008" s="69" t="s">
        <v>1826</v>
      </c>
      <c r="F1008" s="69" t="s">
        <v>367</v>
      </c>
      <c r="G1008" s="69" t="s">
        <v>368</v>
      </c>
      <c r="K1008" s="222"/>
    </row>
    <row r="1009" spans="1:11" ht="30">
      <c r="A1009" s="20">
        <v>88248</v>
      </c>
      <c r="B1009" s="70" t="s">
        <v>561</v>
      </c>
      <c r="C1009" s="21" t="s">
        <v>12</v>
      </c>
      <c r="D1009" s="21" t="s">
        <v>19</v>
      </c>
      <c r="E1009" s="22">
        <v>0.14000000000000001</v>
      </c>
      <c r="F1009" s="22">
        <f>H1009</f>
        <v>11.483499999999999</v>
      </c>
      <c r="G1009" s="22">
        <f>ROUND(F1009*E1009,2)</f>
        <v>1.61</v>
      </c>
      <c r="H1009" s="337">
        <v>11.483499999999999</v>
      </c>
      <c r="I1009" s="23" t="e">
        <f>IF(A1009&lt;&gt;0,VLOOKUP(A1009,#REF!,2,FALSE),"")</f>
        <v>#REF!</v>
      </c>
      <c r="K1009" s="222"/>
    </row>
    <row r="1010" spans="1:11">
      <c r="A1010" s="20">
        <v>88267</v>
      </c>
      <c r="B1010" s="70" t="s">
        <v>562</v>
      </c>
      <c r="C1010" s="21" t="s">
        <v>12</v>
      </c>
      <c r="D1010" s="21" t="s">
        <v>19</v>
      </c>
      <c r="E1010" s="22">
        <v>0.14000000000000001</v>
      </c>
      <c r="F1010" s="22">
        <f>H1010</f>
        <v>14.7135</v>
      </c>
      <c r="G1010" s="22">
        <f>ROUND(F1010*E1010,2)</f>
        <v>2.06</v>
      </c>
      <c r="H1010" s="337">
        <v>14.7135</v>
      </c>
      <c r="I1010" s="23" t="e">
        <f>IF(A1010&lt;&gt;0,VLOOKUP(A1010,#REF!,2,FALSE),"")</f>
        <v>#REF!</v>
      </c>
      <c r="K1010" s="222"/>
    </row>
    <row r="1011" spans="1:11" s="23" customFormat="1">
      <c r="A1011" s="21" t="s">
        <v>565</v>
      </c>
      <c r="B1011" s="70" t="s">
        <v>189</v>
      </c>
      <c r="C1011" s="21" t="s">
        <v>70</v>
      </c>
      <c r="D1011" s="21" t="s">
        <v>17</v>
      </c>
      <c r="E1011" s="22">
        <v>1</v>
      </c>
      <c r="F1011" s="22">
        <f>H1011</f>
        <v>2441.1999999999998</v>
      </c>
      <c r="G1011" s="22">
        <f>ROUND(F1011*E1011,2)</f>
        <v>2441.1999999999998</v>
      </c>
      <c r="H1011" s="346">
        <v>2441.1999999999998</v>
      </c>
      <c r="J1011" s="346"/>
      <c r="K1011" s="222"/>
    </row>
    <row r="1012" spans="1:11" ht="15" customHeight="1">
      <c r="A1012" s="719" t="s">
        <v>1893</v>
      </c>
      <c r="B1012" s="719"/>
      <c r="C1012" s="719"/>
      <c r="D1012" s="719"/>
      <c r="E1012" s="719"/>
      <c r="F1012" s="719"/>
      <c r="G1012" s="71">
        <f>ROUND(SUM(G1009:G1011),2)</f>
        <v>2444.87</v>
      </c>
      <c r="K1012" s="222"/>
    </row>
    <row r="1013" spans="1:11" ht="25.5" customHeight="1">
      <c r="A1013" s="72"/>
      <c r="B1013" s="72"/>
      <c r="C1013" s="327"/>
      <c r="D1013" s="328"/>
      <c r="E1013" s="72"/>
      <c r="F1013" s="72"/>
      <c r="G1013" s="72"/>
      <c r="K1013" s="222"/>
    </row>
    <row r="1014" spans="1:11" ht="15" customHeight="1">
      <c r="A1014" s="612" t="s">
        <v>2172</v>
      </c>
      <c r="B1014" s="613"/>
      <c r="C1014" s="613"/>
      <c r="D1014" s="613"/>
      <c r="E1014" s="614"/>
      <c r="F1014" s="67" t="s">
        <v>70</v>
      </c>
      <c r="G1014" s="230"/>
      <c r="K1014" s="222"/>
    </row>
    <row r="1015" spans="1:11" ht="28.5">
      <c r="A1015" s="229" t="s">
        <v>364</v>
      </c>
      <c r="B1015" s="230"/>
      <c r="C1015" s="69" t="s">
        <v>3</v>
      </c>
      <c r="D1015" s="69" t="s">
        <v>4</v>
      </c>
      <c r="E1015" s="69" t="s">
        <v>1826</v>
      </c>
      <c r="F1015" s="69" t="s">
        <v>367</v>
      </c>
      <c r="G1015" s="69" t="s">
        <v>368</v>
      </c>
      <c r="K1015" s="222"/>
    </row>
    <row r="1016" spans="1:11">
      <c r="A1016" s="20">
        <v>10405</v>
      </c>
      <c r="B1016" s="70" t="s">
        <v>566</v>
      </c>
      <c r="C1016" s="21" t="s">
        <v>12</v>
      </c>
      <c r="D1016" s="21" t="s">
        <v>17</v>
      </c>
      <c r="E1016" s="22">
        <v>1</v>
      </c>
      <c r="F1016" s="22">
        <f>H1016</f>
        <v>315.96200000000005</v>
      </c>
      <c r="G1016" s="22">
        <f>ROUND(F1016*E1016,2)</f>
        <v>315.95999999999998</v>
      </c>
      <c r="H1016" s="337">
        <v>315.96200000000005</v>
      </c>
      <c r="I1016" s="23" t="e">
        <f>IF(A1016&lt;&gt;0,VLOOKUP(A1016,#REF!,2,FALSE),"")</f>
        <v>#REF!</v>
      </c>
      <c r="K1016" s="222"/>
    </row>
    <row r="1017" spans="1:11" ht="30">
      <c r="A1017" s="20">
        <v>88267</v>
      </c>
      <c r="B1017" s="70" t="s">
        <v>472</v>
      </c>
      <c r="C1017" s="21" t="s">
        <v>12</v>
      </c>
      <c r="D1017" s="21" t="s">
        <v>19</v>
      </c>
      <c r="E1017" s="22">
        <v>1</v>
      </c>
      <c r="F1017" s="22">
        <f>H1017</f>
        <v>14.7135</v>
      </c>
      <c r="G1017" s="22">
        <f>ROUND(F1017*E1017,2)</f>
        <v>14.71</v>
      </c>
      <c r="H1017" s="337">
        <v>14.7135</v>
      </c>
      <c r="I1017" s="23" t="e">
        <f>IF(A1017&lt;&gt;0,VLOOKUP(A1017,#REF!,2,FALSE),"")</f>
        <v>#REF!</v>
      </c>
      <c r="K1017" s="222"/>
    </row>
    <row r="1018" spans="1:11" ht="45">
      <c r="A1018" s="20">
        <v>88248</v>
      </c>
      <c r="B1018" s="70" t="s">
        <v>473</v>
      </c>
      <c r="C1018" s="21" t="s">
        <v>12</v>
      </c>
      <c r="D1018" s="21" t="s">
        <v>19</v>
      </c>
      <c r="E1018" s="22">
        <v>1</v>
      </c>
      <c r="F1018" s="22">
        <f>H1018</f>
        <v>11.483499999999999</v>
      </c>
      <c r="G1018" s="22">
        <f>ROUND(F1018*E1018,2)</f>
        <v>11.48</v>
      </c>
      <c r="H1018" s="337">
        <v>11.483499999999999</v>
      </c>
      <c r="I1018" s="23" t="e">
        <f>IF(A1018&lt;&gt;0,VLOOKUP(A1018,#REF!,2,FALSE),"")</f>
        <v>#REF!</v>
      </c>
      <c r="K1018" s="222"/>
    </row>
    <row r="1019" spans="1:11" ht="15" customHeight="1">
      <c r="A1019" s="719" t="s">
        <v>1893</v>
      </c>
      <c r="B1019" s="719"/>
      <c r="C1019" s="719"/>
      <c r="D1019" s="719"/>
      <c r="E1019" s="719"/>
      <c r="F1019" s="719"/>
      <c r="G1019" s="71">
        <f>ROUND(SUM(G1016:G1018),2)</f>
        <v>342.15</v>
      </c>
      <c r="K1019" s="222"/>
    </row>
    <row r="1020" spans="1:11" ht="34.5" customHeight="1">
      <c r="A1020" s="72"/>
      <c r="B1020" s="72"/>
      <c r="C1020" s="327"/>
      <c r="D1020" s="328"/>
      <c r="E1020" s="72"/>
      <c r="F1020" s="72"/>
      <c r="G1020" s="72"/>
      <c r="K1020" s="222"/>
    </row>
    <row r="1021" spans="1:11" ht="37.5" customHeight="1">
      <c r="A1021" s="612" t="s">
        <v>2221</v>
      </c>
      <c r="B1021" s="613"/>
      <c r="C1021" s="613"/>
      <c r="D1021" s="613"/>
      <c r="E1021" s="718"/>
      <c r="F1021" s="67" t="s">
        <v>1914</v>
      </c>
      <c r="G1021" s="230"/>
      <c r="K1021" s="222"/>
    </row>
    <row r="1022" spans="1:11" ht="28.5">
      <c r="A1022" s="229" t="s">
        <v>364</v>
      </c>
      <c r="B1022" s="230"/>
      <c r="C1022" s="69" t="s">
        <v>3</v>
      </c>
      <c r="D1022" s="69" t="s">
        <v>4</v>
      </c>
      <c r="E1022" s="69" t="s">
        <v>1826</v>
      </c>
      <c r="F1022" s="69" t="s">
        <v>367</v>
      </c>
      <c r="G1022" s="69" t="s">
        <v>368</v>
      </c>
      <c r="K1022" s="222"/>
    </row>
    <row r="1023" spans="1:11" ht="75">
      <c r="A1023" s="20">
        <v>38051</v>
      </c>
      <c r="B1023" s="70" t="s">
        <v>567</v>
      </c>
      <c r="C1023" s="21" t="s">
        <v>12</v>
      </c>
      <c r="D1023" s="21" t="s">
        <v>52</v>
      </c>
      <c r="E1023" s="22">
        <v>1.0149999999999999</v>
      </c>
      <c r="F1023" s="22">
        <f>H1023</f>
        <v>4.7939999999999996</v>
      </c>
      <c r="G1023" s="22">
        <f>ROUND(F1023*E1023,2)</f>
        <v>4.87</v>
      </c>
      <c r="H1023" s="337">
        <v>4.7939999999999996</v>
      </c>
      <c r="I1023" s="23" t="e">
        <f>IF(A1023&lt;&gt;0,VLOOKUP(A1023,#REF!,2,FALSE),"")</f>
        <v>#REF!</v>
      </c>
      <c r="K1023" s="222"/>
    </row>
    <row r="1024" spans="1:11" ht="30">
      <c r="A1024" s="20">
        <v>88316</v>
      </c>
      <c r="B1024" s="70" t="s">
        <v>377</v>
      </c>
      <c r="C1024" s="21" t="s">
        <v>12</v>
      </c>
      <c r="D1024" s="21" t="s">
        <v>19</v>
      </c>
      <c r="E1024" s="22">
        <v>0.45</v>
      </c>
      <c r="F1024" s="22">
        <f>H1024</f>
        <v>11.798000000000002</v>
      </c>
      <c r="G1024" s="22">
        <f>ROUND(F1024*E1024,2)</f>
        <v>5.31</v>
      </c>
      <c r="H1024" s="337">
        <v>11.798000000000002</v>
      </c>
      <c r="I1024" s="23" t="e">
        <f>IF(A1024&lt;&gt;0,VLOOKUP(A1024,#REF!,2,FALSE),"")</f>
        <v>#REF!</v>
      </c>
      <c r="K1024" s="222"/>
    </row>
    <row r="1025" spans="1:11" ht="15" customHeight="1">
      <c r="A1025" s="719" t="s">
        <v>1893</v>
      </c>
      <c r="B1025" s="719"/>
      <c r="C1025" s="719"/>
      <c r="D1025" s="719"/>
      <c r="E1025" s="719"/>
      <c r="F1025" s="719"/>
      <c r="G1025" s="71">
        <f>ROUND(SUM(G1023:G1024),2)</f>
        <v>10.18</v>
      </c>
      <c r="K1025" s="222"/>
    </row>
    <row r="1026" spans="1:11" ht="30" customHeight="1">
      <c r="A1026" s="72"/>
      <c r="B1026" s="72"/>
      <c r="C1026" s="327"/>
      <c r="D1026" s="328"/>
      <c r="E1026" s="72"/>
      <c r="F1026" s="72"/>
      <c r="G1026" s="72"/>
      <c r="K1026" s="222"/>
    </row>
    <row r="1027" spans="1:11" ht="21" customHeight="1">
      <c r="A1027" s="612" t="s">
        <v>2585</v>
      </c>
      <c r="B1027" s="613"/>
      <c r="C1027" s="613"/>
      <c r="D1027" s="613"/>
      <c r="E1027" s="613"/>
      <c r="F1027" s="67" t="s">
        <v>44</v>
      </c>
      <c r="G1027" s="87">
        <v>749</v>
      </c>
      <c r="K1027" s="222"/>
    </row>
    <row r="1028" spans="1:11" ht="28.5">
      <c r="A1028" s="623" t="s">
        <v>364</v>
      </c>
      <c r="B1028" s="624"/>
      <c r="C1028" s="69" t="s">
        <v>3</v>
      </c>
      <c r="D1028" s="69" t="s">
        <v>4</v>
      </c>
      <c r="E1028" s="69" t="s">
        <v>1826</v>
      </c>
      <c r="F1028" s="69" t="s">
        <v>367</v>
      </c>
      <c r="G1028" s="69" t="s">
        <v>368</v>
      </c>
      <c r="K1028" s="222"/>
    </row>
    <row r="1029" spans="1:11" s="38" customFormat="1" ht="45">
      <c r="A1029" s="20">
        <v>858</v>
      </c>
      <c r="B1029" s="70" t="s">
        <v>568</v>
      </c>
      <c r="C1029" s="21" t="s">
        <v>44</v>
      </c>
      <c r="D1029" s="21" t="s">
        <v>17</v>
      </c>
      <c r="E1029" s="22">
        <v>1</v>
      </c>
      <c r="F1029" s="22">
        <f>H1029</f>
        <v>47.277000000000001</v>
      </c>
      <c r="G1029" s="22">
        <f>ROUND(F1029*E1029,2)</f>
        <v>47.28</v>
      </c>
      <c r="H1029" s="336">
        <v>47.277000000000001</v>
      </c>
      <c r="I1029" s="38" t="e">
        <f>IF(A1029&lt;&gt;0,VLOOKUP(A1029,#REF!,2,FALSE),"")</f>
        <v>#REF!</v>
      </c>
      <c r="J1029" s="336"/>
      <c r="K1029" s="222"/>
    </row>
    <row r="1030" spans="1:11" ht="30">
      <c r="A1030" s="20">
        <v>88264</v>
      </c>
      <c r="B1030" s="70" t="s">
        <v>379</v>
      </c>
      <c r="C1030" s="21" t="s">
        <v>12</v>
      </c>
      <c r="D1030" s="21" t="s">
        <v>19</v>
      </c>
      <c r="E1030" s="22">
        <v>0.3</v>
      </c>
      <c r="F1030" s="22">
        <f>H1030</f>
        <v>15.249000000000001</v>
      </c>
      <c r="G1030" s="22">
        <f>ROUND(F1030*E1030,2)</f>
        <v>4.57</v>
      </c>
      <c r="H1030" s="337">
        <v>15.249000000000001</v>
      </c>
      <c r="I1030" s="23" t="e">
        <f>IF(A1030&lt;&gt;0,VLOOKUP(A1030,#REF!,2,FALSE),"")</f>
        <v>#REF!</v>
      </c>
      <c r="K1030" s="222"/>
    </row>
    <row r="1031" spans="1:11" ht="30">
      <c r="A1031" s="20">
        <v>88316</v>
      </c>
      <c r="B1031" s="70" t="s">
        <v>377</v>
      </c>
      <c r="C1031" s="21" t="s">
        <v>12</v>
      </c>
      <c r="D1031" s="21" t="s">
        <v>19</v>
      </c>
      <c r="E1031" s="22">
        <v>0.3</v>
      </c>
      <c r="F1031" s="22">
        <f>H1031</f>
        <v>11.798000000000002</v>
      </c>
      <c r="G1031" s="22">
        <f>ROUND(F1031*E1031,2)</f>
        <v>3.54</v>
      </c>
      <c r="H1031" s="337">
        <v>11.798000000000002</v>
      </c>
      <c r="I1031" s="23" t="e">
        <f>IF(A1031&lt;&gt;0,VLOOKUP(A1031,#REF!,2,FALSE),"")</f>
        <v>#REF!</v>
      </c>
      <c r="K1031" s="222"/>
    </row>
    <row r="1032" spans="1:11" ht="15" customHeight="1">
      <c r="A1032" s="719" t="s">
        <v>1893</v>
      </c>
      <c r="B1032" s="719"/>
      <c r="C1032" s="719"/>
      <c r="D1032" s="719"/>
      <c r="E1032" s="719"/>
      <c r="F1032" s="719"/>
      <c r="G1032" s="71">
        <f>ROUND(SUM(G1029:G1031),2)</f>
        <v>55.39</v>
      </c>
      <c r="K1032" s="222"/>
    </row>
    <row r="1033" spans="1:11" ht="27" customHeight="1">
      <c r="A1033" s="72"/>
      <c r="B1033" s="72"/>
      <c r="C1033" s="752"/>
      <c r="D1033" s="753"/>
      <c r="E1033" s="72"/>
      <c r="F1033" s="72"/>
      <c r="G1033" s="72"/>
      <c r="K1033" s="222"/>
    </row>
    <row r="1034" spans="1:11" ht="25.5" customHeight="1">
      <c r="A1034" s="612" t="s">
        <v>2223</v>
      </c>
      <c r="B1034" s="613"/>
      <c r="C1034" s="613"/>
      <c r="D1034" s="613"/>
      <c r="E1034" s="613"/>
      <c r="F1034" s="67" t="s">
        <v>44</v>
      </c>
      <c r="G1034" s="80"/>
      <c r="K1034" s="222"/>
    </row>
    <row r="1035" spans="1:11" ht="28.5">
      <c r="A1035" s="623" t="s">
        <v>366</v>
      </c>
      <c r="B1035" s="624"/>
      <c r="C1035" s="69" t="s">
        <v>3</v>
      </c>
      <c r="D1035" s="69" t="s">
        <v>4</v>
      </c>
      <c r="E1035" s="69" t="s">
        <v>1826</v>
      </c>
      <c r="F1035" s="69" t="s">
        <v>367</v>
      </c>
      <c r="G1035" s="69" t="s">
        <v>368</v>
      </c>
      <c r="K1035" s="222"/>
    </row>
    <row r="1036" spans="1:11" s="38" customFormat="1" ht="30">
      <c r="A1036" s="20">
        <v>12152</v>
      </c>
      <c r="B1036" s="70" t="s">
        <v>2584</v>
      </c>
      <c r="C1036" s="21" t="s">
        <v>44</v>
      </c>
      <c r="D1036" s="21" t="s">
        <v>17</v>
      </c>
      <c r="E1036" s="22">
        <v>1</v>
      </c>
      <c r="F1036" s="22">
        <f>H1036</f>
        <v>57.8</v>
      </c>
      <c r="G1036" s="22">
        <f>ROUND(F1036*E1036,2)</f>
        <v>57.8</v>
      </c>
      <c r="H1036" s="336">
        <v>57.8</v>
      </c>
      <c r="I1036" s="38" t="e">
        <f>IF(A1036&lt;&gt;0,VLOOKUP(A1036,#REF!,2,FALSE),"")</f>
        <v>#REF!</v>
      </c>
      <c r="J1036" s="336"/>
      <c r="K1036" s="222"/>
    </row>
    <row r="1037" spans="1:11" ht="30">
      <c r="A1037" s="20">
        <v>88264</v>
      </c>
      <c r="B1037" s="70" t="s">
        <v>379</v>
      </c>
      <c r="C1037" s="21" t="s">
        <v>12</v>
      </c>
      <c r="D1037" s="21" t="s">
        <v>19</v>
      </c>
      <c r="E1037" s="22">
        <v>0.2</v>
      </c>
      <c r="F1037" s="22">
        <f>H1037</f>
        <v>15.249000000000001</v>
      </c>
      <c r="G1037" s="22">
        <f>ROUND(F1037*E1037,2)</f>
        <v>3.05</v>
      </c>
      <c r="H1037" s="337">
        <v>15.249000000000001</v>
      </c>
      <c r="I1037" s="23" t="e">
        <f>IF(A1037&lt;&gt;0,VLOOKUP(A1037,#REF!,2,FALSE),"")</f>
        <v>#REF!</v>
      </c>
      <c r="K1037" s="222"/>
    </row>
    <row r="1038" spans="1:11" ht="30">
      <c r="A1038" s="20">
        <v>88247</v>
      </c>
      <c r="B1038" s="70" t="s">
        <v>510</v>
      </c>
      <c r="C1038" s="21" t="s">
        <v>12</v>
      </c>
      <c r="D1038" s="21" t="s">
        <v>19</v>
      </c>
      <c r="E1038" s="22">
        <v>0.2</v>
      </c>
      <c r="F1038" s="22">
        <f>H1038</f>
        <v>11.9085</v>
      </c>
      <c r="G1038" s="22">
        <f>ROUND(F1038*E1038,2)</f>
        <v>2.38</v>
      </c>
      <c r="H1038" s="337">
        <v>11.9085</v>
      </c>
      <c r="I1038" s="23" t="e">
        <f>IF(A1038&lt;&gt;0,VLOOKUP(A1038,#REF!,2,FALSE),"")</f>
        <v>#REF!</v>
      </c>
      <c r="K1038" s="222"/>
    </row>
    <row r="1039" spans="1:11" ht="15" customHeight="1">
      <c r="A1039" s="719" t="s">
        <v>1893</v>
      </c>
      <c r="B1039" s="719"/>
      <c r="C1039" s="719"/>
      <c r="D1039" s="719"/>
      <c r="E1039" s="719"/>
      <c r="F1039" s="719"/>
      <c r="G1039" s="71">
        <f>ROUND(SUM(G1036:G1038),2)</f>
        <v>63.23</v>
      </c>
      <c r="K1039" s="222"/>
    </row>
    <row r="1040" spans="1:11" ht="27" customHeight="1">
      <c r="A1040" s="72"/>
      <c r="B1040" s="72"/>
      <c r="C1040" s="752"/>
      <c r="D1040" s="753"/>
      <c r="E1040" s="72"/>
      <c r="F1040" s="72"/>
      <c r="G1040" s="72"/>
      <c r="K1040" s="222"/>
    </row>
    <row r="1041" spans="1:11" ht="21" customHeight="1">
      <c r="A1041" s="612" t="s">
        <v>2222</v>
      </c>
      <c r="B1041" s="613"/>
      <c r="C1041" s="613"/>
      <c r="D1041" s="613"/>
      <c r="E1041" s="613"/>
      <c r="F1041" s="67" t="s">
        <v>44</v>
      </c>
      <c r="G1041" s="80"/>
      <c r="K1041" s="222"/>
    </row>
    <row r="1042" spans="1:11" ht="28.5">
      <c r="A1042" s="623" t="s">
        <v>364</v>
      </c>
      <c r="B1042" s="624"/>
      <c r="C1042" s="69" t="s">
        <v>3</v>
      </c>
      <c r="D1042" s="69" t="s">
        <v>4</v>
      </c>
      <c r="E1042" s="69" t="s">
        <v>1826</v>
      </c>
      <c r="F1042" s="69" t="s">
        <v>367</v>
      </c>
      <c r="G1042" s="69" t="s">
        <v>368</v>
      </c>
      <c r="K1042" s="222"/>
    </row>
    <row r="1043" spans="1:11" s="38" customFormat="1" ht="30">
      <c r="A1043" s="20">
        <v>12456</v>
      </c>
      <c r="B1043" s="70" t="s">
        <v>1817</v>
      </c>
      <c r="C1043" s="21" t="s">
        <v>44</v>
      </c>
      <c r="D1043" s="21" t="s">
        <v>17</v>
      </c>
      <c r="E1043" s="22">
        <v>1</v>
      </c>
      <c r="F1043" s="22">
        <f>H1043</f>
        <v>23.400500000000001</v>
      </c>
      <c r="G1043" s="22">
        <f>ROUND(F1043*E1043,2)</f>
        <v>23.4</v>
      </c>
      <c r="H1043" s="336">
        <v>23.400500000000001</v>
      </c>
      <c r="I1043" s="38" t="e">
        <f>IF(A1043&lt;&gt;0,VLOOKUP(A1043,#REF!,2,FALSE),"")</f>
        <v>#REF!</v>
      </c>
      <c r="J1043" s="336"/>
      <c r="K1043" s="222"/>
    </row>
    <row r="1044" spans="1:11" ht="30">
      <c r="A1044" s="20">
        <v>88264</v>
      </c>
      <c r="B1044" s="70" t="s">
        <v>379</v>
      </c>
      <c r="C1044" s="21" t="s">
        <v>12</v>
      </c>
      <c r="D1044" s="21" t="s">
        <v>19</v>
      </c>
      <c r="E1044" s="22">
        <v>0.2</v>
      </c>
      <c r="F1044" s="22">
        <f>H1044</f>
        <v>15.249000000000001</v>
      </c>
      <c r="G1044" s="22">
        <f>ROUND(F1044*E1044,2)</f>
        <v>3.05</v>
      </c>
      <c r="H1044" s="337">
        <v>15.249000000000001</v>
      </c>
      <c r="I1044" s="23" t="e">
        <f>IF(A1044&lt;&gt;0,VLOOKUP(A1044,#REF!,2,FALSE),"")</f>
        <v>#REF!</v>
      </c>
      <c r="K1044" s="222"/>
    </row>
    <row r="1045" spans="1:11" ht="30">
      <c r="A1045" s="20">
        <v>88316</v>
      </c>
      <c r="B1045" s="70" t="s">
        <v>377</v>
      </c>
      <c r="C1045" s="21" t="s">
        <v>12</v>
      </c>
      <c r="D1045" s="21" t="s">
        <v>19</v>
      </c>
      <c r="E1045" s="22">
        <v>0.2</v>
      </c>
      <c r="F1045" s="22">
        <f>H1045</f>
        <v>11.798000000000002</v>
      </c>
      <c r="G1045" s="22">
        <f>ROUND(F1045*E1045,2)</f>
        <v>2.36</v>
      </c>
      <c r="H1045" s="337">
        <v>11.798000000000002</v>
      </c>
      <c r="I1045" s="23" t="e">
        <f>IF(A1045&lt;&gt;0,VLOOKUP(A1045,#REF!,2,FALSE),"")</f>
        <v>#REF!</v>
      </c>
      <c r="K1045" s="222"/>
    </row>
    <row r="1046" spans="1:11" ht="15" customHeight="1">
      <c r="A1046" s="719" t="s">
        <v>1893</v>
      </c>
      <c r="B1046" s="719"/>
      <c r="C1046" s="719"/>
      <c r="D1046" s="719"/>
      <c r="E1046" s="719"/>
      <c r="F1046" s="719"/>
      <c r="G1046" s="71">
        <f>ROUND(SUM(G1043:G1045),2)</f>
        <v>28.81</v>
      </c>
      <c r="K1046" s="222"/>
    </row>
    <row r="1047" spans="1:11" ht="27" customHeight="1">
      <c r="A1047" s="72"/>
      <c r="B1047" s="72"/>
      <c r="C1047" s="752"/>
      <c r="D1047" s="753"/>
      <c r="E1047" s="72"/>
      <c r="F1047" s="72"/>
      <c r="G1047" s="72"/>
      <c r="K1047" s="222"/>
    </row>
    <row r="1048" spans="1:11" ht="31.5" customHeight="1">
      <c r="A1048" s="612" t="s">
        <v>2225</v>
      </c>
      <c r="B1048" s="613"/>
      <c r="C1048" s="613"/>
      <c r="D1048" s="613"/>
      <c r="E1048" s="718"/>
      <c r="F1048" s="67" t="s">
        <v>44</v>
      </c>
      <c r="G1048" s="80"/>
      <c r="K1048" s="222"/>
    </row>
    <row r="1049" spans="1:11" ht="28.5">
      <c r="A1049" s="623" t="s">
        <v>364</v>
      </c>
      <c r="B1049" s="624"/>
      <c r="C1049" s="69" t="s">
        <v>3</v>
      </c>
      <c r="D1049" s="69" t="s">
        <v>4</v>
      </c>
      <c r="E1049" s="69" t="s">
        <v>1826</v>
      </c>
      <c r="F1049" s="69" t="s">
        <v>367</v>
      </c>
      <c r="G1049" s="69" t="s">
        <v>368</v>
      </c>
      <c r="K1049" s="222"/>
    </row>
    <row r="1050" spans="1:11" s="38" customFormat="1" ht="30">
      <c r="A1050" s="20">
        <v>859</v>
      </c>
      <c r="B1050" s="70" t="s">
        <v>1811</v>
      </c>
      <c r="C1050" s="21" t="s">
        <v>44</v>
      </c>
      <c r="D1050" s="21" t="s">
        <v>17</v>
      </c>
      <c r="E1050" s="22">
        <v>1</v>
      </c>
      <c r="F1050" s="22">
        <f>H1050</f>
        <v>56.95</v>
      </c>
      <c r="G1050" s="22">
        <f>ROUND(F1050*E1050,2)</f>
        <v>56.95</v>
      </c>
      <c r="H1050" s="336">
        <v>56.95</v>
      </c>
      <c r="I1050" s="38" t="e">
        <f>IF(A1050&lt;&gt;0,VLOOKUP(A1050,#REF!,2,FALSE),"")</f>
        <v>#REF!</v>
      </c>
      <c r="J1050" s="336"/>
      <c r="K1050" s="222"/>
    </row>
    <row r="1051" spans="1:11" ht="30">
      <c r="A1051" s="20">
        <v>88264</v>
      </c>
      <c r="B1051" s="70" t="s">
        <v>379</v>
      </c>
      <c r="C1051" s="21" t="s">
        <v>12</v>
      </c>
      <c r="D1051" s="21" t="s">
        <v>19</v>
      </c>
      <c r="E1051" s="22">
        <v>0.5</v>
      </c>
      <c r="F1051" s="22">
        <f>H1051</f>
        <v>15.249000000000001</v>
      </c>
      <c r="G1051" s="22">
        <f>ROUND(F1051*E1051,2)</f>
        <v>7.62</v>
      </c>
      <c r="H1051" s="337">
        <v>15.249000000000001</v>
      </c>
      <c r="K1051" s="222"/>
    </row>
    <row r="1052" spans="1:11" ht="30">
      <c r="A1052" s="20">
        <v>88316</v>
      </c>
      <c r="B1052" s="70" t="s">
        <v>377</v>
      </c>
      <c r="C1052" s="21" t="s">
        <v>12</v>
      </c>
      <c r="D1052" s="21" t="s">
        <v>19</v>
      </c>
      <c r="E1052" s="22">
        <v>0.5</v>
      </c>
      <c r="F1052" s="22">
        <f>H1052</f>
        <v>11.798000000000002</v>
      </c>
      <c r="G1052" s="22">
        <f>ROUND(F1052*E1052,2)</f>
        <v>5.9</v>
      </c>
      <c r="H1052" s="337">
        <v>11.798000000000002</v>
      </c>
      <c r="K1052" s="222"/>
    </row>
    <row r="1053" spans="1:11" ht="15" customHeight="1">
      <c r="A1053" s="719" t="s">
        <v>1893</v>
      </c>
      <c r="B1053" s="719"/>
      <c r="C1053" s="719"/>
      <c r="D1053" s="719"/>
      <c r="E1053" s="719"/>
      <c r="F1053" s="719"/>
      <c r="G1053" s="71">
        <f>ROUND(SUM(G1050:G1052),2)</f>
        <v>70.47</v>
      </c>
      <c r="K1053" s="222"/>
    </row>
    <row r="1054" spans="1:11" ht="26.25" customHeight="1">
      <c r="A1054" s="72"/>
      <c r="B1054" s="72"/>
      <c r="C1054" s="752"/>
      <c r="D1054" s="753"/>
      <c r="E1054" s="72"/>
      <c r="F1054" s="72"/>
      <c r="G1054" s="72"/>
      <c r="K1054" s="222"/>
    </row>
    <row r="1055" spans="1:11" ht="24" customHeight="1">
      <c r="A1055" s="612" t="s">
        <v>2226</v>
      </c>
      <c r="B1055" s="613"/>
      <c r="C1055" s="613"/>
      <c r="D1055" s="613"/>
      <c r="E1055" s="718"/>
      <c r="F1055" s="67" t="s">
        <v>44</v>
      </c>
      <c r="G1055" s="80"/>
      <c r="K1055" s="222"/>
    </row>
    <row r="1056" spans="1:11" ht="28.5">
      <c r="A1056" s="623" t="s">
        <v>364</v>
      </c>
      <c r="B1056" s="624"/>
      <c r="C1056" s="69" t="s">
        <v>3</v>
      </c>
      <c r="D1056" s="69" t="s">
        <v>4</v>
      </c>
      <c r="E1056" s="69" t="s">
        <v>1826</v>
      </c>
      <c r="F1056" s="69" t="s">
        <v>367</v>
      </c>
      <c r="G1056" s="69" t="s">
        <v>368</v>
      </c>
      <c r="K1056" s="222"/>
    </row>
    <row r="1057" spans="1:11" s="38" customFormat="1" ht="30">
      <c r="A1057" s="20">
        <v>6542</v>
      </c>
      <c r="B1057" s="70" t="s">
        <v>1818</v>
      </c>
      <c r="C1057" s="21" t="s">
        <v>44</v>
      </c>
      <c r="D1057" s="21" t="s">
        <v>17</v>
      </c>
      <c r="E1057" s="22">
        <v>1</v>
      </c>
      <c r="F1057" s="22">
        <f>H1057</f>
        <v>44.420999999999999</v>
      </c>
      <c r="G1057" s="22">
        <f>ROUND(F1057*E1057,2)</f>
        <v>44.42</v>
      </c>
      <c r="H1057" s="336">
        <v>44.420999999999999</v>
      </c>
      <c r="I1057" s="38" t="e">
        <f>IF(A1057&lt;&gt;0,VLOOKUP(A1057,#REF!,2,FALSE),"")</f>
        <v>#REF!</v>
      </c>
      <c r="J1057" s="336"/>
      <c r="K1057" s="222"/>
    </row>
    <row r="1058" spans="1:11" ht="30">
      <c r="A1058" s="20">
        <v>88264</v>
      </c>
      <c r="B1058" s="70" t="s">
        <v>379</v>
      </c>
      <c r="C1058" s="21" t="s">
        <v>12</v>
      </c>
      <c r="D1058" s="21" t="s">
        <v>19</v>
      </c>
      <c r="E1058" s="22">
        <v>0.2</v>
      </c>
      <c r="F1058" s="22">
        <f>H1058</f>
        <v>15.249000000000001</v>
      </c>
      <c r="G1058" s="22">
        <f>ROUND(F1058*E1058,2)</f>
        <v>3.05</v>
      </c>
      <c r="H1058" s="337">
        <v>15.249000000000001</v>
      </c>
      <c r="K1058" s="222"/>
    </row>
    <row r="1059" spans="1:11" ht="30">
      <c r="A1059" s="20">
        <v>88316</v>
      </c>
      <c r="B1059" s="70" t="s">
        <v>377</v>
      </c>
      <c r="C1059" s="21" t="s">
        <v>12</v>
      </c>
      <c r="D1059" s="21" t="s">
        <v>19</v>
      </c>
      <c r="E1059" s="22">
        <v>0.2</v>
      </c>
      <c r="F1059" s="22">
        <f>H1059</f>
        <v>11.798000000000002</v>
      </c>
      <c r="G1059" s="22">
        <f>ROUND(F1059*E1059,2)</f>
        <v>2.36</v>
      </c>
      <c r="H1059" s="337">
        <v>11.798000000000002</v>
      </c>
      <c r="K1059" s="222"/>
    </row>
    <row r="1060" spans="1:11" ht="15" customHeight="1">
      <c r="A1060" s="719" t="s">
        <v>1893</v>
      </c>
      <c r="B1060" s="719"/>
      <c r="C1060" s="719"/>
      <c r="D1060" s="719"/>
      <c r="E1060" s="719"/>
      <c r="F1060" s="719"/>
      <c r="G1060" s="71">
        <f>ROUND(SUM(G1057:G1059),2)</f>
        <v>49.83</v>
      </c>
      <c r="K1060" s="222"/>
    </row>
    <row r="1061" spans="1:11" ht="27" customHeight="1">
      <c r="A1061" s="72"/>
      <c r="B1061" s="72"/>
      <c r="C1061" s="752"/>
      <c r="D1061" s="753"/>
      <c r="E1061" s="72"/>
      <c r="F1061" s="72"/>
      <c r="G1061" s="72"/>
      <c r="K1061" s="222"/>
    </row>
    <row r="1062" spans="1:11" ht="30.75" customHeight="1">
      <c r="A1062" s="612" t="s">
        <v>2227</v>
      </c>
      <c r="B1062" s="613"/>
      <c r="C1062" s="613"/>
      <c r="D1062" s="613"/>
      <c r="E1062" s="718"/>
      <c r="F1062" s="67" t="s">
        <v>44</v>
      </c>
      <c r="G1062" s="80"/>
      <c r="K1062" s="222"/>
    </row>
    <row r="1063" spans="1:11" ht="28.5">
      <c r="A1063" s="623" t="s">
        <v>364</v>
      </c>
      <c r="B1063" s="624"/>
      <c r="C1063" s="69" t="s">
        <v>3</v>
      </c>
      <c r="D1063" s="69" t="s">
        <v>4</v>
      </c>
      <c r="E1063" s="69" t="s">
        <v>1826</v>
      </c>
      <c r="F1063" s="69" t="s">
        <v>367</v>
      </c>
      <c r="G1063" s="69" t="s">
        <v>368</v>
      </c>
      <c r="K1063" s="222"/>
    </row>
    <row r="1064" spans="1:11" s="38" customFormat="1" ht="30">
      <c r="A1064" s="20">
        <v>6543</v>
      </c>
      <c r="B1064" s="70" t="s">
        <v>1755</v>
      </c>
      <c r="C1064" s="21" t="s">
        <v>44</v>
      </c>
      <c r="D1064" s="21" t="s">
        <v>17</v>
      </c>
      <c r="E1064" s="22">
        <v>1</v>
      </c>
      <c r="F1064" s="22">
        <f>H1064</f>
        <v>34.552500000000002</v>
      </c>
      <c r="G1064" s="22">
        <f>ROUND(F1064*E1064,2)</f>
        <v>34.549999999999997</v>
      </c>
      <c r="H1064" s="336">
        <v>34.552500000000002</v>
      </c>
      <c r="I1064" s="38" t="e">
        <f>IF(A1064&lt;&gt;0,VLOOKUP(A1064,#REF!,2,FALSE),"")</f>
        <v>#REF!</v>
      </c>
      <c r="J1064" s="336"/>
      <c r="K1064" s="222"/>
    </row>
    <row r="1065" spans="1:11" ht="30">
      <c r="A1065" s="20">
        <v>88264</v>
      </c>
      <c r="B1065" s="70" t="s">
        <v>379</v>
      </c>
      <c r="C1065" s="21" t="s">
        <v>12</v>
      </c>
      <c r="D1065" s="21" t="s">
        <v>19</v>
      </c>
      <c r="E1065" s="22">
        <v>0.2</v>
      </c>
      <c r="F1065" s="22">
        <f>H1065</f>
        <v>15.249000000000001</v>
      </c>
      <c r="G1065" s="22">
        <f>ROUND(F1065*E1065,2)</f>
        <v>3.05</v>
      </c>
      <c r="H1065" s="337">
        <v>15.249000000000001</v>
      </c>
      <c r="K1065" s="222"/>
    </row>
    <row r="1066" spans="1:11" ht="30">
      <c r="A1066" s="20">
        <v>88316</v>
      </c>
      <c r="B1066" s="70" t="s">
        <v>377</v>
      </c>
      <c r="C1066" s="21" t="s">
        <v>12</v>
      </c>
      <c r="D1066" s="21" t="s">
        <v>19</v>
      </c>
      <c r="E1066" s="22">
        <v>0.2</v>
      </c>
      <c r="F1066" s="22">
        <f>H1066</f>
        <v>11.798000000000002</v>
      </c>
      <c r="G1066" s="22">
        <f>ROUND(F1066*E1066,2)</f>
        <v>2.36</v>
      </c>
      <c r="H1066" s="337">
        <v>11.798000000000002</v>
      </c>
      <c r="K1066" s="222"/>
    </row>
    <row r="1067" spans="1:11" ht="15" customHeight="1">
      <c r="A1067" s="719" t="s">
        <v>1893</v>
      </c>
      <c r="B1067" s="719"/>
      <c r="C1067" s="719"/>
      <c r="D1067" s="719"/>
      <c r="E1067" s="719"/>
      <c r="F1067" s="719"/>
      <c r="G1067" s="71">
        <f>ROUND(SUM(G1064:G1066),2)</f>
        <v>39.96</v>
      </c>
      <c r="K1067" s="222"/>
    </row>
    <row r="1068" spans="1:11" ht="27" customHeight="1">
      <c r="A1068" s="72"/>
      <c r="B1068" s="72"/>
      <c r="C1068" s="752"/>
      <c r="D1068" s="753"/>
      <c r="E1068" s="72"/>
      <c r="F1068" s="72"/>
      <c r="G1068" s="72"/>
      <c r="K1068" s="222"/>
    </row>
    <row r="1069" spans="1:11" ht="33.75" customHeight="1">
      <c r="A1069" s="612" t="s">
        <v>2224</v>
      </c>
      <c r="B1069" s="613"/>
      <c r="C1069" s="613"/>
      <c r="D1069" s="613"/>
      <c r="E1069" s="718"/>
      <c r="F1069" s="67" t="s">
        <v>44</v>
      </c>
      <c r="G1069" s="80"/>
      <c r="K1069" s="222"/>
    </row>
    <row r="1070" spans="1:11" ht="28.5">
      <c r="A1070" s="623" t="s">
        <v>364</v>
      </c>
      <c r="B1070" s="624"/>
      <c r="C1070" s="69" t="s">
        <v>3</v>
      </c>
      <c r="D1070" s="69" t="s">
        <v>4</v>
      </c>
      <c r="E1070" s="69" t="s">
        <v>1826</v>
      </c>
      <c r="F1070" s="69" t="s">
        <v>367</v>
      </c>
      <c r="G1070" s="69" t="s">
        <v>368</v>
      </c>
      <c r="K1070" s="222"/>
    </row>
    <row r="1071" spans="1:11" s="38" customFormat="1" ht="30">
      <c r="A1071" s="20">
        <v>9596</v>
      </c>
      <c r="B1071" s="70" t="s">
        <v>569</v>
      </c>
      <c r="C1071" s="21" t="s">
        <v>44</v>
      </c>
      <c r="D1071" s="21" t="s">
        <v>17</v>
      </c>
      <c r="E1071" s="22">
        <v>1</v>
      </c>
      <c r="F1071" s="22">
        <f>H1071</f>
        <v>46.758499999999998</v>
      </c>
      <c r="G1071" s="22">
        <f>ROUND(F1071*E1071,2)</f>
        <v>46.76</v>
      </c>
      <c r="H1071" s="336">
        <v>46.758499999999998</v>
      </c>
      <c r="I1071" s="38" t="e">
        <f>IF(A1071&lt;&gt;0,VLOOKUP(A1071,#REF!,2,FALSE),"")</f>
        <v>#REF!</v>
      </c>
      <c r="J1071" s="336"/>
      <c r="K1071" s="222"/>
    </row>
    <row r="1072" spans="1:11" ht="30">
      <c r="A1072" s="20">
        <v>88264</v>
      </c>
      <c r="B1072" s="70" t="s">
        <v>379</v>
      </c>
      <c r="C1072" s="21" t="s">
        <v>12</v>
      </c>
      <c r="D1072" s="21" t="s">
        <v>19</v>
      </c>
      <c r="E1072" s="22">
        <v>0.2</v>
      </c>
      <c r="F1072" s="22">
        <f>H1072</f>
        <v>15.249000000000001</v>
      </c>
      <c r="G1072" s="22">
        <f>ROUND(F1072*E1072,2)</f>
        <v>3.05</v>
      </c>
      <c r="H1072" s="337">
        <v>15.249000000000001</v>
      </c>
      <c r="K1072" s="222"/>
    </row>
    <row r="1073" spans="1:11" ht="30">
      <c r="A1073" s="20">
        <v>88316</v>
      </c>
      <c r="B1073" s="70" t="s">
        <v>377</v>
      </c>
      <c r="C1073" s="21" t="s">
        <v>12</v>
      </c>
      <c r="D1073" s="21" t="s">
        <v>19</v>
      </c>
      <c r="E1073" s="22">
        <v>0.2</v>
      </c>
      <c r="F1073" s="22">
        <f>H1073</f>
        <v>11.798000000000002</v>
      </c>
      <c r="G1073" s="22">
        <f>ROUND(F1073*E1073,2)</f>
        <v>2.36</v>
      </c>
      <c r="H1073" s="337">
        <v>11.798000000000002</v>
      </c>
      <c r="K1073" s="222"/>
    </row>
    <row r="1074" spans="1:11" ht="15" customHeight="1">
      <c r="A1074" s="719" t="s">
        <v>1893</v>
      </c>
      <c r="B1074" s="719"/>
      <c r="C1074" s="719"/>
      <c r="D1074" s="719"/>
      <c r="E1074" s="719"/>
      <c r="F1074" s="719"/>
      <c r="G1074" s="71">
        <f>ROUND(SUM(G1071:G1073),2)</f>
        <v>52.17</v>
      </c>
      <c r="K1074" s="222"/>
    </row>
    <row r="1075" spans="1:11" ht="29.25" customHeight="1">
      <c r="A1075" s="72"/>
      <c r="B1075" s="72"/>
      <c r="C1075" s="752"/>
      <c r="D1075" s="753"/>
      <c r="E1075" s="72"/>
      <c r="F1075" s="72"/>
      <c r="G1075" s="72"/>
      <c r="K1075" s="222"/>
    </row>
    <row r="1076" spans="1:11" ht="27" customHeight="1">
      <c r="A1076" s="612" t="s">
        <v>2228</v>
      </c>
      <c r="B1076" s="613"/>
      <c r="C1076" s="613"/>
      <c r="D1076" s="613"/>
      <c r="E1076" s="718"/>
      <c r="F1076" s="67" t="s">
        <v>1914</v>
      </c>
      <c r="G1076" s="80"/>
      <c r="K1076" s="222"/>
    </row>
    <row r="1077" spans="1:11" ht="28.5">
      <c r="A1077" s="623" t="s">
        <v>364</v>
      </c>
      <c r="B1077" s="624"/>
      <c r="C1077" s="69" t="s">
        <v>3</v>
      </c>
      <c r="D1077" s="69" t="s">
        <v>4</v>
      </c>
      <c r="E1077" s="69" t="s">
        <v>1826</v>
      </c>
      <c r="F1077" s="69" t="s">
        <v>367</v>
      </c>
      <c r="G1077" s="69" t="s">
        <v>368</v>
      </c>
      <c r="K1077" s="222"/>
    </row>
    <row r="1078" spans="1:11" s="38" customFormat="1" ht="30">
      <c r="A1078" s="20">
        <v>4106</v>
      </c>
      <c r="B1078" s="70" t="s">
        <v>3080</v>
      </c>
      <c r="C1078" s="21" t="s">
        <v>44</v>
      </c>
      <c r="D1078" s="21" t="s">
        <v>17</v>
      </c>
      <c r="E1078" s="22">
        <v>1</v>
      </c>
      <c r="F1078" s="22">
        <f>H1078</f>
        <v>10.199999999999999</v>
      </c>
      <c r="G1078" s="22">
        <f>ROUND(F1078*E1078,2)</f>
        <v>10.199999999999999</v>
      </c>
      <c r="H1078" s="336">
        <v>10.199999999999999</v>
      </c>
      <c r="I1078" s="38" t="e">
        <f>IF(A1078&lt;&gt;0,VLOOKUP(A1078,#REF!,2,FALSE),"")</f>
        <v>#REF!</v>
      </c>
      <c r="J1078" s="336"/>
      <c r="K1078" s="222"/>
    </row>
    <row r="1079" spans="1:11" ht="30">
      <c r="A1079" s="20">
        <v>88264</v>
      </c>
      <c r="B1079" s="70" t="s">
        <v>379</v>
      </c>
      <c r="C1079" s="21" t="s">
        <v>12</v>
      </c>
      <c r="D1079" s="21" t="s">
        <v>19</v>
      </c>
      <c r="E1079" s="22">
        <v>0.2</v>
      </c>
      <c r="F1079" s="22">
        <f>H1079</f>
        <v>15.249000000000001</v>
      </c>
      <c r="G1079" s="22">
        <f>ROUND(F1079*E1079,2)</f>
        <v>3.05</v>
      </c>
      <c r="H1079" s="337">
        <v>15.249000000000001</v>
      </c>
      <c r="K1079" s="222"/>
    </row>
    <row r="1080" spans="1:11" ht="30">
      <c r="A1080" s="20">
        <v>88316</v>
      </c>
      <c r="B1080" s="70" t="s">
        <v>377</v>
      </c>
      <c r="C1080" s="21" t="s">
        <v>12</v>
      </c>
      <c r="D1080" s="21" t="s">
        <v>19</v>
      </c>
      <c r="E1080" s="22">
        <v>0.2</v>
      </c>
      <c r="F1080" s="22">
        <f>H1080</f>
        <v>11.798000000000002</v>
      </c>
      <c r="G1080" s="22">
        <f>ROUND(F1080*E1080,2)</f>
        <v>2.36</v>
      </c>
      <c r="H1080" s="337">
        <v>11.798000000000002</v>
      </c>
      <c r="K1080" s="222"/>
    </row>
    <row r="1081" spans="1:11" ht="15" customHeight="1">
      <c r="A1081" s="719" t="s">
        <v>1893</v>
      </c>
      <c r="B1081" s="719"/>
      <c r="C1081" s="719"/>
      <c r="D1081" s="719"/>
      <c r="E1081" s="719"/>
      <c r="F1081" s="719"/>
      <c r="G1081" s="71">
        <f>ROUND(SUM(G1078:G1080),2)</f>
        <v>15.61</v>
      </c>
      <c r="K1081" s="222"/>
    </row>
    <row r="1082" spans="1:11" ht="24" customHeight="1">
      <c r="A1082" s="72"/>
      <c r="B1082" s="72"/>
      <c r="C1082" s="752"/>
      <c r="D1082" s="753"/>
      <c r="E1082" s="72"/>
      <c r="F1082" s="72"/>
      <c r="G1082" s="72"/>
      <c r="K1082" s="222"/>
    </row>
    <row r="1083" spans="1:11" ht="30" customHeight="1">
      <c r="A1083" s="612" t="s">
        <v>2235</v>
      </c>
      <c r="B1083" s="613"/>
      <c r="C1083" s="613"/>
      <c r="D1083" s="613"/>
      <c r="E1083" s="718"/>
      <c r="F1083" s="67" t="s">
        <v>44</v>
      </c>
      <c r="G1083" s="80"/>
      <c r="K1083" s="222"/>
    </row>
    <row r="1084" spans="1:11" ht="28.5">
      <c r="A1084" s="623" t="s">
        <v>364</v>
      </c>
      <c r="B1084" s="624"/>
      <c r="C1084" s="69" t="s">
        <v>3</v>
      </c>
      <c r="D1084" s="69" t="s">
        <v>4</v>
      </c>
      <c r="E1084" s="69" t="s">
        <v>1826</v>
      </c>
      <c r="F1084" s="69" t="s">
        <v>367</v>
      </c>
      <c r="G1084" s="69" t="s">
        <v>368</v>
      </c>
      <c r="K1084" s="222"/>
    </row>
    <row r="1085" spans="1:11" s="38" customFormat="1" ht="30">
      <c r="A1085" s="20">
        <v>4218</v>
      </c>
      <c r="B1085" s="70" t="s">
        <v>1812</v>
      </c>
      <c r="C1085" s="21" t="s">
        <v>44</v>
      </c>
      <c r="D1085" s="21" t="s">
        <v>17</v>
      </c>
      <c r="E1085" s="22">
        <v>1</v>
      </c>
      <c r="F1085" s="22">
        <f>H1085</f>
        <v>103.7</v>
      </c>
      <c r="G1085" s="22">
        <f>ROUND(F1085*E1085,2)</f>
        <v>103.7</v>
      </c>
      <c r="H1085" s="336">
        <v>103.7</v>
      </c>
      <c r="I1085" s="38" t="e">
        <f>IF(A1085&lt;&gt;0,VLOOKUP(A1085,#REF!,2,FALSE),"")</f>
        <v>#REF!</v>
      </c>
      <c r="J1085" s="336"/>
      <c r="K1085" s="222"/>
    </row>
    <row r="1086" spans="1:11" ht="30">
      <c r="A1086" s="20">
        <v>88264</v>
      </c>
      <c r="B1086" s="70" t="s">
        <v>379</v>
      </c>
      <c r="C1086" s="21" t="s">
        <v>12</v>
      </c>
      <c r="D1086" s="21" t="s">
        <v>19</v>
      </c>
      <c r="E1086" s="22">
        <v>0.4</v>
      </c>
      <c r="F1086" s="22">
        <f>H1086</f>
        <v>15.249000000000001</v>
      </c>
      <c r="G1086" s="22">
        <f>ROUND(F1086*E1086,2)</f>
        <v>6.1</v>
      </c>
      <c r="H1086" s="337">
        <v>15.249000000000001</v>
      </c>
      <c r="K1086" s="222"/>
    </row>
    <row r="1087" spans="1:11" ht="30">
      <c r="A1087" s="20">
        <v>88316</v>
      </c>
      <c r="B1087" s="70" t="s">
        <v>377</v>
      </c>
      <c r="C1087" s="21" t="s">
        <v>12</v>
      </c>
      <c r="D1087" s="21" t="s">
        <v>19</v>
      </c>
      <c r="E1087" s="22">
        <v>0.4</v>
      </c>
      <c r="F1087" s="22">
        <f>H1087</f>
        <v>11.798000000000002</v>
      </c>
      <c r="G1087" s="22">
        <f>ROUND(F1087*E1087,2)</f>
        <v>4.72</v>
      </c>
      <c r="H1087" s="337">
        <v>11.798000000000002</v>
      </c>
      <c r="K1087" s="222"/>
    </row>
    <row r="1088" spans="1:11" ht="15" customHeight="1">
      <c r="A1088" s="719" t="s">
        <v>1893</v>
      </c>
      <c r="B1088" s="719"/>
      <c r="C1088" s="719"/>
      <c r="D1088" s="719"/>
      <c r="E1088" s="719"/>
      <c r="F1088" s="719"/>
      <c r="G1088" s="71">
        <f>ROUND(SUM(G1085:G1087),2)</f>
        <v>114.52</v>
      </c>
      <c r="K1088" s="222"/>
    </row>
    <row r="1089" spans="1:11" ht="27.75" customHeight="1">
      <c r="A1089" s="72"/>
      <c r="B1089" s="72"/>
      <c r="C1089" s="752"/>
      <c r="D1089" s="753"/>
      <c r="E1089" s="72"/>
      <c r="F1089" s="72"/>
      <c r="G1089" s="72"/>
      <c r="K1089" s="222"/>
    </row>
    <row r="1090" spans="1:11" ht="23.25" customHeight="1">
      <c r="A1090" s="612" t="s">
        <v>2230</v>
      </c>
      <c r="B1090" s="613"/>
      <c r="C1090" s="613"/>
      <c r="D1090" s="613"/>
      <c r="E1090" s="718"/>
      <c r="F1090" s="67" t="s">
        <v>44</v>
      </c>
      <c r="G1090" s="80"/>
      <c r="K1090" s="222"/>
    </row>
    <row r="1091" spans="1:11" ht="28.5">
      <c r="A1091" s="623" t="s">
        <v>364</v>
      </c>
      <c r="B1091" s="624"/>
      <c r="C1091" s="69" t="s">
        <v>3</v>
      </c>
      <c r="D1091" s="69" t="s">
        <v>4</v>
      </c>
      <c r="E1091" s="69" t="s">
        <v>1826</v>
      </c>
      <c r="F1091" s="69" t="s">
        <v>367</v>
      </c>
      <c r="G1091" s="69" t="s">
        <v>368</v>
      </c>
      <c r="K1091" s="222"/>
    </row>
    <row r="1092" spans="1:11" s="38" customFormat="1" ht="30">
      <c r="A1092" s="20">
        <v>11797</v>
      </c>
      <c r="B1092" s="70" t="s">
        <v>2231</v>
      </c>
      <c r="C1092" s="21" t="s">
        <v>44</v>
      </c>
      <c r="D1092" s="21" t="s">
        <v>17</v>
      </c>
      <c r="E1092" s="22">
        <v>1</v>
      </c>
      <c r="F1092" s="22">
        <f>H1092</f>
        <v>37.4</v>
      </c>
      <c r="G1092" s="22">
        <f>ROUND(F1092*E1092,2)</f>
        <v>37.4</v>
      </c>
      <c r="H1092" s="336">
        <v>37.4</v>
      </c>
      <c r="I1092" s="38" t="e">
        <f>IF(A1092&lt;&gt;0,VLOOKUP(A1092,#REF!,2,FALSE),"")</f>
        <v>#REF!</v>
      </c>
      <c r="J1092" s="336"/>
      <c r="K1092" s="222"/>
    </row>
    <row r="1093" spans="1:11" ht="30">
      <c r="A1093" s="20">
        <v>88264</v>
      </c>
      <c r="B1093" s="70" t="s">
        <v>379</v>
      </c>
      <c r="C1093" s="21" t="s">
        <v>12</v>
      </c>
      <c r="D1093" s="21" t="s">
        <v>19</v>
      </c>
      <c r="E1093" s="22">
        <v>0.2</v>
      </c>
      <c r="F1093" s="22">
        <f>H1093</f>
        <v>15.249000000000001</v>
      </c>
      <c r="G1093" s="22">
        <f>ROUND(F1093*E1093,2)</f>
        <v>3.05</v>
      </c>
      <c r="H1093" s="337">
        <v>15.249000000000001</v>
      </c>
      <c r="K1093" s="222"/>
    </row>
    <row r="1094" spans="1:11" ht="30">
      <c r="A1094" s="20">
        <v>88316</v>
      </c>
      <c r="B1094" s="70" t="s">
        <v>377</v>
      </c>
      <c r="C1094" s="21" t="s">
        <v>12</v>
      </c>
      <c r="D1094" s="21" t="s">
        <v>19</v>
      </c>
      <c r="E1094" s="22">
        <v>0.2</v>
      </c>
      <c r="F1094" s="22">
        <f>H1094</f>
        <v>11.798000000000002</v>
      </c>
      <c r="G1094" s="22">
        <f>ROUND(F1094*E1094,2)</f>
        <v>2.36</v>
      </c>
      <c r="H1094" s="337">
        <v>11.798000000000002</v>
      </c>
      <c r="K1094" s="222"/>
    </row>
    <row r="1095" spans="1:11" ht="15" customHeight="1">
      <c r="A1095" s="719" t="s">
        <v>1893</v>
      </c>
      <c r="B1095" s="719"/>
      <c r="C1095" s="719"/>
      <c r="D1095" s="719"/>
      <c r="E1095" s="719"/>
      <c r="F1095" s="719"/>
      <c r="G1095" s="71">
        <f>ROUND(SUM(G1092:G1094),2)</f>
        <v>42.81</v>
      </c>
      <c r="K1095" s="222"/>
    </row>
    <row r="1096" spans="1:11" ht="22.5" customHeight="1">
      <c r="A1096" s="72"/>
      <c r="B1096" s="72"/>
      <c r="C1096" s="752"/>
      <c r="D1096" s="753"/>
      <c r="E1096" s="72"/>
      <c r="F1096" s="72"/>
      <c r="G1096" s="72"/>
      <c r="K1096" s="222"/>
    </row>
    <row r="1097" spans="1:11" ht="35.25" customHeight="1">
      <c r="A1097" s="612" t="s">
        <v>2232</v>
      </c>
      <c r="B1097" s="613"/>
      <c r="C1097" s="613"/>
      <c r="D1097" s="613"/>
      <c r="E1097" s="718"/>
      <c r="F1097" s="67" t="s">
        <v>44</v>
      </c>
      <c r="G1097" s="80"/>
      <c r="K1097" s="222"/>
    </row>
    <row r="1098" spans="1:11" ht="28.5">
      <c r="A1098" s="623" t="s">
        <v>364</v>
      </c>
      <c r="B1098" s="624"/>
      <c r="C1098" s="69" t="s">
        <v>3</v>
      </c>
      <c r="D1098" s="69" t="s">
        <v>4</v>
      </c>
      <c r="E1098" s="69" t="s">
        <v>1826</v>
      </c>
      <c r="F1098" s="69" t="s">
        <v>367</v>
      </c>
      <c r="G1098" s="69" t="s">
        <v>368</v>
      </c>
      <c r="K1098" s="222"/>
    </row>
    <row r="1099" spans="1:11" s="38" customFormat="1" ht="30">
      <c r="A1099" s="20">
        <v>6552</v>
      </c>
      <c r="B1099" s="70" t="s">
        <v>1757</v>
      </c>
      <c r="C1099" s="21" t="s">
        <v>44</v>
      </c>
      <c r="D1099" s="21" t="s">
        <v>17</v>
      </c>
      <c r="E1099" s="22">
        <v>1</v>
      </c>
      <c r="F1099" s="22">
        <f>H1099</f>
        <v>47.43</v>
      </c>
      <c r="G1099" s="22">
        <f>ROUND(F1099*E1099,2)</f>
        <v>47.43</v>
      </c>
      <c r="H1099" s="336">
        <v>47.43</v>
      </c>
      <c r="I1099" s="38" t="e">
        <f>IF(A1099&lt;&gt;0,VLOOKUP(A1099,#REF!,2,FALSE),"")</f>
        <v>#REF!</v>
      </c>
      <c r="J1099" s="336"/>
      <c r="K1099" s="222"/>
    </row>
    <row r="1100" spans="1:11" ht="30">
      <c r="A1100" s="20">
        <v>88264</v>
      </c>
      <c r="B1100" s="70" t="s">
        <v>379</v>
      </c>
      <c r="C1100" s="21" t="s">
        <v>12</v>
      </c>
      <c r="D1100" s="21" t="s">
        <v>19</v>
      </c>
      <c r="E1100" s="22">
        <v>0.2</v>
      </c>
      <c r="F1100" s="22">
        <f>H1100</f>
        <v>15.249000000000001</v>
      </c>
      <c r="G1100" s="22">
        <f>ROUND(F1100*E1100,2)</f>
        <v>3.05</v>
      </c>
      <c r="H1100" s="337">
        <v>15.249000000000001</v>
      </c>
      <c r="K1100" s="222"/>
    </row>
    <row r="1101" spans="1:11" ht="30">
      <c r="A1101" s="20">
        <v>88316</v>
      </c>
      <c r="B1101" s="70" t="s">
        <v>377</v>
      </c>
      <c r="C1101" s="21" t="s">
        <v>12</v>
      </c>
      <c r="D1101" s="21" t="s">
        <v>19</v>
      </c>
      <c r="E1101" s="22">
        <v>0.2</v>
      </c>
      <c r="F1101" s="22">
        <f>H1101</f>
        <v>11.798000000000002</v>
      </c>
      <c r="G1101" s="22">
        <f>ROUND(F1101*E1101,2)</f>
        <v>2.36</v>
      </c>
      <c r="H1101" s="337">
        <v>11.798000000000002</v>
      </c>
      <c r="K1101" s="222"/>
    </row>
    <row r="1102" spans="1:11" ht="15" customHeight="1">
      <c r="A1102" s="719" t="s">
        <v>1893</v>
      </c>
      <c r="B1102" s="719"/>
      <c r="C1102" s="719"/>
      <c r="D1102" s="719"/>
      <c r="E1102" s="719"/>
      <c r="F1102" s="719"/>
      <c r="G1102" s="71">
        <f>ROUND(SUM(G1099:G1101),2)</f>
        <v>52.84</v>
      </c>
      <c r="K1102" s="222"/>
    </row>
    <row r="1103" spans="1:11" ht="24" customHeight="1">
      <c r="A1103" s="72"/>
      <c r="B1103" s="72"/>
      <c r="C1103" s="752"/>
      <c r="D1103" s="753"/>
      <c r="E1103" s="72"/>
      <c r="F1103" s="72"/>
      <c r="G1103" s="72"/>
      <c r="K1103" s="222"/>
    </row>
    <row r="1104" spans="1:11" ht="34.5" customHeight="1">
      <c r="A1104" s="612" t="s">
        <v>2233</v>
      </c>
      <c r="B1104" s="613"/>
      <c r="C1104" s="613"/>
      <c r="D1104" s="613"/>
      <c r="E1104" s="718"/>
      <c r="F1104" s="67" t="s">
        <v>44</v>
      </c>
      <c r="G1104" s="80"/>
      <c r="K1104" s="222"/>
    </row>
    <row r="1105" spans="1:11" ht="28.5">
      <c r="A1105" s="623" t="s">
        <v>364</v>
      </c>
      <c r="B1105" s="624"/>
      <c r="C1105" s="69" t="s">
        <v>3</v>
      </c>
      <c r="D1105" s="69" t="s">
        <v>4</v>
      </c>
      <c r="E1105" s="69" t="s">
        <v>1826</v>
      </c>
      <c r="F1105" s="69" t="s">
        <v>367</v>
      </c>
      <c r="G1105" s="69" t="s">
        <v>368</v>
      </c>
      <c r="K1105" s="222"/>
    </row>
    <row r="1106" spans="1:11" s="38" customFormat="1" ht="30">
      <c r="A1106" s="20">
        <v>6551</v>
      </c>
      <c r="B1106" s="70" t="s">
        <v>1753</v>
      </c>
      <c r="C1106" s="21" t="s">
        <v>44</v>
      </c>
      <c r="D1106" s="21" t="s">
        <v>17</v>
      </c>
      <c r="E1106" s="22">
        <v>1</v>
      </c>
      <c r="F1106" s="22">
        <f>H1106</f>
        <v>60.35</v>
      </c>
      <c r="G1106" s="22">
        <f>ROUND(F1106*E1106,2)</f>
        <v>60.35</v>
      </c>
      <c r="H1106" s="336">
        <v>60.35</v>
      </c>
      <c r="I1106" s="38" t="e">
        <f>IF(A1106&lt;&gt;0,VLOOKUP(A1106,#REF!,2,FALSE),"")</f>
        <v>#REF!</v>
      </c>
      <c r="J1106" s="336"/>
      <c r="K1106" s="222"/>
    </row>
    <row r="1107" spans="1:11" ht="30">
      <c r="A1107" s="20">
        <v>88264</v>
      </c>
      <c r="B1107" s="70" t="s">
        <v>379</v>
      </c>
      <c r="C1107" s="21" t="s">
        <v>12</v>
      </c>
      <c r="D1107" s="21" t="s">
        <v>19</v>
      </c>
      <c r="E1107" s="22">
        <v>0.2</v>
      </c>
      <c r="F1107" s="22">
        <f>H1107</f>
        <v>15.249000000000001</v>
      </c>
      <c r="G1107" s="22">
        <f>ROUND(F1107*E1107,2)</f>
        <v>3.05</v>
      </c>
      <c r="H1107" s="337">
        <v>15.249000000000001</v>
      </c>
      <c r="K1107" s="222"/>
    </row>
    <row r="1108" spans="1:11" ht="30">
      <c r="A1108" s="20">
        <v>88316</v>
      </c>
      <c r="B1108" s="70" t="s">
        <v>377</v>
      </c>
      <c r="C1108" s="21" t="s">
        <v>12</v>
      </c>
      <c r="D1108" s="21" t="s">
        <v>19</v>
      </c>
      <c r="E1108" s="22">
        <v>0.2</v>
      </c>
      <c r="F1108" s="22">
        <f>H1108</f>
        <v>11.798000000000002</v>
      </c>
      <c r="G1108" s="22">
        <f>ROUND(F1108*E1108,2)</f>
        <v>2.36</v>
      </c>
      <c r="H1108" s="337">
        <v>11.798000000000002</v>
      </c>
      <c r="K1108" s="222"/>
    </row>
    <row r="1109" spans="1:11" ht="15" customHeight="1">
      <c r="A1109" s="719" t="s">
        <v>1893</v>
      </c>
      <c r="B1109" s="719"/>
      <c r="C1109" s="719"/>
      <c r="D1109" s="719"/>
      <c r="E1109" s="719"/>
      <c r="F1109" s="719"/>
      <c r="G1109" s="71">
        <f>ROUND(SUM(G1106:G1108),2)</f>
        <v>65.760000000000005</v>
      </c>
      <c r="K1109" s="222"/>
    </row>
    <row r="1110" spans="1:11" ht="28.5" customHeight="1">
      <c r="A1110" s="72"/>
      <c r="B1110" s="72"/>
      <c r="C1110" s="752"/>
      <c r="D1110" s="753"/>
      <c r="E1110" s="72"/>
      <c r="F1110" s="72"/>
      <c r="G1110" s="72"/>
      <c r="K1110" s="222"/>
    </row>
    <row r="1111" spans="1:11" ht="21" customHeight="1">
      <c r="A1111" s="612" t="s">
        <v>2234</v>
      </c>
      <c r="B1111" s="613"/>
      <c r="C1111" s="613"/>
      <c r="D1111" s="613"/>
      <c r="E1111" s="718"/>
      <c r="F1111" s="67" t="s">
        <v>44</v>
      </c>
      <c r="G1111" s="80"/>
      <c r="K1111" s="222"/>
    </row>
    <row r="1112" spans="1:11" ht="28.5">
      <c r="A1112" s="623" t="s">
        <v>364</v>
      </c>
      <c r="B1112" s="624"/>
      <c r="C1112" s="69" t="s">
        <v>3</v>
      </c>
      <c r="D1112" s="69" t="s">
        <v>4</v>
      </c>
      <c r="E1112" s="69" t="s">
        <v>1826</v>
      </c>
      <c r="F1112" s="69" t="s">
        <v>367</v>
      </c>
      <c r="G1112" s="69" t="s">
        <v>368</v>
      </c>
      <c r="K1112" s="222"/>
    </row>
    <row r="1113" spans="1:11" s="38" customFormat="1" ht="30">
      <c r="A1113" s="20">
        <v>13683</v>
      </c>
      <c r="B1113" s="70" t="s">
        <v>3044</v>
      </c>
      <c r="C1113" s="21" t="s">
        <v>44</v>
      </c>
      <c r="D1113" s="21" t="s">
        <v>17</v>
      </c>
      <c r="E1113" s="22">
        <v>1</v>
      </c>
      <c r="F1113" s="22">
        <f>H1113</f>
        <v>5.8650000000000002</v>
      </c>
      <c r="G1113" s="22">
        <f>ROUND(F1113*E1113,2)</f>
        <v>5.87</v>
      </c>
      <c r="H1113" s="336">
        <v>5.8650000000000002</v>
      </c>
      <c r="I1113" s="38" t="e">
        <f>IF(A1113&lt;&gt;0,VLOOKUP(A1113,#REF!,2,FALSE),"")</f>
        <v>#REF!</v>
      </c>
      <c r="J1113" s="336"/>
      <c r="K1113" s="222"/>
    </row>
    <row r="1114" spans="1:11" ht="30">
      <c r="A1114" s="20">
        <v>88264</v>
      </c>
      <c r="B1114" s="70" t="s">
        <v>379</v>
      </c>
      <c r="C1114" s="21" t="s">
        <v>12</v>
      </c>
      <c r="D1114" s="21" t="s">
        <v>19</v>
      </c>
      <c r="E1114" s="22">
        <v>0.2</v>
      </c>
      <c r="F1114" s="22">
        <f>H1114</f>
        <v>15.249000000000001</v>
      </c>
      <c r="G1114" s="22">
        <f>ROUND(F1114*E1114,2)</f>
        <v>3.05</v>
      </c>
      <c r="H1114" s="337">
        <v>15.249000000000001</v>
      </c>
      <c r="K1114" s="222"/>
    </row>
    <row r="1115" spans="1:11" ht="30">
      <c r="A1115" s="20">
        <v>88316</v>
      </c>
      <c r="B1115" s="70" t="s">
        <v>377</v>
      </c>
      <c r="C1115" s="21" t="s">
        <v>12</v>
      </c>
      <c r="D1115" s="21" t="s">
        <v>19</v>
      </c>
      <c r="E1115" s="22">
        <v>0.2</v>
      </c>
      <c r="F1115" s="22">
        <f>H1115</f>
        <v>11.798000000000002</v>
      </c>
      <c r="G1115" s="22">
        <f>ROUND(F1115*E1115,2)</f>
        <v>2.36</v>
      </c>
      <c r="H1115" s="337">
        <v>11.798000000000002</v>
      </c>
      <c r="K1115" s="222"/>
    </row>
    <row r="1116" spans="1:11" ht="15" customHeight="1">
      <c r="A1116" s="719" t="s">
        <v>1893</v>
      </c>
      <c r="B1116" s="719"/>
      <c r="C1116" s="719"/>
      <c r="D1116" s="719"/>
      <c r="E1116" s="719"/>
      <c r="F1116" s="719"/>
      <c r="G1116" s="71">
        <f>ROUND(SUM(G1113:G1115),2)</f>
        <v>11.28</v>
      </c>
      <c r="K1116" s="222"/>
    </row>
    <row r="1117" spans="1:11" ht="23.25" customHeight="1">
      <c r="A1117" s="72"/>
      <c r="B1117" s="72"/>
      <c r="C1117" s="752"/>
      <c r="D1117" s="753"/>
      <c r="E1117" s="72"/>
      <c r="F1117" s="72"/>
      <c r="G1117" s="72"/>
      <c r="K1117" s="222"/>
    </row>
    <row r="1118" spans="1:11" ht="27.75" customHeight="1">
      <c r="A1118" s="612" t="s">
        <v>2616</v>
      </c>
      <c r="B1118" s="613"/>
      <c r="C1118" s="613"/>
      <c r="D1118" s="613"/>
      <c r="E1118" s="718"/>
      <c r="F1118" s="67" t="s">
        <v>1914</v>
      </c>
      <c r="G1118" s="80"/>
      <c r="K1118" s="222"/>
    </row>
    <row r="1119" spans="1:11" ht="28.5">
      <c r="A1119" s="623" t="s">
        <v>364</v>
      </c>
      <c r="B1119" s="624"/>
      <c r="C1119" s="69" t="s">
        <v>3</v>
      </c>
      <c r="D1119" s="69" t="s">
        <v>4</v>
      </c>
      <c r="E1119" s="69" t="s">
        <v>1826</v>
      </c>
      <c r="F1119" s="69" t="s">
        <v>367</v>
      </c>
      <c r="G1119" s="69" t="s">
        <v>368</v>
      </c>
      <c r="K1119" s="222"/>
    </row>
    <row r="1120" spans="1:11" s="38" customFormat="1" ht="30">
      <c r="A1120" s="20">
        <v>4028</v>
      </c>
      <c r="B1120" s="70" t="s">
        <v>2240</v>
      </c>
      <c r="C1120" s="21" t="s">
        <v>44</v>
      </c>
      <c r="D1120" s="21" t="s">
        <v>17</v>
      </c>
      <c r="E1120" s="22">
        <v>1</v>
      </c>
      <c r="F1120" s="22">
        <f>H1120</f>
        <v>71.391499999999994</v>
      </c>
      <c r="G1120" s="22">
        <f>ROUND(F1120*E1120,2)</f>
        <v>71.39</v>
      </c>
      <c r="H1120" s="336">
        <v>71.391499999999994</v>
      </c>
      <c r="I1120" s="38" t="e">
        <f>IF(A1120&lt;&gt;0,VLOOKUP(A1120,#REF!,2,FALSE),"")</f>
        <v>#REF!</v>
      </c>
      <c r="J1120" s="336"/>
      <c r="K1120" s="222"/>
    </row>
    <row r="1121" spans="1:11" ht="30">
      <c r="A1121" s="20">
        <v>88264</v>
      </c>
      <c r="B1121" s="70" t="s">
        <v>379</v>
      </c>
      <c r="C1121" s="21" t="s">
        <v>12</v>
      </c>
      <c r="D1121" s="21" t="s">
        <v>19</v>
      </c>
      <c r="E1121" s="22">
        <v>0.4</v>
      </c>
      <c r="F1121" s="22">
        <f>H1121</f>
        <v>15.249000000000001</v>
      </c>
      <c r="G1121" s="22">
        <f>ROUND(F1121*E1121,2)</f>
        <v>6.1</v>
      </c>
      <c r="H1121" s="337">
        <v>15.249000000000001</v>
      </c>
      <c r="K1121" s="222"/>
    </row>
    <row r="1122" spans="1:11" ht="30">
      <c r="A1122" s="20">
        <v>88316</v>
      </c>
      <c r="B1122" s="70" t="s">
        <v>377</v>
      </c>
      <c r="C1122" s="21" t="s">
        <v>12</v>
      </c>
      <c r="D1122" s="21" t="s">
        <v>19</v>
      </c>
      <c r="E1122" s="22">
        <v>0.4</v>
      </c>
      <c r="F1122" s="22">
        <f>H1122</f>
        <v>11.798000000000002</v>
      </c>
      <c r="G1122" s="22">
        <f>ROUND(F1122*E1122,2)</f>
        <v>4.72</v>
      </c>
      <c r="H1122" s="337">
        <v>11.798000000000002</v>
      </c>
      <c r="K1122" s="222"/>
    </row>
    <row r="1123" spans="1:11" ht="15" customHeight="1">
      <c r="A1123" s="719" t="s">
        <v>1893</v>
      </c>
      <c r="B1123" s="719"/>
      <c r="C1123" s="719"/>
      <c r="D1123" s="719"/>
      <c r="E1123" s="719"/>
      <c r="F1123" s="719"/>
      <c r="G1123" s="71">
        <f>ROUND(SUM(G1120:G1122),2)</f>
        <v>82.21</v>
      </c>
      <c r="K1123" s="222"/>
    </row>
    <row r="1124" spans="1:11" ht="30" customHeight="1">
      <c r="A1124" s="72"/>
      <c r="B1124" s="72"/>
      <c r="C1124" s="752"/>
      <c r="D1124" s="753"/>
      <c r="E1124" s="72"/>
      <c r="F1124" s="72"/>
      <c r="G1124" s="72"/>
      <c r="K1124" s="222"/>
    </row>
    <row r="1125" spans="1:11" ht="26.25" customHeight="1">
      <c r="A1125" s="612" t="s">
        <v>2237</v>
      </c>
      <c r="B1125" s="613"/>
      <c r="C1125" s="613"/>
      <c r="D1125" s="613"/>
      <c r="E1125" s="718"/>
      <c r="F1125" s="67" t="s">
        <v>1914</v>
      </c>
      <c r="G1125" s="80"/>
      <c r="K1125" s="222"/>
    </row>
    <row r="1126" spans="1:11" ht="28.5">
      <c r="A1126" s="623" t="s">
        <v>364</v>
      </c>
      <c r="B1126" s="624"/>
      <c r="C1126" s="69" t="s">
        <v>3</v>
      </c>
      <c r="D1126" s="69" t="s">
        <v>4</v>
      </c>
      <c r="E1126" s="69" t="s">
        <v>1826</v>
      </c>
      <c r="F1126" s="69" t="s">
        <v>367</v>
      </c>
      <c r="G1126" s="69" t="s">
        <v>368</v>
      </c>
      <c r="K1126" s="222"/>
    </row>
    <row r="1127" spans="1:11" s="38" customFormat="1" ht="30">
      <c r="A1127" s="20">
        <v>810</v>
      </c>
      <c r="B1127" s="70" t="s">
        <v>2238</v>
      </c>
      <c r="C1127" s="21" t="s">
        <v>44</v>
      </c>
      <c r="D1127" s="21" t="s">
        <v>4</v>
      </c>
      <c r="E1127" s="22">
        <v>1</v>
      </c>
      <c r="F1127" s="22">
        <f>H1127</f>
        <v>68.135999999999996</v>
      </c>
      <c r="G1127" s="22">
        <f>ROUND(F1127*E1127,2)</f>
        <v>68.14</v>
      </c>
      <c r="H1127" s="336">
        <v>68.135999999999996</v>
      </c>
      <c r="I1127" s="38" t="e">
        <f>IF(A1127&lt;&gt;0,VLOOKUP(A1127,#REF!,2,FALSE),"")</f>
        <v>#REF!</v>
      </c>
      <c r="J1127" s="336"/>
      <c r="K1127" s="222"/>
    </row>
    <row r="1128" spans="1:11" ht="30">
      <c r="A1128" s="20">
        <v>88264</v>
      </c>
      <c r="B1128" s="70" t="s">
        <v>379</v>
      </c>
      <c r="C1128" s="21" t="s">
        <v>12</v>
      </c>
      <c r="D1128" s="21" t="s">
        <v>19</v>
      </c>
      <c r="E1128" s="22">
        <v>0.2</v>
      </c>
      <c r="F1128" s="22">
        <f>H1128</f>
        <v>15.249000000000001</v>
      </c>
      <c r="G1128" s="22">
        <f>ROUND(F1128*E1128,2)</f>
        <v>3.05</v>
      </c>
      <c r="H1128" s="337">
        <v>15.249000000000001</v>
      </c>
      <c r="K1128" s="222"/>
    </row>
    <row r="1129" spans="1:11" ht="30">
      <c r="A1129" s="20">
        <v>88316</v>
      </c>
      <c r="B1129" s="70" t="s">
        <v>377</v>
      </c>
      <c r="C1129" s="21" t="s">
        <v>12</v>
      </c>
      <c r="D1129" s="21" t="s">
        <v>19</v>
      </c>
      <c r="E1129" s="22">
        <v>0.2</v>
      </c>
      <c r="F1129" s="22">
        <f>H1129</f>
        <v>11.798000000000002</v>
      </c>
      <c r="G1129" s="22">
        <f>ROUND(F1129*E1129,2)</f>
        <v>2.36</v>
      </c>
      <c r="H1129" s="337">
        <v>11.798000000000002</v>
      </c>
      <c r="K1129" s="222"/>
    </row>
    <row r="1130" spans="1:11" ht="15" customHeight="1">
      <c r="A1130" s="719" t="s">
        <v>1893</v>
      </c>
      <c r="B1130" s="719"/>
      <c r="C1130" s="719"/>
      <c r="D1130" s="719"/>
      <c r="E1130" s="719"/>
      <c r="F1130" s="719"/>
      <c r="G1130" s="71">
        <f>ROUND(SUM(G1127:G1129),2)</f>
        <v>73.55</v>
      </c>
      <c r="K1130" s="222"/>
    </row>
    <row r="1131" spans="1:11" ht="27" customHeight="1">
      <c r="A1131" s="72"/>
      <c r="B1131" s="72"/>
      <c r="C1131" s="752"/>
      <c r="D1131" s="753"/>
      <c r="E1131" s="72"/>
      <c r="F1131" s="72"/>
      <c r="G1131" s="72"/>
      <c r="K1131" s="222"/>
    </row>
    <row r="1132" spans="1:11" ht="36" customHeight="1">
      <c r="A1132" s="612" t="s">
        <v>2619</v>
      </c>
      <c r="B1132" s="613"/>
      <c r="C1132" s="613"/>
      <c r="D1132" s="613"/>
      <c r="E1132" s="718"/>
      <c r="F1132" s="67" t="s">
        <v>44</v>
      </c>
      <c r="G1132" s="80"/>
      <c r="K1132" s="222"/>
    </row>
    <row r="1133" spans="1:11" ht="28.5">
      <c r="A1133" s="623" t="s">
        <v>364</v>
      </c>
      <c r="B1133" s="624"/>
      <c r="C1133" s="69" t="s">
        <v>3</v>
      </c>
      <c r="D1133" s="69" t="s">
        <v>4</v>
      </c>
      <c r="E1133" s="69" t="s">
        <v>1826</v>
      </c>
      <c r="F1133" s="69" t="s">
        <v>367</v>
      </c>
      <c r="G1133" s="69" t="s">
        <v>368</v>
      </c>
      <c r="K1133" s="222"/>
    </row>
    <row r="1134" spans="1:11" s="38" customFormat="1" ht="30">
      <c r="A1134" s="20">
        <v>3635</v>
      </c>
      <c r="B1134" s="70" t="s">
        <v>1813</v>
      </c>
      <c r="C1134" s="21" t="s">
        <v>44</v>
      </c>
      <c r="D1134" s="21" t="s">
        <v>17</v>
      </c>
      <c r="E1134" s="22">
        <v>1</v>
      </c>
      <c r="F1134" s="22">
        <f>H1134</f>
        <v>113.9</v>
      </c>
      <c r="G1134" s="22">
        <f>ROUND(F1134*E1134,2)</f>
        <v>113.9</v>
      </c>
      <c r="H1134" s="336">
        <v>113.9</v>
      </c>
      <c r="I1134" s="38" t="e">
        <f>IF(A1134&lt;&gt;0,VLOOKUP(A1134,#REF!,2,FALSE),"")</f>
        <v>#REF!</v>
      </c>
      <c r="J1134" s="336"/>
      <c r="K1134" s="222"/>
    </row>
    <row r="1135" spans="1:11" ht="30">
      <c r="A1135" s="20">
        <v>88264</v>
      </c>
      <c r="B1135" s="70" t="s">
        <v>379</v>
      </c>
      <c r="C1135" s="21" t="s">
        <v>12</v>
      </c>
      <c r="D1135" s="21" t="s">
        <v>19</v>
      </c>
      <c r="E1135" s="22">
        <v>0.4</v>
      </c>
      <c r="F1135" s="22">
        <f>H1135</f>
        <v>15.249000000000001</v>
      </c>
      <c r="G1135" s="22">
        <f>ROUND(F1135*E1135,2)</f>
        <v>6.1</v>
      </c>
      <c r="H1135" s="337">
        <v>15.249000000000001</v>
      </c>
      <c r="K1135" s="222"/>
    </row>
    <row r="1136" spans="1:11" ht="30">
      <c r="A1136" s="20">
        <v>88316</v>
      </c>
      <c r="B1136" s="70" t="s">
        <v>377</v>
      </c>
      <c r="C1136" s="21" t="s">
        <v>12</v>
      </c>
      <c r="D1136" s="21" t="s">
        <v>19</v>
      </c>
      <c r="E1136" s="22">
        <v>0.4</v>
      </c>
      <c r="F1136" s="22">
        <f>H1136</f>
        <v>11.798000000000002</v>
      </c>
      <c r="G1136" s="22">
        <f>ROUND(F1136*E1136,2)</f>
        <v>4.72</v>
      </c>
      <c r="H1136" s="337">
        <v>11.798000000000002</v>
      </c>
      <c r="K1136" s="222"/>
    </row>
    <row r="1137" spans="1:11" ht="15" customHeight="1">
      <c r="A1137" s="719" t="s">
        <v>1893</v>
      </c>
      <c r="B1137" s="719"/>
      <c r="C1137" s="719"/>
      <c r="D1137" s="719"/>
      <c r="E1137" s="719"/>
      <c r="F1137" s="719"/>
      <c r="G1137" s="71">
        <f>ROUND(SUM(G1134:G1136),2)</f>
        <v>124.72</v>
      </c>
      <c r="K1137" s="222"/>
    </row>
    <row r="1138" spans="1:11" ht="28.5" customHeight="1">
      <c r="A1138" s="72"/>
      <c r="B1138" s="72"/>
      <c r="C1138" s="752"/>
      <c r="D1138" s="753"/>
      <c r="E1138" s="72"/>
      <c r="F1138" s="72"/>
      <c r="G1138" s="72"/>
      <c r="K1138" s="222"/>
    </row>
    <row r="1139" spans="1:11" ht="33" customHeight="1">
      <c r="A1139" s="612" t="s">
        <v>2236</v>
      </c>
      <c r="B1139" s="613"/>
      <c r="C1139" s="613"/>
      <c r="D1139" s="613"/>
      <c r="E1139" s="718"/>
      <c r="F1139" s="67" t="s">
        <v>44</v>
      </c>
      <c r="G1139" s="80"/>
      <c r="K1139" s="222"/>
    </row>
    <row r="1140" spans="1:11" ht="28.5">
      <c r="A1140" s="623" t="s">
        <v>364</v>
      </c>
      <c r="B1140" s="624"/>
      <c r="C1140" s="69" t="s">
        <v>3</v>
      </c>
      <c r="D1140" s="69" t="s">
        <v>4</v>
      </c>
      <c r="E1140" s="69" t="s">
        <v>1826</v>
      </c>
      <c r="F1140" s="69" t="s">
        <v>367</v>
      </c>
      <c r="G1140" s="69" t="s">
        <v>368</v>
      </c>
      <c r="K1140" s="222"/>
    </row>
    <row r="1141" spans="1:11" s="38" customFormat="1" ht="30">
      <c r="A1141" s="76">
        <v>4005</v>
      </c>
      <c r="B1141" s="77" t="s">
        <v>1819</v>
      </c>
      <c r="C1141" s="78" t="s">
        <v>44</v>
      </c>
      <c r="D1141" s="78" t="s">
        <v>17</v>
      </c>
      <c r="E1141" s="73">
        <v>1</v>
      </c>
      <c r="F1141" s="22">
        <f>H1141</f>
        <v>43.35</v>
      </c>
      <c r="G1141" s="22">
        <f>ROUND(F1141*E1141,2)</f>
        <v>43.35</v>
      </c>
      <c r="H1141" s="336">
        <v>43.35</v>
      </c>
      <c r="I1141" s="38" t="e">
        <f>IF(A1141&lt;&gt;0,VLOOKUP(A1141,#REF!,2,FALSE),"")</f>
        <v>#REF!</v>
      </c>
      <c r="J1141" s="336"/>
      <c r="K1141" s="222"/>
    </row>
    <row r="1142" spans="1:11" ht="30">
      <c r="A1142" s="20">
        <v>88264</v>
      </c>
      <c r="B1142" s="70" t="s">
        <v>379</v>
      </c>
      <c r="C1142" s="21" t="s">
        <v>12</v>
      </c>
      <c r="D1142" s="21" t="s">
        <v>19</v>
      </c>
      <c r="E1142" s="22">
        <v>0.2</v>
      </c>
      <c r="F1142" s="22">
        <f>H1142</f>
        <v>15.249000000000001</v>
      </c>
      <c r="G1142" s="22">
        <f>ROUND(F1142*E1142,2)</f>
        <v>3.05</v>
      </c>
      <c r="H1142" s="337">
        <v>15.249000000000001</v>
      </c>
      <c r="K1142" s="222"/>
    </row>
    <row r="1143" spans="1:11" ht="30">
      <c r="A1143" s="20">
        <v>88316</v>
      </c>
      <c r="B1143" s="70" t="s">
        <v>377</v>
      </c>
      <c r="C1143" s="21" t="s">
        <v>12</v>
      </c>
      <c r="D1143" s="21" t="s">
        <v>19</v>
      </c>
      <c r="E1143" s="22">
        <v>0.2</v>
      </c>
      <c r="F1143" s="22">
        <f>H1143</f>
        <v>11.798000000000002</v>
      </c>
      <c r="G1143" s="22">
        <f>ROUND(F1143*E1143,2)</f>
        <v>2.36</v>
      </c>
      <c r="H1143" s="337">
        <v>11.798000000000002</v>
      </c>
      <c r="K1143" s="222"/>
    </row>
    <row r="1144" spans="1:11" ht="15" customHeight="1">
      <c r="A1144" s="719" t="s">
        <v>1893</v>
      </c>
      <c r="B1144" s="719"/>
      <c r="C1144" s="719"/>
      <c r="D1144" s="719"/>
      <c r="E1144" s="719"/>
      <c r="F1144" s="719"/>
      <c r="G1144" s="71">
        <f>ROUND(SUM(G1141:G1143),2)</f>
        <v>48.76</v>
      </c>
      <c r="K1144" s="222"/>
    </row>
    <row r="1145" spans="1:11" ht="21" customHeight="1">
      <c r="A1145" s="72"/>
      <c r="B1145" s="72"/>
      <c r="C1145" s="752"/>
      <c r="D1145" s="753"/>
      <c r="E1145" s="72"/>
      <c r="F1145" s="72"/>
      <c r="G1145" s="72"/>
      <c r="K1145" s="222"/>
    </row>
    <row r="1146" spans="1:11" ht="30" customHeight="1">
      <c r="A1146" s="612" t="s">
        <v>2242</v>
      </c>
      <c r="B1146" s="613"/>
      <c r="C1146" s="613"/>
      <c r="D1146" s="613"/>
      <c r="E1146" s="718"/>
      <c r="F1146" s="67" t="s">
        <v>1914</v>
      </c>
      <c r="G1146" s="80"/>
      <c r="K1146" s="222"/>
    </row>
    <row r="1147" spans="1:11" ht="28.5">
      <c r="A1147" s="623" t="s">
        <v>364</v>
      </c>
      <c r="B1147" s="624"/>
      <c r="C1147" s="69" t="s">
        <v>3</v>
      </c>
      <c r="D1147" s="69" t="s">
        <v>4</v>
      </c>
      <c r="E1147" s="69" t="s">
        <v>1826</v>
      </c>
      <c r="F1147" s="69" t="s">
        <v>367</v>
      </c>
      <c r="G1147" s="69" t="s">
        <v>368</v>
      </c>
      <c r="K1147" s="222"/>
    </row>
    <row r="1148" spans="1:11" s="38" customFormat="1" ht="30">
      <c r="A1148" s="20">
        <v>4026</v>
      </c>
      <c r="B1148" s="70" t="s">
        <v>1814</v>
      </c>
      <c r="C1148" s="21" t="s">
        <v>44</v>
      </c>
      <c r="D1148" s="21" t="s">
        <v>17</v>
      </c>
      <c r="E1148" s="22">
        <v>1</v>
      </c>
      <c r="F1148" s="22">
        <f>H1148</f>
        <v>300.26249999999999</v>
      </c>
      <c r="G1148" s="22">
        <f>ROUND(F1148*E1148,2)</f>
        <v>300.26</v>
      </c>
      <c r="H1148" s="336">
        <v>300.26249999999999</v>
      </c>
      <c r="I1148" s="38" t="e">
        <f>IF(A1148&lt;&gt;0,VLOOKUP(A1148,#REF!,2,FALSE),"")</f>
        <v>#REF!</v>
      </c>
      <c r="J1148" s="336"/>
      <c r="K1148" s="222"/>
    </row>
    <row r="1149" spans="1:11" ht="30">
      <c r="A1149" s="20">
        <v>88264</v>
      </c>
      <c r="B1149" s="70" t="s">
        <v>379</v>
      </c>
      <c r="C1149" s="21" t="s">
        <v>12</v>
      </c>
      <c r="D1149" s="21" t="s">
        <v>19</v>
      </c>
      <c r="E1149" s="22">
        <v>0.6</v>
      </c>
      <c r="F1149" s="22">
        <f>H1149</f>
        <v>15.249000000000001</v>
      </c>
      <c r="G1149" s="22">
        <f>ROUND(F1149*E1149,2)</f>
        <v>9.15</v>
      </c>
      <c r="H1149" s="337">
        <v>15.249000000000001</v>
      </c>
      <c r="K1149" s="222"/>
    </row>
    <row r="1150" spans="1:11" ht="30">
      <c r="A1150" s="20">
        <v>88316</v>
      </c>
      <c r="B1150" s="70" t="s">
        <v>377</v>
      </c>
      <c r="C1150" s="21" t="s">
        <v>12</v>
      </c>
      <c r="D1150" s="21" t="s">
        <v>19</v>
      </c>
      <c r="E1150" s="22">
        <v>0.6</v>
      </c>
      <c r="F1150" s="22">
        <f>H1150</f>
        <v>11.798000000000002</v>
      </c>
      <c r="G1150" s="22">
        <f>ROUND(F1150*E1150,2)</f>
        <v>7.08</v>
      </c>
      <c r="H1150" s="337">
        <v>11.798000000000002</v>
      </c>
      <c r="K1150" s="222"/>
    </row>
    <row r="1151" spans="1:11" ht="18.75" customHeight="1">
      <c r="A1151" s="719" t="s">
        <v>1893</v>
      </c>
      <c r="B1151" s="719"/>
      <c r="C1151" s="719"/>
      <c r="D1151" s="719"/>
      <c r="E1151" s="719"/>
      <c r="F1151" s="719"/>
      <c r="G1151" s="71">
        <f>ROUND(SUM(G1148:G1150),2)</f>
        <v>316.49</v>
      </c>
      <c r="K1151" s="222"/>
    </row>
    <row r="1152" spans="1:11" ht="27" customHeight="1">
      <c r="A1152" s="72"/>
      <c r="B1152" s="72"/>
      <c r="C1152" s="752"/>
      <c r="D1152" s="753"/>
      <c r="E1152" s="72"/>
      <c r="F1152" s="72"/>
      <c r="G1152" s="72"/>
      <c r="K1152" s="222"/>
    </row>
    <row r="1153" spans="1:11" ht="25.5" customHeight="1">
      <c r="A1153" s="612" t="s">
        <v>2244</v>
      </c>
      <c r="B1153" s="613"/>
      <c r="C1153" s="613"/>
      <c r="D1153" s="613"/>
      <c r="E1153" s="718"/>
      <c r="F1153" s="67" t="s">
        <v>1914</v>
      </c>
      <c r="G1153" s="80"/>
      <c r="K1153" s="222"/>
    </row>
    <row r="1154" spans="1:11" ht="28.5">
      <c r="A1154" s="623" t="s">
        <v>364</v>
      </c>
      <c r="B1154" s="624"/>
      <c r="C1154" s="69" t="s">
        <v>3</v>
      </c>
      <c r="D1154" s="69" t="s">
        <v>4</v>
      </c>
      <c r="E1154" s="69" t="s">
        <v>1826</v>
      </c>
      <c r="F1154" s="69" t="s">
        <v>367</v>
      </c>
      <c r="G1154" s="69" t="s">
        <v>368</v>
      </c>
      <c r="K1154" s="222"/>
    </row>
    <row r="1155" spans="1:11" s="38" customFormat="1" ht="30">
      <c r="A1155" s="20">
        <v>4039</v>
      </c>
      <c r="B1155" s="70" t="s">
        <v>1815</v>
      </c>
      <c r="C1155" s="21" t="s">
        <v>44</v>
      </c>
      <c r="D1155" s="21" t="s">
        <v>17</v>
      </c>
      <c r="E1155" s="22">
        <v>1</v>
      </c>
      <c r="F1155" s="22">
        <f>H1155</f>
        <v>141.49950000000001</v>
      </c>
      <c r="G1155" s="22">
        <f>ROUND(F1155*E1155,2)</f>
        <v>141.5</v>
      </c>
      <c r="H1155" s="336">
        <v>141.49950000000001</v>
      </c>
      <c r="I1155" s="38" t="e">
        <f>IF(A1155&lt;&gt;0,VLOOKUP(A1155,#REF!,2,FALSE),"")</f>
        <v>#REF!</v>
      </c>
      <c r="J1155" s="336"/>
      <c r="K1155" s="222"/>
    </row>
    <row r="1156" spans="1:11" ht="30">
      <c r="A1156" s="20">
        <v>88264</v>
      </c>
      <c r="B1156" s="70" t="s">
        <v>379</v>
      </c>
      <c r="C1156" s="21" t="s">
        <v>12</v>
      </c>
      <c r="D1156" s="21" t="s">
        <v>19</v>
      </c>
      <c r="E1156" s="22">
        <v>0.3</v>
      </c>
      <c r="F1156" s="22">
        <f>H1156</f>
        <v>15.249000000000001</v>
      </c>
      <c r="G1156" s="22">
        <f>ROUND(F1156*E1156,2)</f>
        <v>4.57</v>
      </c>
      <c r="H1156" s="337">
        <v>15.249000000000001</v>
      </c>
      <c r="K1156" s="222"/>
    </row>
    <row r="1157" spans="1:11" ht="30">
      <c r="A1157" s="20">
        <v>88316</v>
      </c>
      <c r="B1157" s="70" t="s">
        <v>377</v>
      </c>
      <c r="C1157" s="21" t="s">
        <v>12</v>
      </c>
      <c r="D1157" s="21" t="s">
        <v>19</v>
      </c>
      <c r="E1157" s="22">
        <v>0.3</v>
      </c>
      <c r="F1157" s="22">
        <f>H1157</f>
        <v>11.798000000000002</v>
      </c>
      <c r="G1157" s="22">
        <f>ROUND(F1157*E1157,2)</f>
        <v>3.54</v>
      </c>
      <c r="H1157" s="337">
        <v>11.798000000000002</v>
      </c>
      <c r="K1157" s="222"/>
    </row>
    <row r="1158" spans="1:11" ht="15" customHeight="1">
      <c r="A1158" s="719" t="s">
        <v>1893</v>
      </c>
      <c r="B1158" s="719"/>
      <c r="C1158" s="719"/>
      <c r="D1158" s="719"/>
      <c r="E1158" s="719"/>
      <c r="F1158" s="719"/>
      <c r="G1158" s="71">
        <f>ROUND(SUM(G1155:G1157),2)</f>
        <v>149.61000000000001</v>
      </c>
      <c r="K1158" s="222"/>
    </row>
    <row r="1159" spans="1:11" ht="22.5" customHeight="1">
      <c r="A1159" s="72"/>
      <c r="B1159" s="72"/>
      <c r="C1159" s="752"/>
      <c r="D1159" s="753"/>
      <c r="E1159" s="72"/>
      <c r="F1159" s="72"/>
      <c r="G1159" s="72"/>
      <c r="K1159" s="222"/>
    </row>
    <row r="1160" spans="1:11" ht="33.75" customHeight="1">
      <c r="A1160" s="612" t="s">
        <v>2246</v>
      </c>
      <c r="B1160" s="613"/>
      <c r="C1160" s="613"/>
      <c r="D1160" s="613"/>
      <c r="E1160" s="718"/>
      <c r="F1160" s="67" t="s">
        <v>44</v>
      </c>
      <c r="G1160" s="80"/>
      <c r="K1160" s="222"/>
    </row>
    <row r="1161" spans="1:11" ht="28.5">
      <c r="A1161" s="623" t="s">
        <v>364</v>
      </c>
      <c r="B1161" s="624"/>
      <c r="C1161" s="69" t="s">
        <v>3</v>
      </c>
      <c r="D1161" s="69" t="s">
        <v>4</v>
      </c>
      <c r="E1161" s="69" t="s">
        <v>1826</v>
      </c>
      <c r="F1161" s="69" t="s">
        <v>367</v>
      </c>
      <c r="G1161" s="69" t="s">
        <v>368</v>
      </c>
      <c r="K1161" s="222"/>
    </row>
    <row r="1162" spans="1:11" s="38" customFormat="1">
      <c r="A1162" s="76">
        <v>2001</v>
      </c>
      <c r="B1162" s="77" t="s">
        <v>1824</v>
      </c>
      <c r="C1162" s="78" t="s">
        <v>44</v>
      </c>
      <c r="D1162" s="78" t="s">
        <v>17</v>
      </c>
      <c r="E1162" s="73">
        <v>1</v>
      </c>
      <c r="F1162" s="22">
        <f>H1162</f>
        <v>1.7850000000000001</v>
      </c>
      <c r="G1162" s="22">
        <f>ROUND(F1162*E1162,2)</f>
        <v>1.79</v>
      </c>
      <c r="H1162" s="336">
        <v>1.7850000000000001</v>
      </c>
      <c r="I1162" s="38" t="e">
        <f>IF(A1162&lt;&gt;0,VLOOKUP(A1162,#REF!,2,FALSE),"")</f>
        <v>#REF!</v>
      </c>
      <c r="J1162" s="336"/>
      <c r="K1162" s="222"/>
    </row>
    <row r="1163" spans="1:11" ht="30">
      <c r="A1163" s="20">
        <v>88264</v>
      </c>
      <c r="B1163" s="70" t="s">
        <v>379</v>
      </c>
      <c r="C1163" s="21" t="s">
        <v>12</v>
      </c>
      <c r="D1163" s="21" t="s">
        <v>19</v>
      </c>
      <c r="E1163" s="22">
        <v>0.12</v>
      </c>
      <c r="F1163" s="22">
        <f>H1163</f>
        <v>15.249000000000001</v>
      </c>
      <c r="G1163" s="22">
        <f>ROUND(F1163*E1163,2)</f>
        <v>1.83</v>
      </c>
      <c r="H1163" s="337">
        <v>15.249000000000001</v>
      </c>
      <c r="K1163" s="222"/>
    </row>
    <row r="1164" spans="1:11" ht="30">
      <c r="A1164" s="20">
        <v>88316</v>
      </c>
      <c r="B1164" s="70" t="s">
        <v>377</v>
      </c>
      <c r="C1164" s="21" t="s">
        <v>12</v>
      </c>
      <c r="D1164" s="21" t="s">
        <v>19</v>
      </c>
      <c r="E1164" s="22">
        <v>0.12</v>
      </c>
      <c r="F1164" s="22">
        <f>H1164</f>
        <v>11.798000000000002</v>
      </c>
      <c r="G1164" s="22">
        <f>ROUND(F1164*E1164,2)</f>
        <v>1.42</v>
      </c>
      <c r="H1164" s="337">
        <v>11.798000000000002</v>
      </c>
      <c r="K1164" s="222"/>
    </row>
    <row r="1165" spans="1:11" ht="15" customHeight="1">
      <c r="A1165" s="719" t="s">
        <v>1893</v>
      </c>
      <c r="B1165" s="719"/>
      <c r="C1165" s="719"/>
      <c r="D1165" s="719"/>
      <c r="E1165" s="719"/>
      <c r="F1165" s="719"/>
      <c r="G1165" s="71">
        <f>ROUND(SUM(G1162:G1164),2)</f>
        <v>5.04</v>
      </c>
      <c r="K1165" s="222"/>
    </row>
    <row r="1166" spans="1:11" ht="21.75" customHeight="1">
      <c r="A1166" s="72"/>
      <c r="B1166" s="72"/>
      <c r="C1166" s="752"/>
      <c r="D1166" s="753"/>
      <c r="E1166" s="72"/>
      <c r="F1166" s="72"/>
      <c r="G1166" s="72"/>
      <c r="K1166" s="222"/>
    </row>
    <row r="1167" spans="1:11" ht="37.5" customHeight="1">
      <c r="A1167" s="612" t="s">
        <v>2269</v>
      </c>
      <c r="B1167" s="613"/>
      <c r="C1167" s="613"/>
      <c r="D1167" s="613"/>
      <c r="E1167" s="718"/>
      <c r="F1167" s="67" t="s">
        <v>44</v>
      </c>
      <c r="G1167" s="80"/>
      <c r="K1167" s="222"/>
    </row>
    <row r="1168" spans="1:11" ht="28.5">
      <c r="A1168" s="623" t="s">
        <v>364</v>
      </c>
      <c r="B1168" s="624"/>
      <c r="C1168" s="69" t="s">
        <v>3</v>
      </c>
      <c r="D1168" s="69" t="s">
        <v>4</v>
      </c>
      <c r="E1168" s="69" t="s">
        <v>1826</v>
      </c>
      <c r="F1168" s="69" t="s">
        <v>367</v>
      </c>
      <c r="G1168" s="69" t="s">
        <v>368</v>
      </c>
      <c r="K1168" s="222"/>
    </row>
    <row r="1169" spans="1:11" s="38" customFormat="1" ht="30">
      <c r="A1169" s="76">
        <v>2000</v>
      </c>
      <c r="B1169" s="77" t="s">
        <v>2247</v>
      </c>
      <c r="C1169" s="78" t="s">
        <v>44</v>
      </c>
      <c r="D1169" s="78" t="s">
        <v>17</v>
      </c>
      <c r="E1169" s="73">
        <v>1</v>
      </c>
      <c r="F1169" s="22">
        <f>H1169</f>
        <v>2.2949999999999999</v>
      </c>
      <c r="G1169" s="22">
        <f>ROUND(F1169*E1169,2)</f>
        <v>2.2999999999999998</v>
      </c>
      <c r="H1169" s="336">
        <v>2.2949999999999999</v>
      </c>
      <c r="I1169" s="38" t="e">
        <f>IF(A1169&lt;&gt;0,VLOOKUP(A1169,#REF!,2,FALSE),"")</f>
        <v>#REF!</v>
      </c>
      <c r="J1169" s="336"/>
      <c r="K1169" s="222"/>
    </row>
    <row r="1170" spans="1:11" ht="15" customHeight="1">
      <c r="A1170" s="20">
        <v>88264</v>
      </c>
      <c r="B1170" s="70" t="s">
        <v>379</v>
      </c>
      <c r="C1170" s="21" t="s">
        <v>12</v>
      </c>
      <c r="D1170" s="21" t="s">
        <v>19</v>
      </c>
      <c r="E1170" s="22">
        <v>0.12</v>
      </c>
      <c r="F1170" s="22">
        <f>H1170</f>
        <v>15.249000000000001</v>
      </c>
      <c r="G1170" s="22">
        <f>ROUND(F1170*E1170,2)</f>
        <v>1.83</v>
      </c>
      <c r="H1170" s="337">
        <v>15.249000000000001</v>
      </c>
      <c r="K1170" s="222"/>
    </row>
    <row r="1171" spans="1:11" ht="30">
      <c r="A1171" s="20">
        <v>88316</v>
      </c>
      <c r="B1171" s="70" t="s">
        <v>377</v>
      </c>
      <c r="C1171" s="21" t="s">
        <v>12</v>
      </c>
      <c r="D1171" s="21" t="s">
        <v>19</v>
      </c>
      <c r="E1171" s="22">
        <v>0.12</v>
      </c>
      <c r="F1171" s="22">
        <f>H1171</f>
        <v>11.798000000000002</v>
      </c>
      <c r="G1171" s="22">
        <f>ROUND(F1171*E1171,2)</f>
        <v>1.42</v>
      </c>
      <c r="H1171" s="337">
        <v>11.798000000000002</v>
      </c>
      <c r="K1171" s="222"/>
    </row>
    <row r="1172" spans="1:11">
      <c r="A1172" s="719" t="s">
        <v>1893</v>
      </c>
      <c r="B1172" s="719"/>
      <c r="C1172" s="719"/>
      <c r="D1172" s="719"/>
      <c r="E1172" s="719"/>
      <c r="F1172" s="719"/>
      <c r="G1172" s="71">
        <f>ROUND(SUM(G1169:G1171),2)</f>
        <v>5.55</v>
      </c>
      <c r="K1172" s="222"/>
    </row>
    <row r="1173" spans="1:11" ht="25.5" customHeight="1">
      <c r="A1173" s="72"/>
      <c r="B1173" s="72"/>
      <c r="C1173" s="752"/>
      <c r="D1173" s="753"/>
      <c r="E1173" s="72"/>
      <c r="F1173" s="72"/>
      <c r="G1173" s="72"/>
      <c r="K1173" s="222"/>
    </row>
    <row r="1174" spans="1:11" ht="24.75" customHeight="1">
      <c r="A1174" s="612" t="s">
        <v>2248</v>
      </c>
      <c r="B1174" s="613"/>
      <c r="C1174" s="613"/>
      <c r="D1174" s="613"/>
      <c r="E1174" s="718"/>
      <c r="F1174" s="67" t="s">
        <v>44</v>
      </c>
      <c r="G1174" s="80"/>
      <c r="K1174" s="222"/>
    </row>
    <row r="1175" spans="1:11" ht="28.5">
      <c r="A1175" s="623" t="s">
        <v>364</v>
      </c>
      <c r="B1175" s="624"/>
      <c r="C1175" s="69" t="s">
        <v>3</v>
      </c>
      <c r="D1175" s="69" t="s">
        <v>4</v>
      </c>
      <c r="E1175" s="69" t="s">
        <v>1826</v>
      </c>
      <c r="F1175" s="69" t="s">
        <v>367</v>
      </c>
      <c r="G1175" s="69" t="s">
        <v>368</v>
      </c>
      <c r="K1175" s="222"/>
    </row>
    <row r="1176" spans="1:11" s="38" customFormat="1" ht="30">
      <c r="A1176" s="20">
        <v>13317</v>
      </c>
      <c r="B1176" s="70" t="s">
        <v>2249</v>
      </c>
      <c r="C1176" s="21" t="s">
        <v>44</v>
      </c>
      <c r="D1176" s="21" t="s">
        <v>17</v>
      </c>
      <c r="E1176" s="22">
        <v>1</v>
      </c>
      <c r="F1176" s="22">
        <f>H1176</f>
        <v>19.702999999999999</v>
      </c>
      <c r="G1176" s="22">
        <f>ROUND(F1176*E1176,2)</f>
        <v>19.7</v>
      </c>
      <c r="H1176" s="336">
        <v>19.702999999999999</v>
      </c>
      <c r="I1176" s="38" t="e">
        <f>IF(A1176&lt;&gt;0,VLOOKUP(A1176,#REF!,2,FALSE),"")</f>
        <v>#REF!</v>
      </c>
      <c r="J1176" s="336"/>
      <c r="K1176" s="222"/>
    </row>
    <row r="1177" spans="1:11" ht="15" customHeight="1">
      <c r="A1177" s="20">
        <v>88264</v>
      </c>
      <c r="B1177" s="70" t="s">
        <v>379</v>
      </c>
      <c r="C1177" s="21" t="s">
        <v>12</v>
      </c>
      <c r="D1177" s="21" t="s">
        <v>19</v>
      </c>
      <c r="E1177" s="22">
        <v>0.15</v>
      </c>
      <c r="F1177" s="22">
        <f>H1177</f>
        <v>15.249000000000001</v>
      </c>
      <c r="G1177" s="22">
        <f>ROUND(F1177*E1177,2)</f>
        <v>2.29</v>
      </c>
      <c r="H1177" s="337">
        <v>15.249000000000001</v>
      </c>
      <c r="K1177" s="222"/>
    </row>
    <row r="1178" spans="1:11" ht="30">
      <c r="A1178" s="20">
        <v>88316</v>
      </c>
      <c r="B1178" s="70" t="s">
        <v>377</v>
      </c>
      <c r="C1178" s="21" t="s">
        <v>12</v>
      </c>
      <c r="D1178" s="21" t="s">
        <v>19</v>
      </c>
      <c r="E1178" s="22">
        <v>0.15</v>
      </c>
      <c r="F1178" s="22">
        <f>H1178</f>
        <v>11.798000000000002</v>
      </c>
      <c r="G1178" s="22">
        <f>ROUND(F1178*E1178,2)</f>
        <v>1.77</v>
      </c>
      <c r="H1178" s="337">
        <v>11.798000000000002</v>
      </c>
      <c r="K1178" s="222"/>
    </row>
    <row r="1179" spans="1:11">
      <c r="A1179" s="719" t="s">
        <v>1893</v>
      </c>
      <c r="B1179" s="719"/>
      <c r="C1179" s="719"/>
      <c r="D1179" s="719"/>
      <c r="E1179" s="719"/>
      <c r="F1179" s="719"/>
      <c r="G1179" s="71">
        <f>ROUND(SUM(G1176:G1178),2)</f>
        <v>23.76</v>
      </c>
      <c r="K1179" s="222"/>
    </row>
    <row r="1180" spans="1:11" ht="24.75" customHeight="1">
      <c r="A1180" s="72"/>
      <c r="B1180" s="72"/>
      <c r="C1180" s="752"/>
      <c r="D1180" s="753"/>
      <c r="E1180" s="72"/>
      <c r="F1180" s="72"/>
      <c r="G1180" s="72"/>
      <c r="K1180" s="222"/>
    </row>
    <row r="1181" spans="1:11" ht="21.75" customHeight="1">
      <c r="A1181" s="612" t="s">
        <v>2251</v>
      </c>
      <c r="B1181" s="613"/>
      <c r="C1181" s="613"/>
      <c r="D1181" s="613"/>
      <c r="E1181" s="718"/>
      <c r="F1181" s="67" t="s">
        <v>70</v>
      </c>
      <c r="G1181" s="80"/>
      <c r="K1181" s="222"/>
    </row>
    <row r="1182" spans="1:11" ht="28.5">
      <c r="A1182" s="623" t="s">
        <v>364</v>
      </c>
      <c r="B1182" s="624"/>
      <c r="C1182" s="69" t="s">
        <v>3</v>
      </c>
      <c r="D1182" s="69" t="s">
        <v>4</v>
      </c>
      <c r="E1182" s="69" t="s">
        <v>1826</v>
      </c>
      <c r="F1182" s="69" t="s">
        <v>367</v>
      </c>
      <c r="G1182" s="69" t="s">
        <v>368</v>
      </c>
      <c r="K1182" s="222"/>
    </row>
    <row r="1183" spans="1:11" ht="30">
      <c r="A1183" s="20">
        <v>370</v>
      </c>
      <c r="B1183" s="70" t="s">
        <v>396</v>
      </c>
      <c r="C1183" s="21" t="s">
        <v>12</v>
      </c>
      <c r="D1183" s="21" t="s">
        <v>35</v>
      </c>
      <c r="E1183" s="22">
        <v>1.7999999999999999E-2</v>
      </c>
      <c r="F1183" s="22">
        <f>H1183</f>
        <v>42.5</v>
      </c>
      <c r="G1183" s="22">
        <f>ROUND(F1183*E1183,2)</f>
        <v>0.77</v>
      </c>
      <c r="H1183" s="337">
        <v>42.5</v>
      </c>
      <c r="I1183" s="23" t="e">
        <f>IF(A1183&lt;&gt;0,VLOOKUP(A1183,#REF!,2,FALSE),"")</f>
        <v>#REF!</v>
      </c>
      <c r="K1183" s="222"/>
    </row>
    <row r="1184" spans="1:11">
      <c r="A1184" s="20">
        <v>1379</v>
      </c>
      <c r="B1184" s="70" t="s">
        <v>397</v>
      </c>
      <c r="C1184" s="21" t="s">
        <v>12</v>
      </c>
      <c r="D1184" s="21" t="s">
        <v>45</v>
      </c>
      <c r="E1184" s="22">
        <v>7.7960000000000003</v>
      </c>
      <c r="F1184" s="22">
        <f>H1184</f>
        <v>0.60349999999999993</v>
      </c>
      <c r="G1184" s="22">
        <f>ROUND(F1184*E1184,2)</f>
        <v>4.7</v>
      </c>
      <c r="H1184" s="337">
        <v>0.60349999999999993</v>
      </c>
      <c r="I1184" s="23" t="e">
        <f>IF(A1184&lt;&gt;0,VLOOKUP(A1184,#REF!,2,FALSE),"")</f>
        <v>#REF!</v>
      </c>
      <c r="K1184" s="222"/>
    </row>
    <row r="1185" spans="1:11" ht="30">
      <c r="A1185" s="20">
        <v>4718</v>
      </c>
      <c r="B1185" s="70" t="s">
        <v>536</v>
      </c>
      <c r="C1185" s="21" t="s">
        <v>12</v>
      </c>
      <c r="D1185" s="21" t="s">
        <v>35</v>
      </c>
      <c r="E1185" s="22">
        <v>2.3E-2</v>
      </c>
      <c r="F1185" s="22">
        <f>H1185</f>
        <v>78.625</v>
      </c>
      <c r="G1185" s="22">
        <f>ROUND(F1185*E1185,2)</f>
        <v>1.81</v>
      </c>
      <c r="H1185" s="337">
        <v>78.625</v>
      </c>
      <c r="I1185" s="23" t="e">
        <f>IF(A1185&lt;&gt;0,VLOOKUP(A1185,#REF!,2,FALSE),"")</f>
        <v>#REF!</v>
      </c>
      <c r="K1185" s="222"/>
    </row>
    <row r="1186" spans="1:11" ht="30">
      <c r="A1186" s="20">
        <v>88309</v>
      </c>
      <c r="B1186" s="70" t="s">
        <v>390</v>
      </c>
      <c r="C1186" s="21" t="s">
        <v>12</v>
      </c>
      <c r="D1186" s="21" t="s">
        <v>19</v>
      </c>
      <c r="E1186" s="22">
        <v>0.12</v>
      </c>
      <c r="F1186" s="22">
        <f>H1186</f>
        <v>15.121499999999999</v>
      </c>
      <c r="G1186" s="22">
        <f>ROUND(F1186*E1186,2)</f>
        <v>1.81</v>
      </c>
      <c r="H1186" s="337">
        <v>15.121499999999999</v>
      </c>
      <c r="I1186" s="23" t="e">
        <f>IF(A1186&lt;&gt;0,VLOOKUP(A1186,#REF!,2,FALSE),"")</f>
        <v>#REF!</v>
      </c>
      <c r="K1186" s="222"/>
    </row>
    <row r="1187" spans="1:11" ht="30">
      <c r="A1187" s="20">
        <v>88316</v>
      </c>
      <c r="B1187" s="70" t="s">
        <v>377</v>
      </c>
      <c r="C1187" s="21" t="s">
        <v>12</v>
      </c>
      <c r="D1187" s="21" t="s">
        <v>19</v>
      </c>
      <c r="E1187" s="22">
        <v>0.39</v>
      </c>
      <c r="F1187" s="22">
        <f>H1187</f>
        <v>11.798000000000002</v>
      </c>
      <c r="G1187" s="22">
        <f>ROUND(F1187*E1187,2)</f>
        <v>4.5999999999999996</v>
      </c>
      <c r="H1187" s="337">
        <v>11.798000000000002</v>
      </c>
      <c r="I1187" s="23" t="e">
        <f>IF(A1187&lt;&gt;0,VLOOKUP(A1187,#REF!,2,FALSE),"")</f>
        <v>#REF!</v>
      </c>
      <c r="K1187" s="222"/>
    </row>
    <row r="1188" spans="1:11" ht="15" customHeight="1">
      <c r="A1188" s="719" t="s">
        <v>1893</v>
      </c>
      <c r="B1188" s="719"/>
      <c r="C1188" s="719"/>
      <c r="D1188" s="719"/>
      <c r="E1188" s="719"/>
      <c r="F1188" s="719"/>
      <c r="G1188" s="71">
        <f>ROUND(SUM(G1183:G1187),2)</f>
        <v>13.69</v>
      </c>
      <c r="K1188" s="222"/>
    </row>
    <row r="1189" spans="1:11" ht="28.5" customHeight="1">
      <c r="A1189" s="72"/>
      <c r="B1189" s="72"/>
      <c r="C1189" s="752"/>
      <c r="D1189" s="753"/>
      <c r="E1189" s="72"/>
      <c r="F1189" s="72"/>
      <c r="G1189" s="72"/>
      <c r="K1189" s="222"/>
    </row>
    <row r="1190" spans="1:11" ht="33" customHeight="1">
      <c r="A1190" s="612" t="s">
        <v>2253</v>
      </c>
      <c r="B1190" s="613"/>
      <c r="C1190" s="613"/>
      <c r="D1190" s="613"/>
      <c r="E1190" s="718"/>
      <c r="F1190" s="67" t="s">
        <v>44</v>
      </c>
      <c r="G1190" s="80"/>
      <c r="K1190" s="222"/>
    </row>
    <row r="1191" spans="1:11" ht="28.5">
      <c r="A1191" s="623" t="s">
        <v>364</v>
      </c>
      <c r="B1191" s="624"/>
      <c r="C1191" s="69" t="s">
        <v>3</v>
      </c>
      <c r="D1191" s="69" t="s">
        <v>4</v>
      </c>
      <c r="E1191" s="69" t="s">
        <v>1826</v>
      </c>
      <c r="F1191" s="69" t="s">
        <v>367</v>
      </c>
      <c r="G1191" s="69" t="s">
        <v>368</v>
      </c>
      <c r="K1191" s="222"/>
    </row>
    <row r="1192" spans="1:11" s="38" customFormat="1" ht="45">
      <c r="A1192" s="20">
        <v>2234</v>
      </c>
      <c r="B1192" s="70" t="s">
        <v>571</v>
      </c>
      <c r="C1192" s="21" t="s">
        <v>44</v>
      </c>
      <c r="D1192" s="21" t="s">
        <v>17</v>
      </c>
      <c r="E1192" s="22">
        <v>1</v>
      </c>
      <c r="F1192" s="22">
        <f>H1192</f>
        <v>11.135</v>
      </c>
      <c r="G1192" s="22">
        <f>ROUND(F1192*E1192,2)</f>
        <v>11.14</v>
      </c>
      <c r="H1192" s="336">
        <v>11.135</v>
      </c>
      <c r="I1192" s="38" t="e">
        <f>IF(A1192&lt;&gt;0,VLOOKUP(A1192,#REF!,2,FALSE),"")</f>
        <v>#REF!</v>
      </c>
      <c r="J1192" s="336"/>
      <c r="K1192" s="222"/>
    </row>
    <row r="1193" spans="1:11" ht="30">
      <c r="A1193" s="20">
        <v>88264</v>
      </c>
      <c r="B1193" s="70" t="s">
        <v>379</v>
      </c>
      <c r="C1193" s="21" t="s">
        <v>12</v>
      </c>
      <c r="D1193" s="21" t="s">
        <v>19</v>
      </c>
      <c r="E1193" s="22">
        <v>0.3</v>
      </c>
      <c r="F1193" s="22">
        <f>H1193</f>
        <v>15.249000000000001</v>
      </c>
      <c r="G1193" s="22">
        <f>ROUND(F1193*E1193,2)</f>
        <v>4.57</v>
      </c>
      <c r="H1193" s="337">
        <v>15.249000000000001</v>
      </c>
      <c r="K1193" s="222"/>
    </row>
    <row r="1194" spans="1:11" ht="30">
      <c r="A1194" s="20">
        <v>88316</v>
      </c>
      <c r="B1194" s="70" t="s">
        <v>377</v>
      </c>
      <c r="C1194" s="21" t="s">
        <v>12</v>
      </c>
      <c r="D1194" s="21" t="s">
        <v>19</v>
      </c>
      <c r="E1194" s="22">
        <v>0.3</v>
      </c>
      <c r="F1194" s="22">
        <f>H1194</f>
        <v>11.798000000000002</v>
      </c>
      <c r="G1194" s="22">
        <f>ROUND(F1194*E1194,2)</f>
        <v>3.54</v>
      </c>
      <c r="H1194" s="337">
        <v>11.798000000000002</v>
      </c>
      <c r="K1194" s="222"/>
    </row>
    <row r="1195" spans="1:11" ht="15" customHeight="1">
      <c r="A1195" s="719" t="s">
        <v>1893</v>
      </c>
      <c r="B1195" s="719"/>
      <c r="C1195" s="719"/>
      <c r="D1195" s="719"/>
      <c r="E1195" s="719"/>
      <c r="F1195" s="719"/>
      <c r="G1195" s="71">
        <f>ROUND(SUM(G1192:G1194),2)</f>
        <v>19.25</v>
      </c>
      <c r="K1195" s="222"/>
    </row>
    <row r="1196" spans="1:11" ht="24" customHeight="1">
      <c r="A1196" s="72"/>
      <c r="B1196" s="72"/>
      <c r="C1196" s="752"/>
      <c r="D1196" s="753"/>
      <c r="E1196" s="72"/>
      <c r="F1196" s="72"/>
      <c r="G1196" s="72"/>
      <c r="K1196" s="222"/>
    </row>
    <row r="1197" spans="1:11" ht="22.5" customHeight="1">
      <c r="A1197" s="612" t="s">
        <v>2254</v>
      </c>
      <c r="B1197" s="613"/>
      <c r="C1197" s="613"/>
      <c r="D1197" s="613"/>
      <c r="E1197" s="718"/>
      <c r="F1197" s="67" t="s">
        <v>44</v>
      </c>
      <c r="G1197" s="80"/>
      <c r="K1197" s="222"/>
    </row>
    <row r="1198" spans="1:11" ht="28.5">
      <c r="A1198" s="623" t="s">
        <v>364</v>
      </c>
      <c r="B1198" s="624"/>
      <c r="C1198" s="69" t="s">
        <v>3</v>
      </c>
      <c r="D1198" s="69" t="s">
        <v>4</v>
      </c>
      <c r="E1198" s="69" t="s">
        <v>1826</v>
      </c>
      <c r="F1198" s="69" t="s">
        <v>367</v>
      </c>
      <c r="G1198" s="69" t="s">
        <v>368</v>
      </c>
      <c r="K1198" s="222"/>
    </row>
    <row r="1199" spans="1:11" s="38" customFormat="1" ht="30">
      <c r="A1199" s="20">
        <v>8955</v>
      </c>
      <c r="B1199" s="70" t="s">
        <v>1820</v>
      </c>
      <c r="C1199" s="21" t="s">
        <v>44</v>
      </c>
      <c r="D1199" s="21" t="s">
        <v>17</v>
      </c>
      <c r="E1199" s="22">
        <v>1</v>
      </c>
      <c r="F1199" s="22">
        <f>H1199</f>
        <v>2.7795000000000001</v>
      </c>
      <c r="G1199" s="22">
        <f>ROUND(F1199*E1199,2)</f>
        <v>2.78</v>
      </c>
      <c r="H1199" s="336">
        <v>2.7795000000000001</v>
      </c>
      <c r="I1199" s="38" t="e">
        <f>IF(A1199&lt;&gt;0,VLOOKUP(A1199,#REF!,2,FALSE),"")</f>
        <v>#REF!</v>
      </c>
      <c r="J1199" s="336"/>
      <c r="K1199" s="222"/>
    </row>
    <row r="1200" spans="1:11" ht="30">
      <c r="A1200" s="20">
        <v>88264</v>
      </c>
      <c r="B1200" s="70" t="s">
        <v>379</v>
      </c>
      <c r="C1200" s="21" t="s">
        <v>12</v>
      </c>
      <c r="D1200" s="21" t="s">
        <v>19</v>
      </c>
      <c r="E1200" s="22">
        <v>0.2</v>
      </c>
      <c r="F1200" s="22">
        <f>H1200</f>
        <v>15.249000000000001</v>
      </c>
      <c r="G1200" s="22">
        <f>ROUND(F1200*E1200,2)</f>
        <v>3.05</v>
      </c>
      <c r="H1200" s="337">
        <v>15.249000000000001</v>
      </c>
      <c r="K1200" s="222"/>
    </row>
    <row r="1201" spans="1:11" ht="30">
      <c r="A1201" s="20">
        <v>88316</v>
      </c>
      <c r="B1201" s="70" t="s">
        <v>377</v>
      </c>
      <c r="C1201" s="21" t="s">
        <v>12</v>
      </c>
      <c r="D1201" s="21" t="s">
        <v>19</v>
      </c>
      <c r="E1201" s="22">
        <v>0.2</v>
      </c>
      <c r="F1201" s="22">
        <f>H1201</f>
        <v>11.798000000000002</v>
      </c>
      <c r="G1201" s="22">
        <f>ROUND(F1201*E1201,2)</f>
        <v>2.36</v>
      </c>
      <c r="H1201" s="337">
        <v>11.798000000000002</v>
      </c>
      <c r="K1201" s="222"/>
    </row>
    <row r="1202" spans="1:11" ht="15" customHeight="1">
      <c r="A1202" s="719" t="s">
        <v>1893</v>
      </c>
      <c r="B1202" s="719"/>
      <c r="C1202" s="719"/>
      <c r="D1202" s="719"/>
      <c r="E1202" s="719"/>
      <c r="F1202" s="719"/>
      <c r="G1202" s="71">
        <f>ROUND(SUM(G1199:G1201),2)</f>
        <v>8.19</v>
      </c>
      <c r="K1202" s="222"/>
    </row>
    <row r="1203" spans="1:11" ht="29.25" customHeight="1">
      <c r="A1203" s="72"/>
      <c r="B1203" s="72"/>
      <c r="C1203" s="752"/>
      <c r="D1203" s="753"/>
      <c r="E1203" s="72"/>
      <c r="F1203" s="72"/>
      <c r="G1203" s="72"/>
      <c r="K1203" s="222"/>
    </row>
    <row r="1204" spans="1:11" ht="15" customHeight="1">
      <c r="A1204" s="612" t="s">
        <v>2255</v>
      </c>
      <c r="B1204" s="613"/>
      <c r="C1204" s="613"/>
      <c r="D1204" s="613"/>
      <c r="E1204" s="718"/>
      <c r="F1204" s="67" t="s">
        <v>44</v>
      </c>
      <c r="G1204" s="80"/>
      <c r="K1204" s="222"/>
    </row>
    <row r="1205" spans="1:11" ht="28.5">
      <c r="A1205" s="623" t="s">
        <v>364</v>
      </c>
      <c r="B1205" s="624"/>
      <c r="C1205" s="69" t="s">
        <v>3</v>
      </c>
      <c r="D1205" s="69" t="s">
        <v>4</v>
      </c>
      <c r="E1205" s="69" t="s">
        <v>1826</v>
      </c>
      <c r="F1205" s="69" t="s">
        <v>367</v>
      </c>
      <c r="G1205" s="69" t="s">
        <v>368</v>
      </c>
      <c r="K1205" s="222"/>
    </row>
    <row r="1206" spans="1:11" s="38" customFormat="1" ht="30">
      <c r="A1206" s="20">
        <v>3639</v>
      </c>
      <c r="B1206" s="70" t="s">
        <v>1821</v>
      </c>
      <c r="C1206" s="21" t="s">
        <v>44</v>
      </c>
      <c r="D1206" s="21" t="s">
        <v>17</v>
      </c>
      <c r="E1206" s="22">
        <v>1</v>
      </c>
      <c r="F1206" s="22">
        <f>H1206</f>
        <v>4.165</v>
      </c>
      <c r="G1206" s="22">
        <f>ROUND(F1206*E1206,2)</f>
        <v>4.17</v>
      </c>
      <c r="H1206" s="336">
        <v>4.165</v>
      </c>
      <c r="I1206" s="38" t="e">
        <f>IF(A1206&lt;&gt;0,VLOOKUP(A1206,#REF!,2,FALSE),"")</f>
        <v>#REF!</v>
      </c>
      <c r="J1206" s="336"/>
      <c r="K1206" s="222"/>
    </row>
    <row r="1207" spans="1:11" ht="15" customHeight="1">
      <c r="A1207" s="20">
        <v>88264</v>
      </c>
      <c r="B1207" s="70" t="s">
        <v>379</v>
      </c>
      <c r="C1207" s="21" t="s">
        <v>12</v>
      </c>
      <c r="D1207" s="21" t="s">
        <v>19</v>
      </c>
      <c r="E1207" s="22">
        <v>0.2</v>
      </c>
      <c r="F1207" s="22">
        <f>H1207</f>
        <v>15.249000000000001</v>
      </c>
      <c r="G1207" s="22">
        <f>ROUND(F1207*E1207,2)</f>
        <v>3.05</v>
      </c>
      <c r="H1207" s="337">
        <v>15.249000000000001</v>
      </c>
      <c r="K1207" s="222"/>
    </row>
    <row r="1208" spans="1:11" ht="30">
      <c r="A1208" s="20">
        <v>88316</v>
      </c>
      <c r="B1208" s="70" t="s">
        <v>377</v>
      </c>
      <c r="C1208" s="21" t="s">
        <v>12</v>
      </c>
      <c r="D1208" s="21" t="s">
        <v>19</v>
      </c>
      <c r="E1208" s="22">
        <v>0.2</v>
      </c>
      <c r="F1208" s="22">
        <f>H1208</f>
        <v>11.798000000000002</v>
      </c>
      <c r="G1208" s="22">
        <f>ROUND(F1208*E1208,2)</f>
        <v>2.36</v>
      </c>
      <c r="H1208" s="337">
        <v>11.798000000000002</v>
      </c>
      <c r="K1208" s="222"/>
    </row>
    <row r="1209" spans="1:11">
      <c r="A1209" s="719" t="s">
        <v>1893</v>
      </c>
      <c r="B1209" s="719"/>
      <c r="C1209" s="719"/>
      <c r="D1209" s="719"/>
      <c r="E1209" s="719"/>
      <c r="F1209" s="719"/>
      <c r="G1209" s="71">
        <f>ROUND(SUM(G1206:G1208),2)</f>
        <v>9.58</v>
      </c>
      <c r="K1209" s="222"/>
    </row>
    <row r="1210" spans="1:11" ht="22.5" customHeight="1">
      <c r="A1210" s="72"/>
      <c r="B1210" s="72"/>
      <c r="C1210" s="752"/>
      <c r="D1210" s="753"/>
      <c r="E1210" s="72"/>
      <c r="F1210" s="72"/>
      <c r="G1210" s="72"/>
      <c r="K1210" s="222"/>
    </row>
    <row r="1211" spans="1:11" ht="25.5" customHeight="1">
      <c r="A1211" s="612" t="s">
        <v>2256</v>
      </c>
      <c r="B1211" s="613"/>
      <c r="C1211" s="613"/>
      <c r="D1211" s="613"/>
      <c r="E1211" s="718"/>
      <c r="F1211" s="67" t="s">
        <v>44</v>
      </c>
      <c r="G1211" s="80"/>
      <c r="K1211" s="222"/>
    </row>
    <row r="1212" spans="1:11" ht="28.5">
      <c r="A1212" s="623" t="s">
        <v>364</v>
      </c>
      <c r="B1212" s="624"/>
      <c r="C1212" s="69" t="s">
        <v>3</v>
      </c>
      <c r="D1212" s="69" t="s">
        <v>4</v>
      </c>
      <c r="E1212" s="69" t="s">
        <v>1826</v>
      </c>
      <c r="F1212" s="69" t="s">
        <v>367</v>
      </c>
      <c r="G1212" s="69" t="s">
        <v>368</v>
      </c>
      <c r="K1212" s="222"/>
    </row>
    <row r="1213" spans="1:11" s="38" customFormat="1" ht="30">
      <c r="A1213" s="20">
        <v>13682</v>
      </c>
      <c r="B1213" s="70" t="s">
        <v>2257</v>
      </c>
      <c r="C1213" s="21" t="s">
        <v>44</v>
      </c>
      <c r="D1213" s="21" t="s">
        <v>17</v>
      </c>
      <c r="E1213" s="22">
        <v>1</v>
      </c>
      <c r="F1213" s="22">
        <f>H1213</f>
        <v>6.2474999999999996</v>
      </c>
      <c r="G1213" s="22">
        <f>ROUND(F1213*E1213,2)</f>
        <v>6.25</v>
      </c>
      <c r="H1213" s="336">
        <v>6.2474999999999996</v>
      </c>
      <c r="I1213" s="38" t="e">
        <f>IF(A1213&lt;&gt;0,VLOOKUP(A1213,#REF!,2,FALSE),"")</f>
        <v>#REF!</v>
      </c>
      <c r="J1213" s="336"/>
      <c r="K1213" s="222"/>
    </row>
    <row r="1214" spans="1:11" ht="15" customHeight="1">
      <c r="A1214" s="20">
        <v>88264</v>
      </c>
      <c r="B1214" s="70" t="s">
        <v>379</v>
      </c>
      <c r="C1214" s="21" t="s">
        <v>12</v>
      </c>
      <c r="D1214" s="21" t="s">
        <v>19</v>
      </c>
      <c r="E1214" s="22">
        <v>0.2</v>
      </c>
      <c r="F1214" s="22">
        <f>H1214</f>
        <v>15.249000000000001</v>
      </c>
      <c r="G1214" s="22">
        <f>ROUND(F1214*E1214,2)</f>
        <v>3.05</v>
      </c>
      <c r="H1214" s="337">
        <v>15.249000000000001</v>
      </c>
      <c r="K1214" s="222"/>
    </row>
    <row r="1215" spans="1:11" ht="30">
      <c r="A1215" s="20">
        <v>88316</v>
      </c>
      <c r="B1215" s="70" t="s">
        <v>377</v>
      </c>
      <c r="C1215" s="21" t="s">
        <v>12</v>
      </c>
      <c r="D1215" s="21" t="s">
        <v>19</v>
      </c>
      <c r="E1215" s="22">
        <v>0.2</v>
      </c>
      <c r="F1215" s="22">
        <f>H1215</f>
        <v>11.798000000000002</v>
      </c>
      <c r="G1215" s="22">
        <f>ROUND(F1215*E1215,2)</f>
        <v>2.36</v>
      </c>
      <c r="H1215" s="337">
        <v>11.798000000000002</v>
      </c>
      <c r="K1215" s="222"/>
    </row>
    <row r="1216" spans="1:11">
      <c r="A1216" s="719" t="s">
        <v>1893</v>
      </c>
      <c r="B1216" s="719"/>
      <c r="C1216" s="719"/>
      <c r="D1216" s="719"/>
      <c r="E1216" s="719"/>
      <c r="F1216" s="719"/>
      <c r="G1216" s="71">
        <f>ROUND(SUM(G1213:G1215),2)</f>
        <v>11.66</v>
      </c>
      <c r="K1216" s="222"/>
    </row>
    <row r="1217" spans="1:11" ht="21.75" customHeight="1">
      <c r="A1217" s="72"/>
      <c r="B1217" s="72"/>
      <c r="C1217" s="752"/>
      <c r="D1217" s="753"/>
      <c r="E1217" s="72"/>
      <c r="F1217" s="72"/>
      <c r="G1217" s="72"/>
      <c r="K1217" s="222"/>
    </row>
    <row r="1218" spans="1:11" ht="24.75" customHeight="1">
      <c r="A1218" s="612" t="s">
        <v>2258</v>
      </c>
      <c r="B1218" s="613"/>
      <c r="C1218" s="613"/>
      <c r="D1218" s="613"/>
      <c r="E1218" s="718"/>
      <c r="F1218" s="67" t="s">
        <v>44</v>
      </c>
      <c r="G1218" s="80"/>
      <c r="K1218" s="222"/>
    </row>
    <row r="1219" spans="1:11" ht="28.5">
      <c r="A1219" s="623" t="s">
        <v>364</v>
      </c>
      <c r="B1219" s="624"/>
      <c r="C1219" s="69" t="s">
        <v>3</v>
      </c>
      <c r="D1219" s="69" t="s">
        <v>4</v>
      </c>
      <c r="E1219" s="69" t="s">
        <v>1826</v>
      </c>
      <c r="F1219" s="69" t="s">
        <v>367</v>
      </c>
      <c r="G1219" s="69" t="s">
        <v>368</v>
      </c>
      <c r="K1219" s="222"/>
    </row>
    <row r="1220" spans="1:11" s="38" customFormat="1" ht="30">
      <c r="A1220" s="20">
        <v>3986</v>
      </c>
      <c r="B1220" s="70" t="s">
        <v>2259</v>
      </c>
      <c r="C1220" s="21" t="s">
        <v>44</v>
      </c>
      <c r="D1220" s="21" t="s">
        <v>17</v>
      </c>
      <c r="E1220" s="22">
        <v>1</v>
      </c>
      <c r="F1220" s="22">
        <f>H1220</f>
        <v>8.16</v>
      </c>
      <c r="G1220" s="22">
        <f>ROUND(F1220*E1220,2)</f>
        <v>8.16</v>
      </c>
      <c r="H1220" s="336">
        <v>8.16</v>
      </c>
      <c r="I1220" s="38" t="e">
        <f>IF(A1220&lt;&gt;0,VLOOKUP(A1220,#REF!,2,FALSE),"")</f>
        <v>#REF!</v>
      </c>
      <c r="J1220" s="336"/>
      <c r="K1220" s="222"/>
    </row>
    <row r="1221" spans="1:11" ht="15" customHeight="1">
      <c r="A1221" s="20">
        <v>88264</v>
      </c>
      <c r="B1221" s="70" t="s">
        <v>379</v>
      </c>
      <c r="C1221" s="21" t="s">
        <v>12</v>
      </c>
      <c r="D1221" s="21" t="s">
        <v>19</v>
      </c>
      <c r="E1221" s="22">
        <v>0.2</v>
      </c>
      <c r="F1221" s="22">
        <f>H1221</f>
        <v>15.249000000000001</v>
      </c>
      <c r="G1221" s="22">
        <f>ROUND(F1221*E1221,2)</f>
        <v>3.05</v>
      </c>
      <c r="H1221" s="337">
        <v>15.249000000000001</v>
      </c>
      <c r="K1221" s="222"/>
    </row>
    <row r="1222" spans="1:11" ht="30">
      <c r="A1222" s="20">
        <v>88316</v>
      </c>
      <c r="B1222" s="70" t="s">
        <v>377</v>
      </c>
      <c r="C1222" s="21" t="s">
        <v>12</v>
      </c>
      <c r="D1222" s="21" t="s">
        <v>19</v>
      </c>
      <c r="E1222" s="22">
        <v>0.2</v>
      </c>
      <c r="F1222" s="22">
        <f>H1222</f>
        <v>11.798000000000002</v>
      </c>
      <c r="G1222" s="22">
        <f>ROUND(F1222*E1222,2)</f>
        <v>2.36</v>
      </c>
      <c r="H1222" s="337">
        <v>11.798000000000002</v>
      </c>
      <c r="K1222" s="222"/>
    </row>
    <row r="1223" spans="1:11">
      <c r="A1223" s="719" t="s">
        <v>1893</v>
      </c>
      <c r="B1223" s="719"/>
      <c r="C1223" s="719"/>
      <c r="D1223" s="719"/>
      <c r="E1223" s="719"/>
      <c r="F1223" s="719"/>
      <c r="G1223" s="71">
        <f>ROUND(SUM(G1220:G1222),2)</f>
        <v>13.57</v>
      </c>
      <c r="K1223" s="222"/>
    </row>
    <row r="1224" spans="1:11" ht="23.25" customHeight="1">
      <c r="A1224" s="72"/>
      <c r="B1224" s="72"/>
      <c r="C1224" s="752"/>
      <c r="D1224" s="753"/>
      <c r="E1224" s="72"/>
      <c r="F1224" s="72"/>
      <c r="G1224" s="72"/>
      <c r="K1224" s="222"/>
    </row>
    <row r="1225" spans="1:11" ht="15" customHeight="1">
      <c r="A1225" s="612" t="s">
        <v>2260</v>
      </c>
      <c r="B1225" s="613"/>
      <c r="C1225" s="613"/>
      <c r="D1225" s="613"/>
      <c r="E1225" s="718"/>
      <c r="F1225" s="67" t="s">
        <v>44</v>
      </c>
      <c r="G1225" s="80"/>
      <c r="K1225" s="222"/>
    </row>
    <row r="1226" spans="1:11" ht="28.5">
      <c r="A1226" s="623" t="s">
        <v>364</v>
      </c>
      <c r="B1226" s="624"/>
      <c r="C1226" s="69" t="s">
        <v>3</v>
      </c>
      <c r="D1226" s="69" t="s">
        <v>4</v>
      </c>
      <c r="E1226" s="69" t="s">
        <v>1826</v>
      </c>
      <c r="F1226" s="69" t="s">
        <v>367</v>
      </c>
      <c r="G1226" s="69" t="s">
        <v>368</v>
      </c>
      <c r="K1226" s="222"/>
    </row>
    <row r="1227" spans="1:11" s="38" customFormat="1" ht="30">
      <c r="A1227" s="20">
        <v>3640</v>
      </c>
      <c r="B1227" s="70" t="s">
        <v>1822</v>
      </c>
      <c r="C1227" s="21" t="s">
        <v>44</v>
      </c>
      <c r="D1227" s="21" t="s">
        <v>17</v>
      </c>
      <c r="E1227" s="22">
        <v>1</v>
      </c>
      <c r="F1227" s="22">
        <f>H1227</f>
        <v>6.63</v>
      </c>
      <c r="G1227" s="22">
        <f>ROUND(F1227*E1227,2)</f>
        <v>6.63</v>
      </c>
      <c r="H1227" s="336">
        <v>6.63</v>
      </c>
      <c r="I1227" s="38" t="e">
        <f>IF(A1227&lt;&gt;0,VLOOKUP(A1227,#REF!,2,FALSE),"")</f>
        <v>#REF!</v>
      </c>
      <c r="J1227" s="336"/>
      <c r="K1227" s="222"/>
    </row>
    <row r="1228" spans="1:11" ht="15" customHeight="1">
      <c r="A1228" s="20">
        <v>88264</v>
      </c>
      <c r="B1228" s="70" t="s">
        <v>379</v>
      </c>
      <c r="C1228" s="21" t="s">
        <v>12</v>
      </c>
      <c r="D1228" s="21" t="s">
        <v>19</v>
      </c>
      <c r="E1228" s="22">
        <v>0.2</v>
      </c>
      <c r="F1228" s="22">
        <f>H1228</f>
        <v>15.249000000000001</v>
      </c>
      <c r="G1228" s="22">
        <f>ROUND(F1228*E1228,2)</f>
        <v>3.05</v>
      </c>
      <c r="H1228" s="337">
        <v>15.249000000000001</v>
      </c>
      <c r="K1228" s="222"/>
    </row>
    <row r="1229" spans="1:11" ht="30">
      <c r="A1229" s="20">
        <v>88316</v>
      </c>
      <c r="B1229" s="70" t="s">
        <v>377</v>
      </c>
      <c r="C1229" s="21" t="s">
        <v>12</v>
      </c>
      <c r="D1229" s="21" t="s">
        <v>19</v>
      </c>
      <c r="E1229" s="22">
        <v>0.2</v>
      </c>
      <c r="F1229" s="22">
        <f>H1229</f>
        <v>11.798000000000002</v>
      </c>
      <c r="G1229" s="22">
        <f>ROUND(F1229*E1229,2)</f>
        <v>2.36</v>
      </c>
      <c r="H1229" s="337">
        <v>11.798000000000002</v>
      </c>
      <c r="K1229" s="222"/>
    </row>
    <row r="1230" spans="1:11">
      <c r="A1230" s="719" t="s">
        <v>1893</v>
      </c>
      <c r="B1230" s="719"/>
      <c r="C1230" s="719"/>
      <c r="D1230" s="719"/>
      <c r="E1230" s="719"/>
      <c r="F1230" s="719"/>
      <c r="G1230" s="71">
        <f>ROUND(SUM(G1227:G1229),2)</f>
        <v>12.04</v>
      </c>
      <c r="K1230" s="222"/>
    </row>
    <row r="1231" spans="1:11" ht="24" customHeight="1">
      <c r="A1231" s="72"/>
      <c r="B1231" s="72"/>
      <c r="C1231" s="752"/>
      <c r="D1231" s="753"/>
      <c r="E1231" s="72"/>
      <c r="F1231" s="72"/>
      <c r="G1231" s="72"/>
      <c r="K1231" s="222"/>
    </row>
    <row r="1232" spans="1:11" ht="15" customHeight="1">
      <c r="A1232" s="612" t="s">
        <v>2263</v>
      </c>
      <c r="B1232" s="613"/>
      <c r="C1232" s="613"/>
      <c r="D1232" s="613"/>
      <c r="E1232" s="718"/>
      <c r="F1232" s="67" t="s">
        <v>44</v>
      </c>
      <c r="G1232" s="80"/>
      <c r="K1232" s="222"/>
    </row>
    <row r="1233" spans="1:11" ht="28.5">
      <c r="A1233" s="623" t="s">
        <v>364</v>
      </c>
      <c r="B1233" s="624"/>
      <c r="C1233" s="69" t="s">
        <v>3</v>
      </c>
      <c r="D1233" s="69" t="s">
        <v>4</v>
      </c>
      <c r="E1233" s="69" t="s">
        <v>1826</v>
      </c>
      <c r="F1233" s="69" t="s">
        <v>367</v>
      </c>
      <c r="G1233" s="69" t="s">
        <v>368</v>
      </c>
      <c r="K1233" s="222"/>
    </row>
    <row r="1234" spans="1:11" s="38" customFormat="1" ht="30">
      <c r="A1234" s="20">
        <v>3988</v>
      </c>
      <c r="B1234" s="70" t="s">
        <v>2262</v>
      </c>
      <c r="C1234" s="21" t="s">
        <v>44</v>
      </c>
      <c r="D1234" s="21" t="s">
        <v>17</v>
      </c>
      <c r="E1234" s="22">
        <v>1</v>
      </c>
      <c r="F1234" s="22">
        <f>H1234</f>
        <v>6.9105000000000008</v>
      </c>
      <c r="G1234" s="22">
        <f>ROUND(F1234*E1234,2)</f>
        <v>6.91</v>
      </c>
      <c r="H1234" s="336">
        <v>6.9105000000000008</v>
      </c>
      <c r="I1234" s="38" t="e">
        <f>IF(A1234&lt;&gt;0,VLOOKUP(A1234,#REF!,2,FALSE),"")</f>
        <v>#REF!</v>
      </c>
      <c r="J1234" s="336"/>
      <c r="K1234" s="222"/>
    </row>
    <row r="1235" spans="1:11" ht="15" customHeight="1">
      <c r="A1235" s="20">
        <v>88264</v>
      </c>
      <c r="B1235" s="70" t="s">
        <v>379</v>
      </c>
      <c r="C1235" s="21" t="s">
        <v>12</v>
      </c>
      <c r="D1235" s="21" t="s">
        <v>19</v>
      </c>
      <c r="E1235" s="22">
        <v>0.2</v>
      </c>
      <c r="F1235" s="22">
        <f>H1235</f>
        <v>15.249000000000001</v>
      </c>
      <c r="G1235" s="22">
        <f>ROUND(F1235*E1235,2)</f>
        <v>3.05</v>
      </c>
      <c r="H1235" s="337">
        <v>15.249000000000001</v>
      </c>
      <c r="K1235" s="222"/>
    </row>
    <row r="1236" spans="1:11" ht="30">
      <c r="A1236" s="20">
        <v>88316</v>
      </c>
      <c r="B1236" s="70" t="s">
        <v>377</v>
      </c>
      <c r="C1236" s="21" t="s">
        <v>12</v>
      </c>
      <c r="D1236" s="21" t="s">
        <v>19</v>
      </c>
      <c r="E1236" s="22">
        <v>0.2</v>
      </c>
      <c r="F1236" s="22">
        <f>H1236</f>
        <v>11.798000000000002</v>
      </c>
      <c r="G1236" s="22">
        <f>ROUND(F1236*E1236,2)</f>
        <v>2.36</v>
      </c>
      <c r="H1236" s="337">
        <v>11.798000000000002</v>
      </c>
      <c r="K1236" s="222"/>
    </row>
    <row r="1237" spans="1:11">
      <c r="A1237" s="719" t="s">
        <v>1893</v>
      </c>
      <c r="B1237" s="719"/>
      <c r="C1237" s="719"/>
      <c r="D1237" s="719"/>
      <c r="E1237" s="719"/>
      <c r="F1237" s="719"/>
      <c r="G1237" s="71">
        <f>ROUND(SUM(G1234:G1236),2)</f>
        <v>12.32</v>
      </c>
      <c r="K1237" s="222"/>
    </row>
    <row r="1238" spans="1:11" ht="30" customHeight="1">
      <c r="A1238" s="72"/>
      <c r="B1238" s="72"/>
      <c r="C1238" s="752"/>
      <c r="D1238" s="753"/>
      <c r="E1238" s="72"/>
      <c r="F1238" s="72"/>
      <c r="G1238" s="72"/>
      <c r="K1238" s="222"/>
    </row>
    <row r="1239" spans="1:11" ht="26.25" customHeight="1">
      <c r="A1239" s="612" t="s">
        <v>2264</v>
      </c>
      <c r="B1239" s="613"/>
      <c r="C1239" s="613"/>
      <c r="D1239" s="613"/>
      <c r="E1239" s="718"/>
      <c r="F1239" s="67" t="s">
        <v>1914</v>
      </c>
      <c r="G1239" s="80"/>
      <c r="K1239" s="222"/>
    </row>
    <row r="1240" spans="1:11" ht="28.5">
      <c r="A1240" s="623" t="s">
        <v>364</v>
      </c>
      <c r="B1240" s="624"/>
      <c r="C1240" s="69" t="s">
        <v>3</v>
      </c>
      <c r="D1240" s="69" t="s">
        <v>4</v>
      </c>
      <c r="E1240" s="69" t="s">
        <v>1826</v>
      </c>
      <c r="F1240" s="69" t="s">
        <v>367</v>
      </c>
      <c r="G1240" s="69" t="s">
        <v>368</v>
      </c>
      <c r="K1240" s="222"/>
    </row>
    <row r="1241" spans="1:11" ht="45">
      <c r="A1241" s="20">
        <v>39772</v>
      </c>
      <c r="B1241" s="70" t="s">
        <v>572</v>
      </c>
      <c r="C1241" s="21" t="s">
        <v>12</v>
      </c>
      <c r="D1241" s="21" t="s">
        <v>17</v>
      </c>
      <c r="E1241" s="22">
        <v>1</v>
      </c>
      <c r="F1241" s="22">
        <f>H1241</f>
        <v>52.665999999999997</v>
      </c>
      <c r="G1241" s="22">
        <f>ROUND(F1241*E1241,2)</f>
        <v>52.67</v>
      </c>
      <c r="H1241" s="337">
        <v>52.665999999999997</v>
      </c>
      <c r="I1241" s="23" t="e">
        <f>IF(A1241&lt;&gt;0,VLOOKUP(A1241,#REF!,2,FALSE),"")</f>
        <v>#REF!</v>
      </c>
      <c r="K1241" s="222"/>
    </row>
    <row r="1242" spans="1:11" ht="30">
      <c r="A1242" s="20">
        <v>88247</v>
      </c>
      <c r="B1242" s="70" t="s">
        <v>510</v>
      </c>
      <c r="C1242" s="21" t="s">
        <v>12</v>
      </c>
      <c r="D1242" s="21" t="s">
        <v>19</v>
      </c>
      <c r="E1242" s="22">
        <v>2</v>
      </c>
      <c r="F1242" s="22">
        <f>H1242</f>
        <v>11.9085</v>
      </c>
      <c r="G1242" s="22">
        <f>ROUND(F1242*E1242,2)</f>
        <v>23.82</v>
      </c>
      <c r="H1242" s="337">
        <v>11.9085</v>
      </c>
      <c r="I1242" s="23" t="e">
        <f>IF(A1242&lt;&gt;0,VLOOKUP(A1242,#REF!,2,FALSE),"")</f>
        <v>#REF!</v>
      </c>
      <c r="K1242" s="222"/>
    </row>
    <row r="1243" spans="1:11" ht="30">
      <c r="A1243" s="20">
        <v>88264</v>
      </c>
      <c r="B1243" s="70" t="s">
        <v>379</v>
      </c>
      <c r="C1243" s="21" t="s">
        <v>12</v>
      </c>
      <c r="D1243" s="21" t="s">
        <v>19</v>
      </c>
      <c r="E1243" s="22">
        <v>2</v>
      </c>
      <c r="F1243" s="22">
        <f>H1243</f>
        <v>15.249000000000001</v>
      </c>
      <c r="G1243" s="22">
        <f>ROUND(F1243*E1243,2)</f>
        <v>30.5</v>
      </c>
      <c r="H1243" s="337">
        <v>15.249000000000001</v>
      </c>
      <c r="I1243" s="23" t="e">
        <f>IF(A1243&lt;&gt;0,VLOOKUP(A1243,#REF!,2,FALSE),"")</f>
        <v>#REF!</v>
      </c>
      <c r="K1243" s="222"/>
    </row>
    <row r="1244" spans="1:11" ht="15" customHeight="1">
      <c r="A1244" s="719" t="s">
        <v>1893</v>
      </c>
      <c r="B1244" s="719"/>
      <c r="C1244" s="719"/>
      <c r="D1244" s="719"/>
      <c r="E1244" s="719"/>
      <c r="F1244" s="719"/>
      <c r="G1244" s="71">
        <f>ROUND(SUM(G1241:G1243),2)</f>
        <v>106.99</v>
      </c>
      <c r="K1244" s="222"/>
    </row>
    <row r="1245" spans="1:11" ht="27.75" customHeight="1">
      <c r="A1245" s="72"/>
      <c r="B1245" s="72"/>
      <c r="C1245" s="752"/>
      <c r="D1245" s="753"/>
      <c r="E1245" s="72"/>
      <c r="F1245" s="72"/>
      <c r="G1245" s="72"/>
      <c r="K1245" s="222"/>
    </row>
    <row r="1246" spans="1:11" ht="24.75" customHeight="1">
      <c r="A1246" s="612" t="s">
        <v>2268</v>
      </c>
      <c r="B1246" s="613"/>
      <c r="C1246" s="613"/>
      <c r="D1246" s="613"/>
      <c r="E1246" s="718"/>
      <c r="F1246" s="67" t="s">
        <v>44</v>
      </c>
      <c r="G1246" s="80"/>
      <c r="K1246" s="222"/>
    </row>
    <row r="1247" spans="1:11" ht="28.5">
      <c r="A1247" s="623" t="s">
        <v>364</v>
      </c>
      <c r="B1247" s="624"/>
      <c r="C1247" s="69" t="s">
        <v>3</v>
      </c>
      <c r="D1247" s="69" t="s">
        <v>4</v>
      </c>
      <c r="E1247" s="69" t="s">
        <v>1826</v>
      </c>
      <c r="F1247" s="69" t="s">
        <v>367</v>
      </c>
      <c r="G1247" s="69" t="s">
        <v>368</v>
      </c>
      <c r="K1247" s="222"/>
    </row>
    <row r="1248" spans="1:11" s="38" customFormat="1" ht="30">
      <c r="A1248" s="20">
        <v>13509</v>
      </c>
      <c r="B1248" s="70" t="s">
        <v>2267</v>
      </c>
      <c r="C1248" s="21" t="s">
        <v>44</v>
      </c>
      <c r="D1248" s="21" t="s">
        <v>17</v>
      </c>
      <c r="E1248" s="22">
        <v>1</v>
      </c>
      <c r="F1248" s="22">
        <f>H1248</f>
        <v>2132.65</v>
      </c>
      <c r="G1248" s="22">
        <f>ROUND(F1248*E1248,2)</f>
        <v>2132.65</v>
      </c>
      <c r="H1248" s="336">
        <v>2132.65</v>
      </c>
      <c r="I1248" s="38" t="e">
        <f>IF(A1248&lt;&gt;0,VLOOKUP(A1248,#REF!,2,FALSE),"")</f>
        <v>#REF!</v>
      </c>
      <c r="J1248" s="336"/>
      <c r="K1248" s="222"/>
    </row>
    <row r="1249" spans="1:11" ht="30">
      <c r="A1249" s="20">
        <v>88247</v>
      </c>
      <c r="B1249" s="70" t="s">
        <v>510</v>
      </c>
      <c r="C1249" s="21" t="s">
        <v>12</v>
      </c>
      <c r="D1249" s="21" t="s">
        <v>19</v>
      </c>
      <c r="E1249" s="22">
        <v>2</v>
      </c>
      <c r="F1249" s="22">
        <f>H1249</f>
        <v>11.9085</v>
      </c>
      <c r="G1249" s="22">
        <f>ROUND(F1249*E1249,2)</f>
        <v>23.82</v>
      </c>
      <c r="H1249" s="337">
        <v>11.9085</v>
      </c>
      <c r="I1249" s="23" t="e">
        <f>IF(A1249&lt;&gt;0,VLOOKUP(A1249,#REF!,2,FALSE),"")</f>
        <v>#REF!</v>
      </c>
      <c r="K1249" s="222"/>
    </row>
    <row r="1250" spans="1:11" ht="30">
      <c r="A1250" s="20">
        <v>88264</v>
      </c>
      <c r="B1250" s="70" t="s">
        <v>379</v>
      </c>
      <c r="C1250" s="21" t="s">
        <v>12</v>
      </c>
      <c r="D1250" s="21" t="s">
        <v>19</v>
      </c>
      <c r="E1250" s="22">
        <v>2</v>
      </c>
      <c r="F1250" s="22">
        <f>H1250</f>
        <v>15.249000000000001</v>
      </c>
      <c r="G1250" s="22">
        <f>ROUND(F1250*E1250,2)</f>
        <v>30.5</v>
      </c>
      <c r="H1250" s="337">
        <v>15.249000000000001</v>
      </c>
      <c r="I1250" s="23" t="e">
        <f>IF(A1250&lt;&gt;0,VLOOKUP(A1250,#REF!,2,FALSE),"")</f>
        <v>#REF!</v>
      </c>
      <c r="K1250" s="222"/>
    </row>
    <row r="1251" spans="1:11" ht="15" customHeight="1">
      <c r="A1251" s="719" t="s">
        <v>1893</v>
      </c>
      <c r="B1251" s="719"/>
      <c r="C1251" s="719"/>
      <c r="D1251" s="719"/>
      <c r="E1251" s="719"/>
      <c r="F1251" s="719"/>
      <c r="G1251" s="71">
        <f>ROUND(SUM(G1248:G1250),2)</f>
        <v>2186.9699999999998</v>
      </c>
      <c r="K1251" s="222"/>
    </row>
    <row r="1252" spans="1:11" ht="25.5" customHeight="1">
      <c r="A1252" s="72"/>
      <c r="B1252" s="72"/>
      <c r="C1252" s="752"/>
      <c r="D1252" s="753"/>
      <c r="E1252" s="72"/>
      <c r="F1252" s="72"/>
      <c r="G1252" s="72"/>
      <c r="K1252" s="222"/>
    </row>
    <row r="1253" spans="1:11" ht="15" customHeight="1">
      <c r="A1253" s="612" t="s">
        <v>2271</v>
      </c>
      <c r="B1253" s="613"/>
      <c r="C1253" s="613"/>
      <c r="D1253" s="613"/>
      <c r="E1253" s="718"/>
      <c r="F1253" s="67" t="s">
        <v>44</v>
      </c>
      <c r="G1253" s="80"/>
      <c r="K1253" s="222"/>
    </row>
    <row r="1254" spans="1:11" ht="28.5">
      <c r="A1254" s="623" t="s">
        <v>364</v>
      </c>
      <c r="B1254" s="624"/>
      <c r="C1254" s="69" t="s">
        <v>3</v>
      </c>
      <c r="D1254" s="69" t="s">
        <v>4</v>
      </c>
      <c r="E1254" s="69" t="s">
        <v>1826</v>
      </c>
      <c r="F1254" s="69" t="s">
        <v>367</v>
      </c>
      <c r="G1254" s="69" t="s">
        <v>368</v>
      </c>
      <c r="K1254" s="222"/>
    </row>
    <row r="1255" spans="1:11" s="38" customFormat="1" ht="30">
      <c r="A1255" s="20">
        <v>3637</v>
      </c>
      <c r="B1255" s="70" t="s">
        <v>1823</v>
      </c>
      <c r="C1255" s="21" t="s">
        <v>44</v>
      </c>
      <c r="D1255" s="21" t="s">
        <v>17</v>
      </c>
      <c r="E1255" s="22">
        <v>1</v>
      </c>
      <c r="F1255" s="22">
        <f>H1255</f>
        <v>4.08</v>
      </c>
      <c r="G1255" s="22">
        <f>ROUND(F1255*E1255,2)</f>
        <v>4.08</v>
      </c>
      <c r="H1255" s="336">
        <v>4.08</v>
      </c>
      <c r="I1255" s="38" t="e">
        <f>IF(A1255&lt;&gt;0,VLOOKUP(A1255,#REF!,2,FALSE),"")</f>
        <v>#REF!</v>
      </c>
      <c r="J1255" s="336"/>
      <c r="K1255" s="222"/>
    </row>
    <row r="1256" spans="1:11" ht="15" customHeight="1">
      <c r="A1256" s="20">
        <v>88264</v>
      </c>
      <c r="B1256" s="70" t="s">
        <v>379</v>
      </c>
      <c r="C1256" s="21" t="s">
        <v>12</v>
      </c>
      <c r="D1256" s="21" t="s">
        <v>19</v>
      </c>
      <c r="E1256" s="22">
        <v>0.2</v>
      </c>
      <c r="F1256" s="22">
        <f>H1256</f>
        <v>15.249000000000001</v>
      </c>
      <c r="G1256" s="22">
        <f>ROUND(F1256*E1256,2)</f>
        <v>3.05</v>
      </c>
      <c r="H1256" s="337">
        <v>15.249000000000001</v>
      </c>
      <c r="K1256" s="222"/>
    </row>
    <row r="1257" spans="1:11" ht="30">
      <c r="A1257" s="20">
        <v>88316</v>
      </c>
      <c r="B1257" s="70" t="s">
        <v>377</v>
      </c>
      <c r="C1257" s="21" t="s">
        <v>12</v>
      </c>
      <c r="D1257" s="21" t="s">
        <v>19</v>
      </c>
      <c r="E1257" s="22">
        <v>0.2</v>
      </c>
      <c r="F1257" s="22">
        <f>H1257</f>
        <v>11.798000000000002</v>
      </c>
      <c r="G1257" s="22">
        <f>ROUND(F1257*E1257,2)</f>
        <v>2.36</v>
      </c>
      <c r="H1257" s="337">
        <v>11.798000000000002</v>
      </c>
      <c r="K1257" s="222"/>
    </row>
    <row r="1258" spans="1:11">
      <c r="A1258" s="719" t="s">
        <v>1893</v>
      </c>
      <c r="B1258" s="719"/>
      <c r="C1258" s="719"/>
      <c r="D1258" s="719"/>
      <c r="E1258" s="719"/>
      <c r="F1258" s="719"/>
      <c r="G1258" s="71">
        <f>ROUND(SUM(G1255:G1257),2)</f>
        <v>9.49</v>
      </c>
      <c r="K1258" s="222"/>
    </row>
    <row r="1259" spans="1:11" ht="21.75" customHeight="1">
      <c r="A1259" s="72"/>
      <c r="B1259" s="72"/>
      <c r="C1259" s="752"/>
      <c r="D1259" s="753"/>
      <c r="E1259" s="72"/>
      <c r="F1259" s="72"/>
      <c r="G1259" s="72"/>
      <c r="K1259" s="222"/>
    </row>
    <row r="1260" spans="1:11" ht="36.75" customHeight="1">
      <c r="A1260" s="612" t="s">
        <v>2618</v>
      </c>
      <c r="B1260" s="613"/>
      <c r="C1260" s="613"/>
      <c r="D1260" s="613"/>
      <c r="E1260" s="718"/>
      <c r="F1260" s="67" t="s">
        <v>44</v>
      </c>
      <c r="G1260" s="80"/>
      <c r="K1260" s="222"/>
    </row>
    <row r="1261" spans="1:11" ht="28.5">
      <c r="A1261" s="623" t="s">
        <v>364</v>
      </c>
      <c r="B1261" s="624"/>
      <c r="C1261" s="69" t="s">
        <v>3</v>
      </c>
      <c r="D1261" s="69" t="s">
        <v>4</v>
      </c>
      <c r="E1261" s="69" t="s">
        <v>1826</v>
      </c>
      <c r="F1261" s="69" t="s">
        <v>367</v>
      </c>
      <c r="G1261" s="69" t="s">
        <v>368</v>
      </c>
      <c r="K1261" s="222"/>
    </row>
    <row r="1262" spans="1:11" s="38" customFormat="1" ht="30">
      <c r="A1262" s="20">
        <v>3632</v>
      </c>
      <c r="B1262" s="70" t="s">
        <v>2272</v>
      </c>
      <c r="C1262" s="21" t="s">
        <v>44</v>
      </c>
      <c r="D1262" s="21" t="s">
        <v>17</v>
      </c>
      <c r="E1262" s="22">
        <v>1</v>
      </c>
      <c r="F1262" s="22">
        <f>H1262</f>
        <v>46.410000000000004</v>
      </c>
      <c r="G1262" s="22">
        <f>ROUND(F1262*E1262,2)</f>
        <v>46.41</v>
      </c>
      <c r="H1262" s="336">
        <v>46.410000000000004</v>
      </c>
      <c r="I1262" s="38" t="e">
        <f>IF(A1262&lt;&gt;0,VLOOKUP(A1262,#REF!,2,FALSE),"")</f>
        <v>#REF!</v>
      </c>
      <c r="J1262" s="336"/>
      <c r="K1262" s="222"/>
    </row>
    <row r="1263" spans="1:11" ht="15" customHeight="1">
      <c r="A1263" s="20">
        <v>88264</v>
      </c>
      <c r="B1263" s="70" t="s">
        <v>379</v>
      </c>
      <c r="C1263" s="21" t="s">
        <v>12</v>
      </c>
      <c r="D1263" s="21" t="s">
        <v>19</v>
      </c>
      <c r="E1263" s="22">
        <v>0.4</v>
      </c>
      <c r="F1263" s="22">
        <f>H1263</f>
        <v>15.249000000000001</v>
      </c>
      <c r="G1263" s="22">
        <f>ROUND(F1263*E1263,2)</f>
        <v>6.1</v>
      </c>
      <c r="H1263" s="337">
        <v>15.249000000000001</v>
      </c>
      <c r="K1263" s="222"/>
    </row>
    <row r="1264" spans="1:11" ht="30">
      <c r="A1264" s="20">
        <v>88316</v>
      </c>
      <c r="B1264" s="70" t="s">
        <v>377</v>
      </c>
      <c r="C1264" s="21" t="s">
        <v>12</v>
      </c>
      <c r="D1264" s="21" t="s">
        <v>19</v>
      </c>
      <c r="E1264" s="22">
        <v>0.4</v>
      </c>
      <c r="F1264" s="22">
        <f>H1264</f>
        <v>11.798000000000002</v>
      </c>
      <c r="G1264" s="22">
        <f>ROUND(F1264*E1264,2)</f>
        <v>4.72</v>
      </c>
      <c r="H1264" s="337">
        <v>11.798000000000002</v>
      </c>
      <c r="K1264" s="222"/>
    </row>
    <row r="1265" spans="1:11">
      <c r="A1265" s="719" t="s">
        <v>1893</v>
      </c>
      <c r="B1265" s="719"/>
      <c r="C1265" s="719"/>
      <c r="D1265" s="719"/>
      <c r="E1265" s="719"/>
      <c r="F1265" s="719"/>
      <c r="G1265" s="71">
        <f>ROUND(SUM(G1262:G1264),2)</f>
        <v>57.23</v>
      </c>
      <c r="K1265" s="222"/>
    </row>
    <row r="1266" spans="1:11" ht="24.75" customHeight="1">
      <c r="A1266" s="72"/>
      <c r="B1266" s="72"/>
      <c r="C1266" s="752"/>
      <c r="D1266" s="753"/>
      <c r="E1266" s="72"/>
      <c r="F1266" s="72"/>
      <c r="G1266" s="72"/>
      <c r="K1266" s="222"/>
    </row>
    <row r="1267" spans="1:11" ht="15" customHeight="1">
      <c r="A1267" s="612" t="s">
        <v>2274</v>
      </c>
      <c r="B1267" s="613"/>
      <c r="C1267" s="613"/>
      <c r="D1267" s="613"/>
      <c r="E1267" s="718"/>
      <c r="F1267" s="67" t="s">
        <v>44</v>
      </c>
      <c r="G1267" s="80"/>
      <c r="K1267" s="222"/>
    </row>
    <row r="1268" spans="1:11" ht="28.5">
      <c r="A1268" s="623" t="s">
        <v>364</v>
      </c>
      <c r="B1268" s="624"/>
      <c r="C1268" s="69" t="s">
        <v>3</v>
      </c>
      <c r="D1268" s="69" t="s">
        <v>4</v>
      </c>
      <c r="E1268" s="69" t="s">
        <v>1826</v>
      </c>
      <c r="F1268" s="69" t="s">
        <v>367</v>
      </c>
      <c r="G1268" s="69" t="s">
        <v>368</v>
      </c>
      <c r="K1268" s="222"/>
    </row>
    <row r="1269" spans="1:11" s="38" customFormat="1" ht="30">
      <c r="A1269" s="20">
        <v>4011</v>
      </c>
      <c r="B1269" s="70" t="s">
        <v>2273</v>
      </c>
      <c r="C1269" s="21" t="s">
        <v>44</v>
      </c>
      <c r="D1269" s="21" t="s">
        <v>17</v>
      </c>
      <c r="E1269" s="22">
        <v>1</v>
      </c>
      <c r="F1269" s="22">
        <f>H1269</f>
        <v>51.765000000000001</v>
      </c>
      <c r="G1269" s="22">
        <f>ROUND(F1269*E1269,2)</f>
        <v>51.77</v>
      </c>
      <c r="H1269" s="336">
        <v>51.765000000000001</v>
      </c>
      <c r="I1269" s="38" t="e">
        <f>IF(A1269&lt;&gt;0,VLOOKUP(A1269,#REF!,2,FALSE),"")</f>
        <v>#REF!</v>
      </c>
      <c r="J1269" s="336"/>
      <c r="K1269" s="222"/>
    </row>
    <row r="1270" spans="1:11" ht="15" customHeight="1">
      <c r="A1270" s="20">
        <v>88264</v>
      </c>
      <c r="B1270" s="70" t="s">
        <v>379</v>
      </c>
      <c r="C1270" s="21" t="s">
        <v>12</v>
      </c>
      <c r="D1270" s="21" t="s">
        <v>19</v>
      </c>
      <c r="E1270" s="22">
        <v>0.2</v>
      </c>
      <c r="F1270" s="22">
        <f>H1270</f>
        <v>15.249000000000001</v>
      </c>
      <c r="G1270" s="22">
        <f>ROUND(F1270*E1270,2)</f>
        <v>3.05</v>
      </c>
      <c r="H1270" s="337">
        <v>15.249000000000001</v>
      </c>
      <c r="K1270" s="222"/>
    </row>
    <row r="1271" spans="1:11" ht="30">
      <c r="A1271" s="20">
        <v>88316</v>
      </c>
      <c r="B1271" s="70" t="s">
        <v>377</v>
      </c>
      <c r="C1271" s="21" t="s">
        <v>12</v>
      </c>
      <c r="D1271" s="21" t="s">
        <v>19</v>
      </c>
      <c r="E1271" s="22">
        <v>0.2</v>
      </c>
      <c r="F1271" s="22">
        <f>H1271</f>
        <v>11.798000000000002</v>
      </c>
      <c r="G1271" s="22">
        <f>ROUND(F1271*E1271,2)</f>
        <v>2.36</v>
      </c>
      <c r="H1271" s="337">
        <v>11.798000000000002</v>
      </c>
      <c r="K1271" s="222"/>
    </row>
    <row r="1272" spans="1:11">
      <c r="A1272" s="719" t="s">
        <v>1893</v>
      </c>
      <c r="B1272" s="719"/>
      <c r="C1272" s="719"/>
      <c r="D1272" s="719"/>
      <c r="E1272" s="719"/>
      <c r="F1272" s="719"/>
      <c r="G1272" s="71">
        <f>ROUND(SUM(G1269:G1271),2)</f>
        <v>57.18</v>
      </c>
      <c r="K1272" s="222"/>
    </row>
    <row r="1273" spans="1:11" ht="23.25" customHeight="1">
      <c r="A1273" s="72"/>
      <c r="B1273" s="72"/>
      <c r="C1273" s="752"/>
      <c r="D1273" s="753"/>
      <c r="E1273" s="72"/>
      <c r="F1273" s="72"/>
      <c r="G1273" s="72"/>
      <c r="K1273" s="222"/>
    </row>
    <row r="1274" spans="1:11" ht="15" customHeight="1">
      <c r="A1274" s="612" t="s">
        <v>2275</v>
      </c>
      <c r="B1274" s="613"/>
      <c r="C1274" s="613"/>
      <c r="D1274" s="613"/>
      <c r="E1274" s="718"/>
      <c r="F1274" s="67" t="s">
        <v>44</v>
      </c>
      <c r="G1274" s="80"/>
      <c r="K1274" s="222"/>
    </row>
    <row r="1275" spans="1:11" ht="28.5">
      <c r="A1275" s="623" t="s">
        <v>364</v>
      </c>
      <c r="B1275" s="624"/>
      <c r="C1275" s="69" t="s">
        <v>3</v>
      </c>
      <c r="D1275" s="69" t="s">
        <v>4</v>
      </c>
      <c r="E1275" s="69" t="s">
        <v>1826</v>
      </c>
      <c r="F1275" s="69" t="s">
        <v>367</v>
      </c>
      <c r="G1275" s="69" t="s">
        <v>368</v>
      </c>
      <c r="K1275" s="222"/>
    </row>
    <row r="1276" spans="1:11" s="38" customFormat="1" ht="30">
      <c r="A1276" s="20">
        <v>6913</v>
      </c>
      <c r="B1276" s="70" t="s">
        <v>1816</v>
      </c>
      <c r="C1276" s="21" t="s">
        <v>44</v>
      </c>
      <c r="D1276" s="21" t="s">
        <v>17</v>
      </c>
      <c r="E1276" s="22">
        <v>1</v>
      </c>
      <c r="F1276" s="22">
        <f>H1276</f>
        <v>6.7149999999999999</v>
      </c>
      <c r="G1276" s="22">
        <f>ROUND(F1276*E1276,2)</f>
        <v>6.72</v>
      </c>
      <c r="H1276" s="336">
        <v>6.7149999999999999</v>
      </c>
      <c r="I1276" s="38" t="e">
        <f>IF(A1276&lt;&gt;0,VLOOKUP(A1276,#REF!,2,FALSE),"")</f>
        <v>#REF!</v>
      </c>
      <c r="J1276" s="336"/>
      <c r="K1276" s="222"/>
    </row>
    <row r="1277" spans="1:11" ht="15" customHeight="1">
      <c r="A1277" s="20">
        <v>88264</v>
      </c>
      <c r="B1277" s="70" t="s">
        <v>379</v>
      </c>
      <c r="C1277" s="21" t="s">
        <v>12</v>
      </c>
      <c r="D1277" s="21" t="s">
        <v>19</v>
      </c>
      <c r="E1277" s="22">
        <v>0.2</v>
      </c>
      <c r="F1277" s="22">
        <f>H1277</f>
        <v>15.249000000000001</v>
      </c>
      <c r="G1277" s="22">
        <f>ROUND(F1277*E1277,2)</f>
        <v>3.05</v>
      </c>
      <c r="H1277" s="337">
        <v>15.249000000000001</v>
      </c>
      <c r="K1277" s="222"/>
    </row>
    <row r="1278" spans="1:11" ht="30">
      <c r="A1278" s="20">
        <v>88316</v>
      </c>
      <c r="B1278" s="70" t="s">
        <v>377</v>
      </c>
      <c r="C1278" s="21" t="s">
        <v>12</v>
      </c>
      <c r="D1278" s="21" t="s">
        <v>19</v>
      </c>
      <c r="E1278" s="22">
        <v>0.2</v>
      </c>
      <c r="F1278" s="22">
        <f>H1278</f>
        <v>11.798000000000002</v>
      </c>
      <c r="G1278" s="22">
        <f>ROUND(F1278*E1278,2)</f>
        <v>2.36</v>
      </c>
      <c r="H1278" s="337">
        <v>11.798000000000002</v>
      </c>
      <c r="K1278" s="222"/>
    </row>
    <row r="1279" spans="1:11" ht="20.25" customHeight="1">
      <c r="A1279" s="719" t="s">
        <v>1893</v>
      </c>
      <c r="B1279" s="719"/>
      <c r="C1279" s="719"/>
      <c r="D1279" s="719"/>
      <c r="E1279" s="719"/>
      <c r="F1279" s="719"/>
      <c r="G1279" s="71">
        <f>ROUND(SUM(G1276:G1278),2)</f>
        <v>12.13</v>
      </c>
      <c r="K1279" s="222"/>
    </row>
    <row r="1280" spans="1:11" ht="24" customHeight="1">
      <c r="A1280" s="72"/>
      <c r="B1280" s="72"/>
      <c r="C1280" s="752"/>
      <c r="D1280" s="753"/>
      <c r="E1280" s="72"/>
      <c r="F1280" s="72"/>
      <c r="G1280" s="72"/>
      <c r="K1280" s="222"/>
    </row>
    <row r="1281" spans="1:11" ht="15" customHeight="1">
      <c r="A1281" s="612" t="s">
        <v>2278</v>
      </c>
      <c r="B1281" s="613"/>
      <c r="C1281" s="613"/>
      <c r="D1281" s="613"/>
      <c r="E1281" s="718"/>
      <c r="F1281" s="67" t="s">
        <v>44</v>
      </c>
      <c r="G1281" s="80"/>
      <c r="K1281" s="222"/>
    </row>
    <row r="1282" spans="1:11" ht="28.5">
      <c r="A1282" s="623" t="s">
        <v>364</v>
      </c>
      <c r="B1282" s="624"/>
      <c r="C1282" s="69" t="s">
        <v>3</v>
      </c>
      <c r="D1282" s="69" t="s">
        <v>4</v>
      </c>
      <c r="E1282" s="69" t="s">
        <v>1826</v>
      </c>
      <c r="F1282" s="69" t="s">
        <v>367</v>
      </c>
      <c r="G1282" s="69" t="s">
        <v>368</v>
      </c>
      <c r="K1282" s="222"/>
    </row>
    <row r="1283" spans="1:11" s="38" customFormat="1" ht="30">
      <c r="A1283" s="20">
        <v>4109</v>
      </c>
      <c r="B1283" s="70" t="s">
        <v>2277</v>
      </c>
      <c r="C1283" s="21" t="s">
        <v>44</v>
      </c>
      <c r="D1283" s="21" t="s">
        <v>17</v>
      </c>
      <c r="E1283" s="22">
        <v>1</v>
      </c>
      <c r="F1283" s="22">
        <f>H1283</f>
        <v>21.335000000000001</v>
      </c>
      <c r="G1283" s="22">
        <f>ROUND(F1283*E1283,2)</f>
        <v>21.34</v>
      </c>
      <c r="H1283" s="336">
        <v>21.335000000000001</v>
      </c>
      <c r="I1283" s="38" t="e">
        <f>IF(A1283&lt;&gt;0,VLOOKUP(A1283,#REF!,2,FALSE),"")</f>
        <v>#REF!</v>
      </c>
      <c r="J1283" s="336"/>
      <c r="K1283" s="222"/>
    </row>
    <row r="1284" spans="1:11" ht="15" customHeight="1">
      <c r="A1284" s="20">
        <v>88264</v>
      </c>
      <c r="B1284" s="70" t="s">
        <v>379</v>
      </c>
      <c r="C1284" s="21" t="s">
        <v>12</v>
      </c>
      <c r="D1284" s="21" t="s">
        <v>19</v>
      </c>
      <c r="E1284" s="22">
        <v>0.2</v>
      </c>
      <c r="F1284" s="22">
        <f>H1284</f>
        <v>15.249000000000001</v>
      </c>
      <c r="G1284" s="22">
        <f>ROUND(F1284*E1284,2)</f>
        <v>3.05</v>
      </c>
      <c r="H1284" s="337">
        <v>15.249000000000001</v>
      </c>
      <c r="K1284" s="222"/>
    </row>
    <row r="1285" spans="1:11" ht="30">
      <c r="A1285" s="20">
        <v>88316</v>
      </c>
      <c r="B1285" s="70" t="s">
        <v>377</v>
      </c>
      <c r="C1285" s="21" t="s">
        <v>12</v>
      </c>
      <c r="D1285" s="21" t="s">
        <v>19</v>
      </c>
      <c r="E1285" s="22">
        <v>0.2</v>
      </c>
      <c r="F1285" s="22">
        <f>H1285</f>
        <v>11.798000000000002</v>
      </c>
      <c r="G1285" s="22">
        <f>ROUND(F1285*E1285,2)</f>
        <v>2.36</v>
      </c>
      <c r="H1285" s="337">
        <v>11.798000000000002</v>
      </c>
      <c r="K1285" s="222"/>
    </row>
    <row r="1286" spans="1:11">
      <c r="A1286" s="719" t="s">
        <v>1893</v>
      </c>
      <c r="B1286" s="719"/>
      <c r="C1286" s="719"/>
      <c r="D1286" s="719"/>
      <c r="E1286" s="719"/>
      <c r="F1286" s="719"/>
      <c r="G1286" s="71">
        <f>ROUND(SUM(G1283:G1285),2)</f>
        <v>26.75</v>
      </c>
      <c r="K1286" s="222"/>
    </row>
    <row r="1287" spans="1:11" ht="30.75" customHeight="1">
      <c r="A1287" s="72"/>
      <c r="B1287" s="72"/>
      <c r="C1287" s="752"/>
      <c r="D1287" s="753"/>
      <c r="E1287" s="72"/>
      <c r="F1287" s="72"/>
      <c r="G1287" s="72"/>
      <c r="K1287" s="222"/>
    </row>
    <row r="1288" spans="1:11" ht="15" customHeight="1">
      <c r="A1288" s="612" t="s">
        <v>2279</v>
      </c>
      <c r="B1288" s="613"/>
      <c r="C1288" s="613"/>
      <c r="D1288" s="613"/>
      <c r="E1288" s="718"/>
      <c r="F1288" s="67" t="s">
        <v>44</v>
      </c>
      <c r="G1288" s="80"/>
      <c r="K1288" s="222"/>
    </row>
    <row r="1289" spans="1:11" ht="28.5">
      <c r="A1289" s="623" t="s">
        <v>364</v>
      </c>
      <c r="B1289" s="624"/>
      <c r="C1289" s="69" t="s">
        <v>3</v>
      </c>
      <c r="D1289" s="69" t="s">
        <v>4</v>
      </c>
      <c r="E1289" s="69" t="s">
        <v>1826</v>
      </c>
      <c r="F1289" s="69" t="s">
        <v>367</v>
      </c>
      <c r="G1289" s="69" t="s">
        <v>368</v>
      </c>
      <c r="K1289" s="222"/>
    </row>
    <row r="1290" spans="1:11" s="38" customFormat="1" ht="30">
      <c r="A1290" s="20">
        <v>4102</v>
      </c>
      <c r="B1290" s="70" t="s">
        <v>2280</v>
      </c>
      <c r="C1290" s="21" t="s">
        <v>44</v>
      </c>
      <c r="D1290" s="21" t="s">
        <v>17</v>
      </c>
      <c r="E1290" s="22">
        <v>1</v>
      </c>
      <c r="F1290" s="22">
        <f>H1290</f>
        <v>136</v>
      </c>
      <c r="G1290" s="22">
        <f>ROUND(F1290*E1290,2)</f>
        <v>136</v>
      </c>
      <c r="H1290" s="336">
        <v>136</v>
      </c>
      <c r="I1290" s="38" t="e">
        <f>IF(A1290&lt;&gt;0,VLOOKUP(A1290,#REF!,2,FALSE),"")</f>
        <v>#REF!</v>
      </c>
      <c r="J1290" s="336"/>
      <c r="K1290" s="222"/>
    </row>
    <row r="1291" spans="1:11" ht="15" customHeight="1">
      <c r="A1291" s="20">
        <v>88264</v>
      </c>
      <c r="B1291" s="70" t="s">
        <v>379</v>
      </c>
      <c r="C1291" s="21" t="s">
        <v>12</v>
      </c>
      <c r="D1291" s="21" t="s">
        <v>19</v>
      </c>
      <c r="E1291" s="22">
        <v>0.2</v>
      </c>
      <c r="F1291" s="22">
        <f>H1291</f>
        <v>15.249000000000001</v>
      </c>
      <c r="G1291" s="22">
        <f>ROUND(F1291*E1291,2)</f>
        <v>3.05</v>
      </c>
      <c r="H1291" s="337">
        <v>15.249000000000001</v>
      </c>
      <c r="K1291" s="222"/>
    </row>
    <row r="1292" spans="1:11" ht="30">
      <c r="A1292" s="20">
        <v>88316</v>
      </c>
      <c r="B1292" s="70" t="s">
        <v>377</v>
      </c>
      <c r="C1292" s="21" t="s">
        <v>12</v>
      </c>
      <c r="D1292" s="21" t="s">
        <v>19</v>
      </c>
      <c r="E1292" s="22">
        <v>0.2</v>
      </c>
      <c r="F1292" s="22">
        <f>H1292</f>
        <v>11.798000000000002</v>
      </c>
      <c r="G1292" s="22">
        <f>ROUND(F1292*E1292,2)</f>
        <v>2.36</v>
      </c>
      <c r="H1292" s="337">
        <v>11.798000000000002</v>
      </c>
      <c r="K1292" s="222"/>
    </row>
    <row r="1293" spans="1:11">
      <c r="A1293" s="719" t="s">
        <v>1893</v>
      </c>
      <c r="B1293" s="719"/>
      <c r="C1293" s="719"/>
      <c r="D1293" s="719"/>
      <c r="E1293" s="719"/>
      <c r="F1293" s="719"/>
      <c r="G1293" s="71">
        <f>ROUND(SUM(G1290:G1292),2)</f>
        <v>141.41</v>
      </c>
      <c r="K1293" s="222"/>
    </row>
    <row r="1294" spans="1:11" ht="24.75" customHeight="1">
      <c r="A1294" s="72"/>
      <c r="B1294" s="72"/>
      <c r="C1294" s="752"/>
      <c r="D1294" s="753"/>
      <c r="E1294" s="72"/>
      <c r="F1294" s="72"/>
      <c r="G1294" s="72"/>
      <c r="K1294" s="222"/>
    </row>
    <row r="1295" spans="1:11" ht="15" customHeight="1">
      <c r="A1295" s="612" t="s">
        <v>2282</v>
      </c>
      <c r="B1295" s="613"/>
      <c r="C1295" s="613"/>
      <c r="D1295" s="613"/>
      <c r="E1295" s="718"/>
      <c r="F1295" s="67" t="s">
        <v>44</v>
      </c>
      <c r="G1295" s="80"/>
      <c r="K1295" s="222"/>
    </row>
    <row r="1296" spans="1:11" ht="28.5">
      <c r="A1296" s="623" t="s">
        <v>364</v>
      </c>
      <c r="B1296" s="624"/>
      <c r="C1296" s="69" t="s">
        <v>3</v>
      </c>
      <c r="D1296" s="69" t="s">
        <v>4</v>
      </c>
      <c r="E1296" s="69" t="s">
        <v>1826</v>
      </c>
      <c r="F1296" s="69" t="s">
        <v>367</v>
      </c>
      <c r="G1296" s="69" t="s">
        <v>368</v>
      </c>
      <c r="K1296" s="222"/>
    </row>
    <row r="1297" spans="1:11" s="38" customFormat="1" ht="30">
      <c r="A1297" s="20">
        <v>4095</v>
      </c>
      <c r="B1297" s="70" t="s">
        <v>2281</v>
      </c>
      <c r="C1297" s="21" t="s">
        <v>44</v>
      </c>
      <c r="D1297" s="21" t="s">
        <v>17</v>
      </c>
      <c r="E1297" s="22">
        <v>1</v>
      </c>
      <c r="F1297" s="22">
        <f>H1297</f>
        <v>30.515000000000001</v>
      </c>
      <c r="G1297" s="22">
        <f>ROUND(F1297*E1297,2)</f>
        <v>30.52</v>
      </c>
      <c r="H1297" s="336">
        <v>30.515000000000001</v>
      </c>
      <c r="I1297" s="38" t="e">
        <f>IF(A1297&lt;&gt;0,VLOOKUP(A1297,#REF!,2,FALSE),"")</f>
        <v>#REF!</v>
      </c>
      <c r="J1297" s="336"/>
      <c r="K1297" s="222"/>
    </row>
    <row r="1298" spans="1:11" ht="15" customHeight="1">
      <c r="A1298" s="20">
        <v>88264</v>
      </c>
      <c r="B1298" s="70" t="s">
        <v>379</v>
      </c>
      <c r="C1298" s="21" t="s">
        <v>12</v>
      </c>
      <c r="D1298" s="21" t="s">
        <v>19</v>
      </c>
      <c r="E1298" s="22">
        <v>0.2</v>
      </c>
      <c r="F1298" s="22">
        <f>H1298</f>
        <v>15.249000000000001</v>
      </c>
      <c r="G1298" s="22">
        <f>ROUND(F1298*E1298,2)</f>
        <v>3.05</v>
      </c>
      <c r="H1298" s="337">
        <v>15.249000000000001</v>
      </c>
      <c r="K1298" s="222"/>
    </row>
    <row r="1299" spans="1:11" ht="30">
      <c r="A1299" s="20">
        <v>88316</v>
      </c>
      <c r="B1299" s="70" t="s">
        <v>377</v>
      </c>
      <c r="C1299" s="21" t="s">
        <v>12</v>
      </c>
      <c r="D1299" s="21" t="s">
        <v>19</v>
      </c>
      <c r="E1299" s="22">
        <v>0.2</v>
      </c>
      <c r="F1299" s="22">
        <f>H1299</f>
        <v>11.798000000000002</v>
      </c>
      <c r="G1299" s="22">
        <f>ROUND(F1299*E1299,2)</f>
        <v>2.36</v>
      </c>
      <c r="H1299" s="337">
        <v>11.798000000000002</v>
      </c>
      <c r="K1299" s="222"/>
    </row>
    <row r="1300" spans="1:11">
      <c r="A1300" s="719" t="s">
        <v>1893</v>
      </c>
      <c r="B1300" s="719"/>
      <c r="C1300" s="719"/>
      <c r="D1300" s="719"/>
      <c r="E1300" s="719"/>
      <c r="F1300" s="719"/>
      <c r="G1300" s="71">
        <f>ROUND(SUM(G1297:G1299),2)</f>
        <v>35.93</v>
      </c>
      <c r="K1300" s="222"/>
    </row>
    <row r="1301" spans="1:11" ht="25.5" customHeight="1">
      <c r="A1301" s="72"/>
      <c r="B1301" s="72"/>
      <c r="C1301" s="752"/>
      <c r="D1301" s="753"/>
      <c r="E1301" s="72"/>
      <c r="F1301" s="72"/>
      <c r="G1301" s="72"/>
      <c r="K1301" s="222"/>
    </row>
    <row r="1302" spans="1:11" ht="15" customHeight="1">
      <c r="A1302" s="612" t="s">
        <v>2987</v>
      </c>
      <c r="B1302" s="613"/>
      <c r="C1302" s="613"/>
      <c r="D1302" s="613"/>
      <c r="E1302" s="718"/>
      <c r="F1302" s="67" t="s">
        <v>44</v>
      </c>
      <c r="G1302" s="87">
        <v>723</v>
      </c>
      <c r="K1302" s="222"/>
    </row>
    <row r="1303" spans="1:11" ht="28.5">
      <c r="A1303" s="623" t="s">
        <v>364</v>
      </c>
      <c r="B1303" s="624"/>
      <c r="C1303" s="69" t="s">
        <v>3</v>
      </c>
      <c r="D1303" s="69" t="s">
        <v>4</v>
      </c>
      <c r="E1303" s="69" t="s">
        <v>1826</v>
      </c>
      <c r="F1303" s="69" t="s">
        <v>367</v>
      </c>
      <c r="G1303" s="69" t="s">
        <v>368</v>
      </c>
      <c r="K1303" s="222"/>
    </row>
    <row r="1304" spans="1:11" s="38" customFormat="1">
      <c r="A1304" s="76">
        <v>2003</v>
      </c>
      <c r="B1304" s="77" t="s">
        <v>1825</v>
      </c>
      <c r="C1304" s="78" t="s">
        <v>44</v>
      </c>
      <c r="D1304" s="78" t="s">
        <v>17</v>
      </c>
      <c r="E1304" s="73">
        <v>1</v>
      </c>
      <c r="F1304" s="22">
        <f>H1304</f>
        <v>1.7850000000000001</v>
      </c>
      <c r="G1304" s="22">
        <f>ROUND(F1304*E1304,2)</f>
        <v>1.79</v>
      </c>
      <c r="H1304" s="336">
        <v>1.7850000000000001</v>
      </c>
      <c r="I1304" s="38" t="e">
        <f>IF(A1304&lt;&gt;0,VLOOKUP(A1304,#REF!,2,FALSE),"")</f>
        <v>#REF!</v>
      </c>
      <c r="J1304" s="336"/>
      <c r="K1304" s="222"/>
    </row>
    <row r="1305" spans="1:11" ht="15" customHeight="1">
      <c r="A1305" s="20">
        <v>88264</v>
      </c>
      <c r="B1305" s="70" t="s">
        <v>379</v>
      </c>
      <c r="C1305" s="21" t="s">
        <v>12</v>
      </c>
      <c r="D1305" s="21" t="s">
        <v>19</v>
      </c>
      <c r="E1305" s="22">
        <v>0.06</v>
      </c>
      <c r="F1305" s="22">
        <f>H1305</f>
        <v>15.249000000000001</v>
      </c>
      <c r="G1305" s="22">
        <f>ROUND(F1305*E1305,2)</f>
        <v>0.91</v>
      </c>
      <c r="H1305" s="337">
        <v>15.249000000000001</v>
      </c>
      <c r="K1305" s="222"/>
    </row>
    <row r="1306" spans="1:11" ht="30">
      <c r="A1306" s="20">
        <v>88316</v>
      </c>
      <c r="B1306" s="70" t="s">
        <v>377</v>
      </c>
      <c r="C1306" s="21" t="s">
        <v>12</v>
      </c>
      <c r="D1306" s="21" t="s">
        <v>19</v>
      </c>
      <c r="E1306" s="22">
        <v>0.06</v>
      </c>
      <c r="F1306" s="22">
        <f>H1306</f>
        <v>11.798000000000002</v>
      </c>
      <c r="G1306" s="22">
        <f>ROUND(F1306*E1306,2)</f>
        <v>0.71</v>
      </c>
      <c r="H1306" s="337">
        <v>11.798000000000002</v>
      </c>
      <c r="K1306" s="222"/>
    </row>
    <row r="1307" spans="1:11">
      <c r="A1307" s="719" t="s">
        <v>1893</v>
      </c>
      <c r="B1307" s="719"/>
      <c r="C1307" s="719"/>
      <c r="D1307" s="719"/>
      <c r="E1307" s="719"/>
      <c r="F1307" s="719"/>
      <c r="G1307" s="71">
        <f>ROUND(SUM(G1304:G1306),2)</f>
        <v>3.41</v>
      </c>
      <c r="K1307" s="222"/>
    </row>
    <row r="1308" spans="1:11" ht="24.75" customHeight="1">
      <c r="A1308" s="72"/>
      <c r="B1308" s="72"/>
      <c r="C1308" s="752"/>
      <c r="D1308" s="753"/>
      <c r="E1308" s="72"/>
      <c r="F1308" s="72"/>
      <c r="G1308" s="72"/>
      <c r="K1308" s="222"/>
    </row>
    <row r="1309" spans="1:11" ht="27" customHeight="1">
      <c r="A1309" s="612" t="s">
        <v>2283</v>
      </c>
      <c r="B1309" s="613"/>
      <c r="C1309" s="613"/>
      <c r="D1309" s="613"/>
      <c r="E1309" s="718"/>
      <c r="F1309" s="67" t="s">
        <v>70</v>
      </c>
      <c r="G1309" s="80"/>
      <c r="K1309" s="222"/>
    </row>
    <row r="1310" spans="1:11" ht="28.5">
      <c r="A1310" s="623" t="s">
        <v>364</v>
      </c>
      <c r="B1310" s="624"/>
      <c r="C1310" s="69" t="s">
        <v>3</v>
      </c>
      <c r="D1310" s="69" t="s">
        <v>4</v>
      </c>
      <c r="E1310" s="69" t="s">
        <v>1826</v>
      </c>
      <c r="F1310" s="69" t="s">
        <v>367</v>
      </c>
      <c r="G1310" s="69" t="s">
        <v>368</v>
      </c>
      <c r="K1310" s="222"/>
    </row>
    <row r="1311" spans="1:11" ht="30">
      <c r="A1311" s="20">
        <v>39811</v>
      </c>
      <c r="B1311" s="70" t="s">
        <v>573</v>
      </c>
      <c r="C1311" s="21" t="s">
        <v>12</v>
      </c>
      <c r="D1311" s="21" t="s">
        <v>17</v>
      </c>
      <c r="E1311" s="22">
        <v>1</v>
      </c>
      <c r="F1311" s="22">
        <f>H1311</f>
        <v>24.964500000000001</v>
      </c>
      <c r="G1311" s="22">
        <f>ROUND(F1311*E1311,2)</f>
        <v>24.96</v>
      </c>
      <c r="H1311" s="337">
        <v>24.964500000000001</v>
      </c>
      <c r="I1311" s="23" t="e">
        <f>IF(A1311&lt;&gt;0,VLOOKUP(A1311,#REF!,2,FALSE),"")</f>
        <v>#REF!</v>
      </c>
      <c r="K1311" s="222"/>
    </row>
    <row r="1312" spans="1:11" ht="30">
      <c r="A1312" s="20">
        <v>88264</v>
      </c>
      <c r="B1312" s="70" t="s">
        <v>379</v>
      </c>
      <c r="C1312" s="21" t="s">
        <v>12</v>
      </c>
      <c r="D1312" s="21" t="s">
        <v>19</v>
      </c>
      <c r="E1312" s="22">
        <v>0.7</v>
      </c>
      <c r="F1312" s="22">
        <f>H1312</f>
        <v>15.249000000000001</v>
      </c>
      <c r="G1312" s="22">
        <f>ROUND(F1312*E1312,2)</f>
        <v>10.67</v>
      </c>
      <c r="H1312" s="337">
        <v>15.249000000000001</v>
      </c>
      <c r="I1312" s="23" t="e">
        <f>IF(A1312&lt;&gt;0,VLOOKUP(A1312,#REF!,2,FALSE),"")</f>
        <v>#REF!</v>
      </c>
      <c r="K1312" s="222"/>
    </row>
    <row r="1313" spans="1:11" ht="30">
      <c r="A1313" s="20">
        <v>88247</v>
      </c>
      <c r="B1313" s="70" t="s">
        <v>510</v>
      </c>
      <c r="C1313" s="21" t="s">
        <v>12</v>
      </c>
      <c r="D1313" s="21" t="s">
        <v>19</v>
      </c>
      <c r="E1313" s="22">
        <v>0.7</v>
      </c>
      <c r="F1313" s="22">
        <f>H1313</f>
        <v>11.9085</v>
      </c>
      <c r="G1313" s="22">
        <f>ROUND(F1313*E1313,2)</f>
        <v>8.34</v>
      </c>
      <c r="H1313" s="337">
        <v>11.9085</v>
      </c>
      <c r="I1313" s="23" t="e">
        <f>IF(A1313&lt;&gt;0,VLOOKUP(A1313,#REF!,2,FALSE),"")</f>
        <v>#REF!</v>
      </c>
      <c r="K1313" s="222"/>
    </row>
    <row r="1314" spans="1:11" ht="26.25" customHeight="1">
      <c r="A1314" s="615" t="s">
        <v>1893</v>
      </c>
      <c r="B1314" s="615"/>
      <c r="C1314" s="615"/>
      <c r="D1314" s="615"/>
      <c r="E1314" s="615"/>
      <c r="F1314" s="615"/>
      <c r="G1314" s="88">
        <f>ROUND(SUM(G1311:G1313),2)</f>
        <v>43.97</v>
      </c>
      <c r="K1314" s="222"/>
    </row>
    <row r="1315" spans="1:11" ht="20.25" customHeight="1">
      <c r="A1315" s="72"/>
      <c r="B1315" s="72"/>
      <c r="C1315" s="752"/>
      <c r="D1315" s="753"/>
      <c r="E1315" s="72"/>
      <c r="F1315" s="72"/>
      <c r="G1315" s="72"/>
      <c r="K1315" s="222"/>
    </row>
    <row r="1316" spans="1:11">
      <c r="A1316" s="72"/>
      <c r="B1316" s="72"/>
      <c r="C1316" s="752"/>
      <c r="D1316" s="753"/>
      <c r="E1316" s="72"/>
      <c r="F1316" s="72"/>
      <c r="G1316" s="72"/>
      <c r="K1316" s="222"/>
    </row>
    <row r="1317" spans="1:11" ht="23.25" customHeight="1">
      <c r="A1317" s="612" t="s">
        <v>2664</v>
      </c>
      <c r="B1317" s="613"/>
      <c r="C1317" s="613"/>
      <c r="D1317" s="613"/>
      <c r="E1317" s="718"/>
      <c r="F1317" s="67" t="s">
        <v>1914</v>
      </c>
      <c r="G1317" s="80"/>
      <c r="K1317" s="222"/>
    </row>
    <row r="1318" spans="1:11" ht="28.5">
      <c r="A1318" s="623" t="s">
        <v>364</v>
      </c>
      <c r="B1318" s="624"/>
      <c r="C1318" s="69" t="s">
        <v>3</v>
      </c>
      <c r="D1318" s="69" t="s">
        <v>4</v>
      </c>
      <c r="E1318" s="69" t="s">
        <v>1826</v>
      </c>
      <c r="F1318" s="69" t="s">
        <v>367</v>
      </c>
      <c r="G1318" s="69" t="s">
        <v>368</v>
      </c>
      <c r="K1318" s="222"/>
    </row>
    <row r="1319" spans="1:11" s="38" customFormat="1" ht="45">
      <c r="A1319" s="20">
        <v>11609</v>
      </c>
      <c r="B1319" s="70" t="s">
        <v>2298</v>
      </c>
      <c r="C1319" s="21" t="s">
        <v>44</v>
      </c>
      <c r="D1319" s="21" t="s">
        <v>17</v>
      </c>
      <c r="E1319" s="22">
        <v>1</v>
      </c>
      <c r="F1319" s="22">
        <f>H1319</f>
        <v>552.5</v>
      </c>
      <c r="G1319" s="22">
        <f>ROUND(F1319*E1319,2)</f>
        <v>552.5</v>
      </c>
      <c r="H1319" s="336">
        <v>552.5</v>
      </c>
      <c r="I1319" s="38" t="e">
        <f>IF(A1319&lt;&gt;0,VLOOKUP(A1319,#REF!,2,FALSE),"")</f>
        <v>#REF!</v>
      </c>
      <c r="J1319" s="336"/>
      <c r="K1319" s="222"/>
    </row>
    <row r="1320" spans="1:11" ht="30">
      <c r="A1320" s="20">
        <v>88264</v>
      </c>
      <c r="B1320" s="70" t="s">
        <v>379</v>
      </c>
      <c r="C1320" s="21" t="s">
        <v>12</v>
      </c>
      <c r="D1320" s="21" t="s">
        <v>19</v>
      </c>
      <c r="E1320" s="22">
        <v>1</v>
      </c>
      <c r="F1320" s="22">
        <f>H1320</f>
        <v>15.249000000000001</v>
      </c>
      <c r="G1320" s="22">
        <f>ROUND(F1320*E1320,2)</f>
        <v>15.25</v>
      </c>
      <c r="H1320" s="337">
        <v>15.249000000000001</v>
      </c>
      <c r="I1320" s="23" t="e">
        <f>IF(A1320&lt;&gt;0,VLOOKUP(A1320,#REF!,2,FALSE),"")</f>
        <v>#REF!</v>
      </c>
      <c r="K1320" s="222"/>
    </row>
    <row r="1321" spans="1:11" ht="28.5" customHeight="1">
      <c r="A1321" s="615" t="s">
        <v>1893</v>
      </c>
      <c r="B1321" s="615"/>
      <c r="C1321" s="615"/>
      <c r="D1321" s="615"/>
      <c r="E1321" s="615"/>
      <c r="F1321" s="615"/>
      <c r="G1321" s="88">
        <f>ROUND(SUM(G1319:G1320),2)</f>
        <v>567.75</v>
      </c>
      <c r="K1321" s="222"/>
    </row>
    <row r="1322" spans="1:11" ht="30" customHeight="1">
      <c r="A1322" s="72"/>
      <c r="B1322" s="72"/>
      <c r="C1322" s="752"/>
      <c r="D1322" s="753"/>
      <c r="E1322" s="72"/>
      <c r="F1322" s="72"/>
      <c r="G1322" s="72"/>
      <c r="K1322" s="222"/>
    </row>
    <row r="1323" spans="1:11" ht="15" customHeight="1">
      <c r="A1323" s="612" t="s">
        <v>2493</v>
      </c>
      <c r="B1323" s="613"/>
      <c r="C1323" s="613"/>
      <c r="D1323" s="613"/>
      <c r="E1323" s="718"/>
      <c r="F1323" s="67" t="s">
        <v>1914</v>
      </c>
      <c r="G1323" s="321" t="s">
        <v>2299</v>
      </c>
      <c r="K1323" s="222"/>
    </row>
    <row r="1324" spans="1:11" ht="28.5">
      <c r="A1324" s="623" t="s">
        <v>364</v>
      </c>
      <c r="B1324" s="624"/>
      <c r="C1324" s="69" t="s">
        <v>3</v>
      </c>
      <c r="D1324" s="69" t="s">
        <v>4</v>
      </c>
      <c r="E1324" s="69" t="s">
        <v>1826</v>
      </c>
      <c r="F1324" s="69" t="s">
        <v>367</v>
      </c>
      <c r="G1324" s="69" t="s">
        <v>368</v>
      </c>
      <c r="K1324" s="222"/>
    </row>
    <row r="1325" spans="1:11" ht="30">
      <c r="A1325" s="20" t="s">
        <v>1919</v>
      </c>
      <c r="B1325" s="70" t="s">
        <v>2492</v>
      </c>
      <c r="C1325" s="21" t="s">
        <v>2014</v>
      </c>
      <c r="D1325" s="21" t="s">
        <v>17</v>
      </c>
      <c r="E1325" s="22">
        <v>1</v>
      </c>
      <c r="F1325" s="22">
        <f>H1325</f>
        <v>2271.5697500000001</v>
      </c>
      <c r="G1325" s="22">
        <f>ROUND(F1325*E1325,2)</f>
        <v>2271.5700000000002</v>
      </c>
      <c r="H1325" s="337">
        <v>2271.5697500000001</v>
      </c>
      <c r="K1325" s="222"/>
    </row>
    <row r="1326" spans="1:11" ht="30">
      <c r="A1326" s="20">
        <v>88264</v>
      </c>
      <c r="B1326" s="70" t="s">
        <v>379</v>
      </c>
      <c r="C1326" s="21" t="s">
        <v>12</v>
      </c>
      <c r="D1326" s="21" t="s">
        <v>19</v>
      </c>
      <c r="E1326" s="22">
        <v>1</v>
      </c>
      <c r="F1326" s="22">
        <f>H1326</f>
        <v>15.249000000000001</v>
      </c>
      <c r="G1326" s="22">
        <f>ROUND(F1326*E1326,2)</f>
        <v>15.25</v>
      </c>
      <c r="H1326" s="337">
        <v>15.249000000000001</v>
      </c>
      <c r="I1326" s="23" t="e">
        <f>IF(A1326&lt;&gt;0,VLOOKUP(A1326,#REF!,2,FALSE),"")</f>
        <v>#REF!</v>
      </c>
      <c r="K1326" s="222"/>
    </row>
    <row r="1327" spans="1:11" ht="15" customHeight="1">
      <c r="A1327" s="20">
        <v>88247</v>
      </c>
      <c r="B1327" s="70" t="s">
        <v>510</v>
      </c>
      <c r="C1327" s="21" t="s">
        <v>12</v>
      </c>
      <c r="D1327" s="21" t="s">
        <v>19</v>
      </c>
      <c r="E1327" s="22">
        <v>1</v>
      </c>
      <c r="F1327" s="22">
        <f>H1327</f>
        <v>11.9085</v>
      </c>
      <c r="G1327" s="22">
        <f>ROUND(F1327*E1327,2)</f>
        <v>11.91</v>
      </c>
      <c r="H1327" s="337">
        <v>11.9085</v>
      </c>
      <c r="I1327" s="23" t="e">
        <f>IF(A1327&lt;&gt;0,VLOOKUP(A1327,#REF!,2,FALSE),"")</f>
        <v>#REF!</v>
      </c>
      <c r="K1327" s="222"/>
    </row>
    <row r="1328" spans="1:11">
      <c r="A1328" s="615" t="s">
        <v>1893</v>
      </c>
      <c r="B1328" s="615"/>
      <c r="C1328" s="615"/>
      <c r="D1328" s="615"/>
      <c r="E1328" s="615"/>
      <c r="F1328" s="615"/>
      <c r="G1328" s="88">
        <f>ROUND(SUM(G1325:G1327),2)</f>
        <v>2298.73</v>
      </c>
      <c r="K1328" s="222"/>
    </row>
    <row r="1329" spans="1:11" ht="23.25" customHeight="1">
      <c r="A1329" s="72"/>
      <c r="B1329" s="72"/>
      <c r="C1329" s="752"/>
      <c r="D1329" s="753"/>
      <c r="E1329" s="72"/>
      <c r="F1329" s="72"/>
      <c r="G1329" s="72"/>
      <c r="K1329" s="222"/>
    </row>
    <row r="1330" spans="1:11" ht="15" customHeight="1">
      <c r="A1330" s="612" t="s">
        <v>2301</v>
      </c>
      <c r="B1330" s="613"/>
      <c r="C1330" s="613"/>
      <c r="D1330" s="613"/>
      <c r="E1330" s="613"/>
      <c r="F1330" s="67" t="s">
        <v>1914</v>
      </c>
      <c r="G1330" s="80"/>
      <c r="K1330" s="222"/>
    </row>
    <row r="1331" spans="1:11" ht="28.5">
      <c r="A1331" s="623" t="s">
        <v>364</v>
      </c>
      <c r="B1331" s="624"/>
      <c r="C1331" s="69" t="s">
        <v>3</v>
      </c>
      <c r="D1331" s="69" t="s">
        <v>4</v>
      </c>
      <c r="E1331" s="69" t="s">
        <v>1826</v>
      </c>
      <c r="F1331" s="69" t="s">
        <v>367</v>
      </c>
      <c r="G1331" s="69" t="s">
        <v>368</v>
      </c>
      <c r="K1331" s="222"/>
    </row>
    <row r="1332" spans="1:11" s="38" customFormat="1" ht="30">
      <c r="A1332" s="20">
        <v>2022</v>
      </c>
      <c r="B1332" s="70" t="s">
        <v>2300</v>
      </c>
      <c r="C1332" s="21" t="s">
        <v>44</v>
      </c>
      <c r="D1332" s="21" t="s">
        <v>17</v>
      </c>
      <c r="E1332" s="22">
        <v>1</v>
      </c>
      <c r="F1332" s="22">
        <f>H1332</f>
        <v>470.05</v>
      </c>
      <c r="G1332" s="22">
        <f>ROUND(F1332*E1332,2)</f>
        <v>470.05</v>
      </c>
      <c r="H1332" s="336">
        <v>470.05</v>
      </c>
      <c r="I1332" s="38" t="e">
        <f>IF(A1332&lt;&gt;0,VLOOKUP(A1332,#REF!,2,FALSE),"")</f>
        <v>#REF!</v>
      </c>
      <c r="J1332" s="336"/>
      <c r="K1332" s="222"/>
    </row>
    <row r="1333" spans="1:11" ht="30">
      <c r="A1333" s="20">
        <v>88264</v>
      </c>
      <c r="B1333" s="70" t="s">
        <v>379</v>
      </c>
      <c r="C1333" s="21" t="s">
        <v>12</v>
      </c>
      <c r="D1333" s="21" t="s">
        <v>19</v>
      </c>
      <c r="E1333" s="22">
        <v>1.65</v>
      </c>
      <c r="F1333" s="22">
        <f>H1333</f>
        <v>15.249000000000001</v>
      </c>
      <c r="G1333" s="22">
        <f>ROUND(F1333*E1333,2)</f>
        <v>25.16</v>
      </c>
      <c r="H1333" s="337">
        <v>15.249000000000001</v>
      </c>
      <c r="I1333" s="23" t="e">
        <f>IF(A1333&lt;&gt;0,VLOOKUP(A1333,#REF!,2,FALSE),"")</f>
        <v>#REF!</v>
      </c>
      <c r="K1333" s="222"/>
    </row>
    <row r="1334" spans="1:11" ht="30">
      <c r="A1334" s="20">
        <v>88247</v>
      </c>
      <c r="B1334" s="70" t="s">
        <v>510</v>
      </c>
      <c r="C1334" s="21" t="s">
        <v>12</v>
      </c>
      <c r="D1334" s="21" t="s">
        <v>19</v>
      </c>
      <c r="E1334" s="22">
        <v>1.8560000000000001</v>
      </c>
      <c r="F1334" s="22">
        <f>H1334</f>
        <v>11.9085</v>
      </c>
      <c r="G1334" s="22">
        <f>ROUND(F1334*E1334,2)</f>
        <v>22.1</v>
      </c>
      <c r="H1334" s="337">
        <v>11.9085</v>
      </c>
      <c r="I1334" s="23" t="e">
        <f>IF(A1334&lt;&gt;0,VLOOKUP(A1334,#REF!,2,FALSE),"")</f>
        <v>#REF!</v>
      </c>
      <c r="K1334" s="222"/>
    </row>
    <row r="1335" spans="1:11" ht="15" customHeight="1">
      <c r="A1335" s="615" t="s">
        <v>1893</v>
      </c>
      <c r="B1335" s="615"/>
      <c r="C1335" s="615"/>
      <c r="D1335" s="615"/>
      <c r="E1335" s="615"/>
      <c r="F1335" s="615"/>
      <c r="G1335" s="88">
        <f>ROUND(SUM(G1332:G1334),2)</f>
        <v>517.30999999999995</v>
      </c>
      <c r="K1335" s="222"/>
    </row>
    <row r="1336" spans="1:11" ht="22.5" customHeight="1">
      <c r="A1336" s="72"/>
      <c r="B1336" s="72"/>
      <c r="C1336" s="752"/>
      <c r="D1336" s="753"/>
      <c r="E1336" s="72"/>
      <c r="F1336" s="72"/>
      <c r="G1336" s="72"/>
      <c r="K1336" s="222"/>
    </row>
    <row r="1337" spans="1:11" ht="24.75" customHeight="1">
      <c r="A1337" s="612" t="s">
        <v>2303</v>
      </c>
      <c r="B1337" s="613"/>
      <c r="C1337" s="613"/>
      <c r="D1337" s="613"/>
      <c r="E1337" s="718"/>
      <c r="F1337" s="67" t="s">
        <v>1914</v>
      </c>
      <c r="G1337" s="80"/>
      <c r="K1337" s="222"/>
    </row>
    <row r="1338" spans="1:11" ht="28.5">
      <c r="A1338" s="623" t="s">
        <v>364</v>
      </c>
      <c r="B1338" s="624"/>
      <c r="C1338" s="69" t="s">
        <v>3</v>
      </c>
      <c r="D1338" s="69" t="s">
        <v>4</v>
      </c>
      <c r="E1338" s="69" t="s">
        <v>1826</v>
      </c>
      <c r="F1338" s="69" t="s">
        <v>367</v>
      </c>
      <c r="G1338" s="69" t="s">
        <v>368</v>
      </c>
      <c r="K1338" s="222"/>
    </row>
    <row r="1339" spans="1:11" s="38" customFormat="1">
      <c r="A1339" s="20">
        <v>11943</v>
      </c>
      <c r="B1339" s="70" t="s">
        <v>574</v>
      </c>
      <c r="C1339" s="21" t="s">
        <v>44</v>
      </c>
      <c r="D1339" s="21" t="s">
        <v>17</v>
      </c>
      <c r="E1339" s="22">
        <v>1</v>
      </c>
      <c r="F1339" s="22">
        <f>H1339</f>
        <v>42.414999999999999</v>
      </c>
      <c r="G1339" s="22">
        <f>ROUND(F1339*E1339,2)</f>
        <v>42.42</v>
      </c>
      <c r="H1339" s="336">
        <v>42.414999999999999</v>
      </c>
      <c r="I1339" s="38" t="e">
        <f>IF(A1339&lt;&gt;0,VLOOKUP(A1339,#REF!,2,FALSE),"")</f>
        <v>#REF!</v>
      </c>
      <c r="J1339" s="336"/>
      <c r="K1339" s="222"/>
    </row>
    <row r="1340" spans="1:11" ht="30">
      <c r="A1340" s="20">
        <v>88264</v>
      </c>
      <c r="B1340" s="70" t="s">
        <v>379</v>
      </c>
      <c r="C1340" s="21" t="s">
        <v>12</v>
      </c>
      <c r="D1340" s="21" t="s">
        <v>19</v>
      </c>
      <c r="E1340" s="22">
        <v>1.8560000000000001</v>
      </c>
      <c r="F1340" s="22">
        <f>H1340</f>
        <v>15.249000000000001</v>
      </c>
      <c r="G1340" s="22">
        <f>ROUND(F1340*E1340,2)</f>
        <v>28.3</v>
      </c>
      <c r="H1340" s="337">
        <v>15.249000000000001</v>
      </c>
      <c r="I1340" s="23" t="e">
        <f>IF(A1340&lt;&gt;0,VLOOKUP(A1340,#REF!,2,FALSE),"")</f>
        <v>#REF!</v>
      </c>
      <c r="K1340" s="222"/>
    </row>
    <row r="1341" spans="1:11" ht="30">
      <c r="A1341" s="20">
        <v>88247</v>
      </c>
      <c r="B1341" s="70" t="s">
        <v>510</v>
      </c>
      <c r="C1341" s="21" t="s">
        <v>12</v>
      </c>
      <c r="D1341" s="21" t="s">
        <v>19</v>
      </c>
      <c r="E1341" s="22">
        <v>1.8560000000000001</v>
      </c>
      <c r="F1341" s="22">
        <f>H1341</f>
        <v>11.9085</v>
      </c>
      <c r="G1341" s="22">
        <f>ROUND(F1341*E1341,2)</f>
        <v>22.1</v>
      </c>
      <c r="H1341" s="337">
        <v>11.9085</v>
      </c>
      <c r="I1341" s="23" t="e">
        <f>IF(A1341&lt;&gt;0,VLOOKUP(A1341,#REF!,2,FALSE),"")</f>
        <v>#REF!</v>
      </c>
      <c r="K1341" s="222"/>
    </row>
    <row r="1342" spans="1:11" ht="15" customHeight="1">
      <c r="A1342" s="615" t="s">
        <v>1893</v>
      </c>
      <c r="B1342" s="615"/>
      <c r="C1342" s="615"/>
      <c r="D1342" s="615"/>
      <c r="E1342" s="615"/>
      <c r="F1342" s="615"/>
      <c r="G1342" s="88">
        <f>ROUND(SUM(G1339:G1341),2)</f>
        <v>92.82</v>
      </c>
      <c r="K1342" s="222"/>
    </row>
    <row r="1343" spans="1:11" ht="28.5" customHeight="1">
      <c r="A1343" s="72"/>
      <c r="B1343" s="72"/>
      <c r="C1343" s="752"/>
      <c r="D1343" s="753"/>
      <c r="E1343" s="72"/>
      <c r="F1343" s="72"/>
      <c r="G1343" s="72"/>
      <c r="K1343" s="222"/>
    </row>
    <row r="1344" spans="1:11" ht="15" customHeight="1">
      <c r="A1344" s="612" t="s">
        <v>2305</v>
      </c>
      <c r="B1344" s="613"/>
      <c r="C1344" s="613"/>
      <c r="D1344" s="613"/>
      <c r="E1344" s="613"/>
      <c r="F1344" s="67" t="s">
        <v>44</v>
      </c>
      <c r="G1344" s="80"/>
      <c r="K1344" s="222"/>
    </row>
    <row r="1345" spans="1:11" s="38" customFormat="1" ht="45">
      <c r="A1345" s="20">
        <v>8016</v>
      </c>
      <c r="B1345" s="70" t="s">
        <v>575</v>
      </c>
      <c r="C1345" s="21" t="s">
        <v>44</v>
      </c>
      <c r="D1345" s="21" t="s">
        <v>17</v>
      </c>
      <c r="E1345" s="22">
        <v>1</v>
      </c>
      <c r="F1345" s="22">
        <f>H1345</f>
        <v>1886.7449999999999</v>
      </c>
      <c r="G1345" s="22">
        <f>ROUND(F1345*E1345,2)</f>
        <v>1886.75</v>
      </c>
      <c r="H1345" s="336">
        <v>1886.7449999999999</v>
      </c>
      <c r="I1345" s="38" t="e">
        <f>IF(A1345&lt;&gt;0,VLOOKUP(A1345,#REF!,2,FALSE),"")</f>
        <v>#REF!</v>
      </c>
      <c r="J1345" s="336"/>
      <c r="K1345" s="222"/>
    </row>
    <row r="1346" spans="1:11" ht="16.5" customHeight="1">
      <c r="A1346" s="615" t="s">
        <v>1893</v>
      </c>
      <c r="B1346" s="615"/>
      <c r="C1346" s="615"/>
      <c r="D1346" s="615"/>
      <c r="E1346" s="615"/>
      <c r="F1346" s="615"/>
      <c r="G1346" s="88">
        <f>ROUND(SUM(G1345),2)</f>
        <v>1886.75</v>
      </c>
      <c r="H1346" s="337">
        <v>0</v>
      </c>
      <c r="K1346" s="222"/>
    </row>
    <row r="1347" spans="1:11" ht="33" customHeight="1">
      <c r="A1347" s="72"/>
      <c r="B1347" s="72"/>
      <c r="C1347" s="752"/>
      <c r="D1347" s="753"/>
      <c r="E1347" s="72"/>
      <c r="F1347" s="72"/>
      <c r="G1347" s="72"/>
      <c r="H1347" s="337">
        <v>0</v>
      </c>
      <c r="K1347" s="222"/>
    </row>
    <row r="1348" spans="1:11" ht="39" customHeight="1">
      <c r="A1348" s="612" t="s">
        <v>2421</v>
      </c>
      <c r="B1348" s="613"/>
      <c r="C1348" s="613"/>
      <c r="D1348" s="613"/>
      <c r="E1348" s="613"/>
      <c r="F1348" s="67" t="s">
        <v>1914</v>
      </c>
      <c r="G1348" s="80"/>
      <c r="K1348" s="222"/>
    </row>
    <row r="1349" spans="1:11" ht="60">
      <c r="A1349" s="21"/>
      <c r="B1349" s="70" t="s">
        <v>243</v>
      </c>
      <c r="C1349" s="21" t="s">
        <v>2014</v>
      </c>
      <c r="D1349" s="21" t="s">
        <v>17</v>
      </c>
      <c r="E1349" s="22">
        <v>1</v>
      </c>
      <c r="F1349" s="22">
        <f>H1349</f>
        <v>140118.14800000002</v>
      </c>
      <c r="G1349" s="22">
        <f>ROUND(F1349*E1349,2)</f>
        <v>140118.15</v>
      </c>
      <c r="H1349" s="337">
        <v>140118.14800000002</v>
      </c>
      <c r="K1349" s="222"/>
    </row>
    <row r="1350" spans="1:11">
      <c r="A1350" s="615" t="s">
        <v>1893</v>
      </c>
      <c r="B1350" s="615"/>
      <c r="C1350" s="615"/>
      <c r="D1350" s="615"/>
      <c r="E1350" s="615"/>
      <c r="F1350" s="615"/>
      <c r="G1350" s="88">
        <f>ROUND(SUM(G1349),2)</f>
        <v>140118.15</v>
      </c>
      <c r="K1350" s="222"/>
    </row>
    <row r="1351" spans="1:11" ht="24" customHeight="1">
      <c r="A1351" s="72"/>
      <c r="B1351" s="72"/>
      <c r="C1351" s="752"/>
      <c r="D1351" s="753"/>
      <c r="E1351" s="72"/>
      <c r="F1351" s="72"/>
      <c r="G1351" s="72"/>
      <c r="K1351" s="222"/>
    </row>
    <row r="1352" spans="1:11" ht="15" customHeight="1">
      <c r="A1352" s="612" t="s">
        <v>2308</v>
      </c>
      <c r="B1352" s="613"/>
      <c r="C1352" s="613"/>
      <c r="D1352" s="613"/>
      <c r="E1352" s="718"/>
      <c r="F1352" s="67" t="s">
        <v>70</v>
      </c>
      <c r="G1352" s="80"/>
      <c r="K1352" s="222"/>
    </row>
    <row r="1353" spans="1:11" ht="28.5">
      <c r="A1353" s="623" t="s">
        <v>364</v>
      </c>
      <c r="B1353" s="624"/>
      <c r="C1353" s="69" t="s">
        <v>3</v>
      </c>
      <c r="D1353" s="69" t="s">
        <v>4</v>
      </c>
      <c r="E1353" s="69" t="s">
        <v>1826</v>
      </c>
      <c r="F1353" s="69" t="s">
        <v>367</v>
      </c>
      <c r="G1353" s="69" t="s">
        <v>368</v>
      </c>
      <c r="K1353" s="222"/>
    </row>
    <row r="1354" spans="1:11" s="23" customFormat="1">
      <c r="A1354" s="21" t="s">
        <v>576</v>
      </c>
      <c r="B1354" s="70" t="s">
        <v>577</v>
      </c>
      <c r="C1354" s="21" t="s">
        <v>70</v>
      </c>
      <c r="D1354" s="21" t="s">
        <v>52</v>
      </c>
      <c r="E1354" s="22">
        <v>1.05</v>
      </c>
      <c r="F1354" s="73">
        <v>10.4</v>
      </c>
      <c r="G1354" s="73">
        <v>10.92</v>
      </c>
      <c r="H1354" s="346">
        <v>8.84</v>
      </c>
      <c r="J1354" s="346"/>
      <c r="K1354" s="222"/>
    </row>
    <row r="1355" spans="1:11" ht="30">
      <c r="A1355" s="20">
        <v>88264</v>
      </c>
      <c r="B1355" s="70" t="s">
        <v>379</v>
      </c>
      <c r="C1355" s="21" t="s">
        <v>12</v>
      </c>
      <c r="D1355" s="21" t="s">
        <v>19</v>
      </c>
      <c r="E1355" s="22">
        <v>0.3</v>
      </c>
      <c r="F1355" s="22">
        <f>H1355</f>
        <v>15.249000000000001</v>
      </c>
      <c r="G1355" s="22">
        <f>ROUND(F1355*E1355,2)</f>
        <v>4.57</v>
      </c>
      <c r="H1355" s="337">
        <v>15.249000000000001</v>
      </c>
      <c r="I1355" s="23" t="e">
        <f>IF(A1355&lt;&gt;0,VLOOKUP(A1355,#REF!,2,FALSE),"")</f>
        <v>#REF!</v>
      </c>
      <c r="K1355" s="222"/>
    </row>
    <row r="1356" spans="1:11" ht="30">
      <c r="A1356" s="20">
        <v>88247</v>
      </c>
      <c r="B1356" s="70" t="s">
        <v>510</v>
      </c>
      <c r="C1356" s="21" t="s">
        <v>12</v>
      </c>
      <c r="D1356" s="21" t="s">
        <v>19</v>
      </c>
      <c r="E1356" s="22">
        <v>0.3</v>
      </c>
      <c r="F1356" s="22">
        <f>H1356</f>
        <v>11.9085</v>
      </c>
      <c r="G1356" s="22">
        <f>ROUND(F1356*E1356,2)</f>
        <v>3.57</v>
      </c>
      <c r="H1356" s="337">
        <v>11.9085</v>
      </c>
      <c r="I1356" s="23" t="e">
        <f>IF(A1356&lt;&gt;0,VLOOKUP(A1356,#REF!,2,FALSE),"")</f>
        <v>#REF!</v>
      </c>
      <c r="K1356" s="222"/>
    </row>
    <row r="1357" spans="1:11" ht="15" customHeight="1">
      <c r="A1357" s="615" t="s">
        <v>1893</v>
      </c>
      <c r="B1357" s="615"/>
      <c r="C1357" s="615"/>
      <c r="D1357" s="615"/>
      <c r="E1357" s="615"/>
      <c r="F1357" s="615"/>
      <c r="G1357" s="88">
        <f>ROUND(SUM(G1354:G1356),2)</f>
        <v>19.059999999999999</v>
      </c>
      <c r="K1357" s="222"/>
    </row>
    <row r="1358" spans="1:11" ht="21" customHeight="1">
      <c r="A1358" s="72"/>
      <c r="B1358" s="72"/>
      <c r="C1358" s="752"/>
      <c r="D1358" s="753"/>
      <c r="E1358" s="72"/>
      <c r="F1358" s="72"/>
      <c r="G1358" s="72"/>
      <c r="K1358" s="222"/>
    </row>
    <row r="1359" spans="1:11" ht="15" customHeight="1">
      <c r="A1359" s="612" t="s">
        <v>2309</v>
      </c>
      <c r="B1359" s="613"/>
      <c r="C1359" s="613"/>
      <c r="D1359" s="613"/>
      <c r="E1359" s="718"/>
      <c r="F1359" s="67" t="s">
        <v>70</v>
      </c>
      <c r="G1359" s="80"/>
      <c r="K1359" s="222"/>
    </row>
    <row r="1360" spans="1:11" ht="28.5">
      <c r="A1360" s="623" t="s">
        <v>364</v>
      </c>
      <c r="B1360" s="624"/>
      <c r="C1360" s="69" t="s">
        <v>3</v>
      </c>
      <c r="D1360" s="69" t="s">
        <v>4</v>
      </c>
      <c r="E1360" s="69" t="s">
        <v>1826</v>
      </c>
      <c r="F1360" s="69" t="s">
        <v>367</v>
      </c>
      <c r="G1360" s="69" t="s">
        <v>368</v>
      </c>
      <c r="K1360" s="222"/>
    </row>
    <row r="1361" spans="1:11" s="23" customFormat="1">
      <c r="A1361" s="21" t="s">
        <v>578</v>
      </c>
      <c r="B1361" s="70" t="s">
        <v>579</v>
      </c>
      <c r="C1361" s="21" t="s">
        <v>70</v>
      </c>
      <c r="D1361" s="21" t="s">
        <v>52</v>
      </c>
      <c r="E1361" s="22">
        <v>1</v>
      </c>
      <c r="F1361" s="73">
        <v>12.55</v>
      </c>
      <c r="G1361" s="73">
        <v>12.55</v>
      </c>
      <c r="H1361" s="346">
        <v>10.6675</v>
      </c>
      <c r="J1361" s="346"/>
      <c r="K1361" s="222"/>
    </row>
    <row r="1362" spans="1:11" ht="30">
      <c r="A1362" s="20">
        <v>88264</v>
      </c>
      <c r="B1362" s="70" t="s">
        <v>379</v>
      </c>
      <c r="C1362" s="21" t="s">
        <v>12</v>
      </c>
      <c r="D1362" s="21" t="s">
        <v>19</v>
      </c>
      <c r="E1362" s="22">
        <v>0.4</v>
      </c>
      <c r="F1362" s="22">
        <f>H1362</f>
        <v>15.249000000000001</v>
      </c>
      <c r="G1362" s="22">
        <f>ROUND(F1362*E1362,2)</f>
        <v>6.1</v>
      </c>
      <c r="H1362" s="337">
        <v>15.249000000000001</v>
      </c>
      <c r="I1362" s="23" t="e">
        <f>IF(A1362&lt;&gt;0,VLOOKUP(A1362,#REF!,2,FALSE),"")</f>
        <v>#REF!</v>
      </c>
      <c r="K1362" s="222"/>
    </row>
    <row r="1363" spans="1:11" ht="30">
      <c r="A1363" s="20">
        <v>88247</v>
      </c>
      <c r="B1363" s="70" t="s">
        <v>510</v>
      </c>
      <c r="C1363" s="21" t="s">
        <v>12</v>
      </c>
      <c r="D1363" s="21" t="s">
        <v>19</v>
      </c>
      <c r="E1363" s="22">
        <v>0.4</v>
      </c>
      <c r="F1363" s="22">
        <f>H1363</f>
        <v>11.9085</v>
      </c>
      <c r="G1363" s="22">
        <f>ROUND(F1363*E1363,2)</f>
        <v>4.76</v>
      </c>
      <c r="H1363" s="337">
        <v>11.9085</v>
      </c>
      <c r="I1363" s="23" t="e">
        <f>IF(A1363&lt;&gt;0,VLOOKUP(A1363,#REF!,2,FALSE),"")</f>
        <v>#REF!</v>
      </c>
      <c r="K1363" s="222"/>
    </row>
    <row r="1364" spans="1:11" ht="15" customHeight="1">
      <c r="A1364" s="615" t="s">
        <v>1893</v>
      </c>
      <c r="B1364" s="615"/>
      <c r="C1364" s="615"/>
      <c r="D1364" s="615"/>
      <c r="E1364" s="615"/>
      <c r="F1364" s="615"/>
      <c r="G1364" s="88">
        <f>ROUND(SUM(G1361:G1363),2)</f>
        <v>23.41</v>
      </c>
      <c r="K1364" s="222"/>
    </row>
    <row r="1365" spans="1:11" ht="27" customHeight="1">
      <c r="A1365" s="72"/>
      <c r="B1365" s="72"/>
      <c r="C1365" s="752"/>
      <c r="D1365" s="753"/>
      <c r="E1365" s="72"/>
      <c r="F1365" s="72"/>
      <c r="G1365" s="72"/>
      <c r="K1365" s="222"/>
    </row>
    <row r="1366" spans="1:11" ht="15" customHeight="1">
      <c r="A1366" s="612" t="s">
        <v>2313</v>
      </c>
      <c r="B1366" s="613"/>
      <c r="C1366" s="613"/>
      <c r="D1366" s="613"/>
      <c r="E1366" s="718"/>
      <c r="F1366" s="67" t="s">
        <v>44</v>
      </c>
      <c r="G1366" s="80"/>
      <c r="K1366" s="222"/>
    </row>
    <row r="1367" spans="1:11" ht="28.5">
      <c r="A1367" s="623" t="s">
        <v>364</v>
      </c>
      <c r="B1367" s="624"/>
      <c r="C1367" s="69" t="s">
        <v>3</v>
      </c>
      <c r="D1367" s="69" t="s">
        <v>4</v>
      </c>
      <c r="E1367" s="69" t="s">
        <v>1826</v>
      </c>
      <c r="F1367" s="69" t="s">
        <v>367</v>
      </c>
      <c r="G1367" s="69" t="s">
        <v>368</v>
      </c>
      <c r="K1367" s="222"/>
    </row>
    <row r="1368" spans="1:11" s="38" customFormat="1" ht="30">
      <c r="A1368" s="20">
        <v>9768</v>
      </c>
      <c r="B1368" s="70" t="s">
        <v>2312</v>
      </c>
      <c r="C1368" s="21" t="s">
        <v>44</v>
      </c>
      <c r="D1368" s="21" t="s">
        <v>17</v>
      </c>
      <c r="E1368" s="22">
        <v>1</v>
      </c>
      <c r="F1368" s="22">
        <f>H1368</f>
        <v>19.252499999999998</v>
      </c>
      <c r="G1368" s="22">
        <f>ROUND(F1368*E1368,2)</f>
        <v>19.25</v>
      </c>
      <c r="H1368" s="336">
        <v>19.252499999999998</v>
      </c>
      <c r="I1368" s="38" t="e">
        <f>IF(A1368&lt;&gt;0,VLOOKUP(A1368,#REF!,2,FALSE),"")</f>
        <v>#REF!</v>
      </c>
      <c r="J1368" s="336"/>
      <c r="K1368" s="222"/>
    </row>
    <row r="1369" spans="1:11" ht="30">
      <c r="A1369" s="20">
        <v>88264</v>
      </c>
      <c r="B1369" s="70" t="s">
        <v>379</v>
      </c>
      <c r="C1369" s="21" t="s">
        <v>12</v>
      </c>
      <c r="D1369" s="21" t="s">
        <v>19</v>
      </c>
      <c r="E1369" s="22">
        <v>0.2</v>
      </c>
      <c r="F1369" s="22">
        <f>H1369</f>
        <v>15.249000000000001</v>
      </c>
      <c r="G1369" s="22">
        <f>ROUND(F1369*E1369,2)</f>
        <v>3.05</v>
      </c>
      <c r="H1369" s="337">
        <v>15.249000000000001</v>
      </c>
      <c r="K1369" s="222"/>
    </row>
    <row r="1370" spans="1:11" ht="15" customHeight="1">
      <c r="A1370" s="20">
        <v>88316</v>
      </c>
      <c r="B1370" s="70" t="s">
        <v>377</v>
      </c>
      <c r="C1370" s="21" t="s">
        <v>12</v>
      </c>
      <c r="D1370" s="21" t="s">
        <v>19</v>
      </c>
      <c r="E1370" s="22">
        <v>0.2</v>
      </c>
      <c r="F1370" s="22">
        <f>H1370</f>
        <v>11.798000000000002</v>
      </c>
      <c r="G1370" s="22">
        <f>ROUND(F1370*E1370,2)</f>
        <v>2.36</v>
      </c>
      <c r="H1370" s="337">
        <v>11.798000000000002</v>
      </c>
      <c r="K1370" s="222"/>
    </row>
    <row r="1371" spans="1:11">
      <c r="A1371" s="719" t="s">
        <v>1893</v>
      </c>
      <c r="B1371" s="719"/>
      <c r="C1371" s="719"/>
      <c r="D1371" s="719"/>
      <c r="E1371" s="719"/>
      <c r="F1371" s="719"/>
      <c r="G1371" s="71">
        <f>ROUND(SUM(G1368:G1370),2)</f>
        <v>24.66</v>
      </c>
      <c r="K1371" s="222"/>
    </row>
    <row r="1372" spans="1:11" ht="25.5" customHeight="1">
      <c r="A1372" s="72"/>
      <c r="B1372" s="72"/>
      <c r="C1372" s="752"/>
      <c r="D1372" s="753"/>
      <c r="E1372" s="72"/>
      <c r="F1372" s="72"/>
      <c r="G1372" s="72"/>
      <c r="K1372" s="222"/>
    </row>
    <row r="1373" spans="1:11" ht="15" customHeight="1">
      <c r="A1373" s="612" t="s">
        <v>2617</v>
      </c>
      <c r="B1373" s="613"/>
      <c r="C1373" s="613"/>
      <c r="D1373" s="613"/>
      <c r="E1373" s="718"/>
      <c r="F1373" s="67" t="s">
        <v>44</v>
      </c>
      <c r="G1373" s="80"/>
      <c r="K1373" s="222"/>
    </row>
    <row r="1374" spans="1:11" ht="28.5">
      <c r="A1374" s="623" t="s">
        <v>364</v>
      </c>
      <c r="B1374" s="624"/>
      <c r="C1374" s="69" t="s">
        <v>3</v>
      </c>
      <c r="D1374" s="69" t="s">
        <v>4</v>
      </c>
      <c r="E1374" s="69" t="s">
        <v>1826</v>
      </c>
      <c r="F1374" s="69" t="s">
        <v>367</v>
      </c>
      <c r="G1374" s="69" t="s">
        <v>368</v>
      </c>
      <c r="K1374" s="222"/>
    </row>
    <row r="1375" spans="1:11" s="38" customFormat="1" ht="30">
      <c r="A1375" s="20">
        <v>6913</v>
      </c>
      <c r="B1375" s="70" t="s">
        <v>2314</v>
      </c>
      <c r="C1375" s="21" t="s">
        <v>44</v>
      </c>
      <c r="D1375" s="21" t="s">
        <v>17</v>
      </c>
      <c r="E1375" s="22">
        <v>1</v>
      </c>
      <c r="F1375" s="22">
        <f>H1375</f>
        <v>6.7149999999999999</v>
      </c>
      <c r="G1375" s="22">
        <f>ROUND(F1375*E1375,2)</f>
        <v>6.72</v>
      </c>
      <c r="H1375" s="336">
        <v>6.7149999999999999</v>
      </c>
      <c r="I1375" s="38" t="e">
        <f>IF(A1375&lt;&gt;0,VLOOKUP(A1375,#REF!,2,FALSE),"")</f>
        <v>#REF!</v>
      </c>
      <c r="J1375" s="336"/>
      <c r="K1375" s="222"/>
    </row>
    <row r="1376" spans="1:11" ht="15" customHeight="1">
      <c r="A1376" s="20">
        <v>88264</v>
      </c>
      <c r="B1376" s="70" t="s">
        <v>379</v>
      </c>
      <c r="C1376" s="21" t="s">
        <v>12</v>
      </c>
      <c r="D1376" s="21" t="s">
        <v>19</v>
      </c>
      <c r="E1376" s="22">
        <v>0.2</v>
      </c>
      <c r="F1376" s="22">
        <f>H1376</f>
        <v>15.249000000000001</v>
      </c>
      <c r="G1376" s="22">
        <f>ROUND(F1376*E1376,2)</f>
        <v>3.05</v>
      </c>
      <c r="H1376" s="337">
        <v>15.249000000000001</v>
      </c>
      <c r="K1376" s="222"/>
    </row>
    <row r="1377" spans="1:11" ht="30">
      <c r="A1377" s="20">
        <v>88316</v>
      </c>
      <c r="B1377" s="70" t="s">
        <v>377</v>
      </c>
      <c r="C1377" s="21" t="s">
        <v>12</v>
      </c>
      <c r="D1377" s="21" t="s">
        <v>19</v>
      </c>
      <c r="E1377" s="22">
        <v>0.2</v>
      </c>
      <c r="F1377" s="22">
        <f>H1377</f>
        <v>11.798000000000002</v>
      </c>
      <c r="G1377" s="22">
        <f>ROUND(F1377*E1377,2)</f>
        <v>2.36</v>
      </c>
      <c r="H1377" s="337">
        <v>11.798000000000002</v>
      </c>
      <c r="K1377" s="222"/>
    </row>
    <row r="1378" spans="1:11">
      <c r="A1378" s="719" t="s">
        <v>1893</v>
      </c>
      <c r="B1378" s="719"/>
      <c r="C1378" s="719"/>
      <c r="D1378" s="719"/>
      <c r="E1378" s="719"/>
      <c r="F1378" s="719"/>
      <c r="G1378" s="71">
        <f>ROUND(SUM(G1375:G1377),2)</f>
        <v>12.13</v>
      </c>
      <c r="K1378" s="222"/>
    </row>
    <row r="1379" spans="1:11" ht="24" customHeight="1">
      <c r="A1379" s="72"/>
      <c r="B1379" s="72"/>
      <c r="C1379" s="752"/>
      <c r="D1379" s="753"/>
      <c r="E1379" s="72"/>
      <c r="F1379" s="72"/>
      <c r="G1379" s="72"/>
      <c r="K1379" s="222"/>
    </row>
    <row r="1380" spans="1:11" ht="15" customHeight="1">
      <c r="A1380" s="612" t="s">
        <v>2315</v>
      </c>
      <c r="B1380" s="613"/>
      <c r="C1380" s="613"/>
      <c r="D1380" s="613"/>
      <c r="E1380" s="718"/>
      <c r="F1380" s="67" t="s">
        <v>44</v>
      </c>
      <c r="G1380" s="80"/>
      <c r="K1380" s="222"/>
    </row>
    <row r="1381" spans="1:11" ht="28.5">
      <c r="A1381" s="623" t="s">
        <v>364</v>
      </c>
      <c r="B1381" s="624"/>
      <c r="C1381" s="69" t="s">
        <v>3</v>
      </c>
      <c r="D1381" s="69" t="s">
        <v>4</v>
      </c>
      <c r="E1381" s="69" t="s">
        <v>1826</v>
      </c>
      <c r="F1381" s="69" t="s">
        <v>367</v>
      </c>
      <c r="G1381" s="69" t="s">
        <v>368</v>
      </c>
      <c r="K1381" s="222"/>
    </row>
    <row r="1382" spans="1:11" s="38" customFormat="1" ht="30">
      <c r="A1382" s="20">
        <v>11130</v>
      </c>
      <c r="B1382" s="70" t="s">
        <v>580</v>
      </c>
      <c r="C1382" s="21" t="s">
        <v>44</v>
      </c>
      <c r="D1382" s="21" t="s">
        <v>17</v>
      </c>
      <c r="E1382" s="22">
        <v>1</v>
      </c>
      <c r="F1382" s="22">
        <f>H1382</f>
        <v>48.79</v>
      </c>
      <c r="G1382" s="22">
        <f>ROUND(F1382*E1382,2)</f>
        <v>48.79</v>
      </c>
      <c r="H1382" s="336">
        <v>48.79</v>
      </c>
      <c r="I1382" s="38" t="e">
        <f>IF(A1382&lt;&gt;0,VLOOKUP(A1382,#REF!,2,FALSE),"")</f>
        <v>#REF!</v>
      </c>
      <c r="J1382" s="336"/>
      <c r="K1382" s="222"/>
    </row>
    <row r="1383" spans="1:11" ht="30">
      <c r="A1383" s="20">
        <v>88264</v>
      </c>
      <c r="B1383" s="70" t="s">
        <v>379</v>
      </c>
      <c r="C1383" s="21" t="s">
        <v>12</v>
      </c>
      <c r="D1383" s="21" t="s">
        <v>19</v>
      </c>
      <c r="E1383" s="22">
        <v>1.1000000000000001</v>
      </c>
      <c r="F1383" s="22">
        <f>H1383</f>
        <v>15.249000000000001</v>
      </c>
      <c r="G1383" s="22">
        <f>ROUND(F1383*E1383,2)</f>
        <v>16.77</v>
      </c>
      <c r="H1383" s="337">
        <v>15.249000000000001</v>
      </c>
      <c r="K1383" s="222"/>
    </row>
    <row r="1384" spans="1:11" ht="30">
      <c r="A1384" s="20">
        <v>88316</v>
      </c>
      <c r="B1384" s="70" t="s">
        <v>377</v>
      </c>
      <c r="C1384" s="21" t="s">
        <v>12</v>
      </c>
      <c r="D1384" s="21" t="s">
        <v>19</v>
      </c>
      <c r="E1384" s="22">
        <v>1.1000000000000001</v>
      </c>
      <c r="F1384" s="22">
        <f>H1384</f>
        <v>11.798000000000002</v>
      </c>
      <c r="G1384" s="22">
        <f>ROUND(F1384*E1384,2)</f>
        <v>12.98</v>
      </c>
      <c r="H1384" s="337">
        <v>11.798000000000002</v>
      </c>
      <c r="K1384" s="222"/>
    </row>
    <row r="1385" spans="1:11" ht="15" customHeight="1">
      <c r="A1385" s="719" t="s">
        <v>1893</v>
      </c>
      <c r="B1385" s="719"/>
      <c r="C1385" s="719"/>
      <c r="D1385" s="719"/>
      <c r="E1385" s="719"/>
      <c r="F1385" s="719"/>
      <c r="G1385" s="71">
        <f>ROUND(SUM(G1382:G1384),2)</f>
        <v>78.540000000000006</v>
      </c>
      <c r="K1385" s="222"/>
    </row>
    <row r="1386" spans="1:11" ht="22.5" customHeight="1">
      <c r="A1386" s="72"/>
      <c r="B1386" s="72"/>
      <c r="C1386" s="752"/>
      <c r="D1386" s="753"/>
      <c r="E1386" s="72"/>
      <c r="F1386" s="72"/>
      <c r="G1386" s="72"/>
      <c r="K1386" s="222"/>
    </row>
    <row r="1387" spans="1:11" ht="47.25" customHeight="1">
      <c r="A1387" s="612" t="s">
        <v>2316</v>
      </c>
      <c r="B1387" s="613"/>
      <c r="C1387" s="613"/>
      <c r="D1387" s="613"/>
      <c r="E1387" s="613"/>
      <c r="F1387" s="67" t="s">
        <v>1914</v>
      </c>
      <c r="G1387" s="80"/>
      <c r="K1387" s="222"/>
    </row>
    <row r="1388" spans="1:11" ht="28.5">
      <c r="A1388" s="623" t="s">
        <v>364</v>
      </c>
      <c r="B1388" s="624"/>
      <c r="C1388" s="69" t="s">
        <v>3</v>
      </c>
      <c r="D1388" s="69" t="s">
        <v>4</v>
      </c>
      <c r="E1388" s="69" t="s">
        <v>1826</v>
      </c>
      <c r="F1388" s="69" t="s">
        <v>367</v>
      </c>
      <c r="G1388" s="69" t="s">
        <v>368</v>
      </c>
      <c r="K1388" s="222"/>
    </row>
    <row r="1389" spans="1:11" s="38" customFormat="1" ht="60">
      <c r="A1389" s="20">
        <v>7180</v>
      </c>
      <c r="B1389" s="70" t="s">
        <v>2407</v>
      </c>
      <c r="C1389" s="21" t="s">
        <v>44</v>
      </c>
      <c r="D1389" s="21" t="s">
        <v>17</v>
      </c>
      <c r="E1389" s="22">
        <v>1</v>
      </c>
      <c r="F1389" s="22">
        <f>H1389</f>
        <v>462.71449999999999</v>
      </c>
      <c r="G1389" s="22">
        <f>ROUND(F1389*E1389,2)</f>
        <v>462.71</v>
      </c>
      <c r="H1389" s="336">
        <v>462.71449999999999</v>
      </c>
      <c r="I1389" s="38" t="e">
        <f>IF(A1389&lt;&gt;0,VLOOKUP(A1389,#REF!,2,FALSE),"")</f>
        <v>#REF!</v>
      </c>
      <c r="J1389" s="336"/>
      <c r="K1389" s="222"/>
    </row>
    <row r="1390" spans="1:11" s="38" customFormat="1" ht="30">
      <c r="A1390" s="20">
        <v>13285</v>
      </c>
      <c r="B1390" s="70" t="s">
        <v>2408</v>
      </c>
      <c r="C1390" s="21" t="s">
        <v>44</v>
      </c>
      <c r="D1390" s="21" t="s">
        <v>17</v>
      </c>
      <c r="E1390" s="22">
        <v>1</v>
      </c>
      <c r="F1390" s="22">
        <f>H1390</f>
        <v>81.591499999999996</v>
      </c>
      <c r="G1390" s="22">
        <f>ROUND(F1390*E1390,2)</f>
        <v>81.59</v>
      </c>
      <c r="H1390" s="336">
        <v>81.591499999999996</v>
      </c>
      <c r="I1390" s="38" t="e">
        <f>IF(A1390&lt;&gt;0,VLOOKUP(A1390,#REF!,2,FALSE),"")</f>
        <v>#REF!</v>
      </c>
      <c r="J1390" s="336"/>
      <c r="K1390" s="222"/>
    </row>
    <row r="1391" spans="1:11" ht="30">
      <c r="A1391" s="20">
        <v>88264</v>
      </c>
      <c r="B1391" s="70" t="s">
        <v>379</v>
      </c>
      <c r="C1391" s="21" t="s">
        <v>12</v>
      </c>
      <c r="D1391" s="21" t="s">
        <v>19</v>
      </c>
      <c r="E1391" s="22">
        <v>1.5</v>
      </c>
      <c r="F1391" s="22">
        <f>H1391</f>
        <v>15.249000000000001</v>
      </c>
      <c r="G1391" s="22">
        <f>ROUND(F1391*E1391,2)</f>
        <v>22.87</v>
      </c>
      <c r="H1391" s="337">
        <v>15.249000000000001</v>
      </c>
      <c r="K1391" s="222"/>
    </row>
    <row r="1392" spans="1:11" ht="30">
      <c r="A1392" s="20">
        <v>88247</v>
      </c>
      <c r="B1392" s="70" t="s">
        <v>510</v>
      </c>
      <c r="C1392" s="21" t="s">
        <v>12</v>
      </c>
      <c r="D1392" s="21" t="s">
        <v>19</v>
      </c>
      <c r="E1392" s="22">
        <v>1.5</v>
      </c>
      <c r="F1392" s="22">
        <f>H1392</f>
        <v>11.9085</v>
      </c>
      <c r="G1392" s="22">
        <f>ROUND(F1392*E1392,2)</f>
        <v>17.86</v>
      </c>
      <c r="H1392" s="337">
        <v>11.9085</v>
      </c>
      <c r="K1392" s="222"/>
    </row>
    <row r="1393" spans="1:11" ht="15" customHeight="1">
      <c r="A1393" s="719" t="s">
        <v>1893</v>
      </c>
      <c r="B1393" s="719"/>
      <c r="C1393" s="719"/>
      <c r="D1393" s="719"/>
      <c r="E1393" s="719"/>
      <c r="F1393" s="719"/>
      <c r="G1393" s="71">
        <f>ROUND(SUM(G1389:G1392),2)</f>
        <v>585.03</v>
      </c>
      <c r="K1393" s="222"/>
    </row>
    <row r="1394" spans="1:11" ht="28.5" customHeight="1">
      <c r="A1394" s="72"/>
      <c r="B1394" s="72"/>
      <c r="C1394" s="752"/>
      <c r="D1394" s="753"/>
      <c r="E1394" s="72"/>
      <c r="F1394" s="72"/>
      <c r="G1394" s="72"/>
      <c r="K1394" s="222"/>
    </row>
    <row r="1395" spans="1:11" ht="33.75" customHeight="1">
      <c r="A1395" s="612" t="s">
        <v>2317</v>
      </c>
      <c r="B1395" s="613"/>
      <c r="C1395" s="613"/>
      <c r="D1395" s="613"/>
      <c r="E1395" s="613"/>
      <c r="F1395" s="67" t="s">
        <v>44</v>
      </c>
      <c r="G1395" s="80"/>
      <c r="K1395" s="222"/>
    </row>
    <row r="1396" spans="1:11" ht="28.5">
      <c r="A1396" s="623" t="s">
        <v>364</v>
      </c>
      <c r="B1396" s="624"/>
      <c r="C1396" s="69" t="s">
        <v>3</v>
      </c>
      <c r="D1396" s="69" t="s">
        <v>4</v>
      </c>
      <c r="E1396" s="69" t="s">
        <v>1826</v>
      </c>
      <c r="F1396" s="69" t="s">
        <v>367</v>
      </c>
      <c r="G1396" s="69" t="s">
        <v>368</v>
      </c>
      <c r="K1396" s="222"/>
    </row>
    <row r="1397" spans="1:11" s="38" customFormat="1" ht="30">
      <c r="A1397" s="20">
        <v>3032</v>
      </c>
      <c r="B1397" s="70" t="s">
        <v>581</v>
      </c>
      <c r="C1397" s="21" t="s">
        <v>44</v>
      </c>
      <c r="D1397" s="21" t="s">
        <v>17</v>
      </c>
      <c r="E1397" s="22">
        <v>1</v>
      </c>
      <c r="F1397" s="22">
        <f>H1397</f>
        <v>379.95</v>
      </c>
      <c r="G1397" s="22">
        <f>ROUND(F1397*E1397,2)</f>
        <v>379.95</v>
      </c>
      <c r="H1397" s="336">
        <v>379.95</v>
      </c>
      <c r="I1397" s="38" t="e">
        <f>IF(A1397&lt;&gt;0,VLOOKUP(A1397,#REF!,2,FALSE),"")</f>
        <v>#REF!</v>
      </c>
      <c r="J1397" s="336"/>
      <c r="K1397" s="222"/>
    </row>
    <row r="1398" spans="1:11" ht="30">
      <c r="A1398" s="20">
        <v>88264</v>
      </c>
      <c r="B1398" s="70" t="s">
        <v>379</v>
      </c>
      <c r="C1398" s="21" t="s">
        <v>12</v>
      </c>
      <c r="D1398" s="21" t="s">
        <v>19</v>
      </c>
      <c r="E1398" s="22">
        <v>2</v>
      </c>
      <c r="F1398" s="22">
        <f>H1398</f>
        <v>15.249000000000001</v>
      </c>
      <c r="G1398" s="22">
        <f>ROUND(F1398*E1398,2)</f>
        <v>30.5</v>
      </c>
      <c r="H1398" s="337">
        <v>15.249000000000001</v>
      </c>
      <c r="K1398" s="222"/>
    </row>
    <row r="1399" spans="1:11" ht="15" customHeight="1">
      <c r="A1399" s="719" t="s">
        <v>1893</v>
      </c>
      <c r="B1399" s="719"/>
      <c r="C1399" s="719"/>
      <c r="D1399" s="719"/>
      <c r="E1399" s="719"/>
      <c r="F1399" s="719"/>
      <c r="G1399" s="71">
        <f>ROUND(SUM(G1397:G1398),2)</f>
        <v>410.45</v>
      </c>
      <c r="K1399" s="222"/>
    </row>
    <row r="1400" spans="1:11" ht="24.75" customHeight="1">
      <c r="A1400" s="72"/>
      <c r="B1400" s="72"/>
      <c r="C1400" s="752"/>
      <c r="D1400" s="753"/>
      <c r="E1400" s="72"/>
      <c r="F1400" s="72"/>
      <c r="G1400" s="72"/>
      <c r="K1400" s="222"/>
    </row>
    <row r="1401" spans="1:11" ht="21.75" customHeight="1">
      <c r="A1401" s="612" t="s">
        <v>2318</v>
      </c>
      <c r="B1401" s="613"/>
      <c r="C1401" s="613"/>
      <c r="D1401" s="613"/>
      <c r="E1401" s="718"/>
      <c r="F1401" s="67" t="s">
        <v>1914</v>
      </c>
      <c r="G1401" s="80"/>
      <c r="K1401" s="222"/>
    </row>
    <row r="1402" spans="1:11" ht="28.5">
      <c r="A1402" s="623" t="s">
        <v>364</v>
      </c>
      <c r="B1402" s="624"/>
      <c r="C1402" s="69" t="s">
        <v>3</v>
      </c>
      <c r="D1402" s="69" t="s">
        <v>4</v>
      </c>
      <c r="E1402" s="69" t="s">
        <v>1826</v>
      </c>
      <c r="F1402" s="69" t="s">
        <v>367</v>
      </c>
      <c r="G1402" s="69" t="s">
        <v>368</v>
      </c>
      <c r="K1402" s="222"/>
    </row>
    <row r="1403" spans="1:11" s="38" customFormat="1">
      <c r="A1403" s="20">
        <v>8697</v>
      </c>
      <c r="B1403" s="70" t="s">
        <v>2666</v>
      </c>
      <c r="C1403" s="21" t="s">
        <v>44</v>
      </c>
      <c r="D1403" s="21" t="s">
        <v>17</v>
      </c>
      <c r="E1403" s="22">
        <v>3</v>
      </c>
      <c r="F1403" s="22">
        <f>H1403</f>
        <v>93.5</v>
      </c>
      <c r="G1403" s="22">
        <f>ROUND(F1403*E1403,2)</f>
        <v>280.5</v>
      </c>
      <c r="H1403" s="336">
        <v>93.5</v>
      </c>
      <c r="I1403" s="38" t="e">
        <f>IF(A1403&lt;&gt;0,VLOOKUP(A1403,#REF!,2,FALSE),"")</f>
        <v>#REF!</v>
      </c>
      <c r="J1403" s="336"/>
      <c r="K1403" s="222"/>
    </row>
    <row r="1404" spans="1:11" ht="30">
      <c r="A1404" s="20">
        <v>88264</v>
      </c>
      <c r="B1404" s="70" t="s">
        <v>379</v>
      </c>
      <c r="C1404" s="21" t="s">
        <v>12</v>
      </c>
      <c r="D1404" s="21" t="s">
        <v>19</v>
      </c>
      <c r="E1404" s="22">
        <v>2.371</v>
      </c>
      <c r="F1404" s="22">
        <f>H1404</f>
        <v>15.249000000000001</v>
      </c>
      <c r="G1404" s="22">
        <f>ROUND(F1404*E1404,2)</f>
        <v>36.159999999999997</v>
      </c>
      <c r="H1404" s="337">
        <v>15.249000000000001</v>
      </c>
      <c r="K1404" s="222"/>
    </row>
    <row r="1405" spans="1:11" ht="30">
      <c r="A1405" s="20">
        <v>88247</v>
      </c>
      <c r="B1405" s="70" t="s">
        <v>510</v>
      </c>
      <c r="C1405" s="21" t="s">
        <v>12</v>
      </c>
      <c r="D1405" s="21" t="s">
        <v>19</v>
      </c>
      <c r="E1405" s="22">
        <v>2.371</v>
      </c>
      <c r="F1405" s="22">
        <f>H1405</f>
        <v>11.9085</v>
      </c>
      <c r="G1405" s="22">
        <f>ROUND(F1405*E1405,2)</f>
        <v>28.24</v>
      </c>
      <c r="H1405" s="337">
        <v>11.9085</v>
      </c>
      <c r="K1405" s="222"/>
    </row>
    <row r="1406" spans="1:11" ht="15" customHeight="1">
      <c r="A1406" s="719" t="s">
        <v>1893</v>
      </c>
      <c r="B1406" s="719"/>
      <c r="C1406" s="719"/>
      <c r="D1406" s="719"/>
      <c r="E1406" s="719"/>
      <c r="F1406" s="719"/>
      <c r="G1406" s="71">
        <f>ROUND(SUM(G1403:G1405),2)</f>
        <v>344.9</v>
      </c>
      <c r="K1406" s="222"/>
    </row>
    <row r="1407" spans="1:11" ht="23.25" customHeight="1">
      <c r="A1407" s="72"/>
      <c r="B1407" s="72"/>
      <c r="C1407" s="752"/>
      <c r="D1407" s="753"/>
      <c r="E1407" s="72"/>
      <c r="F1407" s="72"/>
      <c r="G1407" s="72"/>
      <c r="K1407" s="222"/>
    </row>
    <row r="1408" spans="1:11" ht="20.25" customHeight="1">
      <c r="A1408" s="612" t="s">
        <v>2323</v>
      </c>
      <c r="B1408" s="613"/>
      <c r="C1408" s="613"/>
      <c r="D1408" s="613"/>
      <c r="E1408" s="718"/>
      <c r="F1408" s="67" t="s">
        <v>1914</v>
      </c>
      <c r="G1408" s="80"/>
      <c r="K1408" s="222"/>
    </row>
    <row r="1409" spans="1:11" ht="28.5">
      <c r="A1409" s="623" t="s">
        <v>364</v>
      </c>
      <c r="B1409" s="624"/>
      <c r="C1409" s="69" t="s">
        <v>3</v>
      </c>
      <c r="D1409" s="69" t="s">
        <v>4</v>
      </c>
      <c r="E1409" s="69" t="s">
        <v>1826</v>
      </c>
      <c r="F1409" s="69" t="s">
        <v>367</v>
      </c>
      <c r="G1409" s="69" t="s">
        <v>368</v>
      </c>
      <c r="K1409" s="222"/>
    </row>
    <row r="1410" spans="1:11" s="38" customFormat="1" ht="30">
      <c r="A1410" s="20">
        <v>11933</v>
      </c>
      <c r="B1410" s="70" t="s">
        <v>2320</v>
      </c>
      <c r="C1410" s="21" t="s">
        <v>44</v>
      </c>
      <c r="D1410" s="21" t="s">
        <v>17</v>
      </c>
      <c r="E1410" s="22">
        <v>1</v>
      </c>
      <c r="F1410" s="22">
        <f>H1410</f>
        <v>85.841499999999996</v>
      </c>
      <c r="G1410" s="22">
        <f>ROUND(F1410*E1410,2)</f>
        <v>85.84</v>
      </c>
      <c r="H1410" s="336">
        <v>85.841499999999996</v>
      </c>
      <c r="I1410" s="38" t="e">
        <f>IF(A1410&lt;&gt;0,VLOOKUP(A1410,#REF!,2,FALSE),"")</f>
        <v>#REF!</v>
      </c>
      <c r="J1410" s="336"/>
      <c r="K1410" s="222"/>
    </row>
    <row r="1411" spans="1:11" ht="30">
      <c r="A1411" s="20">
        <v>88264</v>
      </c>
      <c r="B1411" s="70" t="s">
        <v>379</v>
      </c>
      <c r="C1411" s="21" t="s">
        <v>12</v>
      </c>
      <c r="D1411" s="21" t="s">
        <v>19</v>
      </c>
      <c r="E1411" s="22">
        <v>0.75</v>
      </c>
      <c r="F1411" s="22">
        <f>H1411</f>
        <v>15.249000000000001</v>
      </c>
      <c r="G1411" s="22">
        <f>ROUND(F1411*E1411,2)</f>
        <v>11.44</v>
      </c>
      <c r="H1411" s="337">
        <v>15.249000000000001</v>
      </c>
      <c r="I1411" s="23" t="e">
        <f>IF(A1411&lt;&gt;0,VLOOKUP(A1411,#REF!,2,FALSE),"")</f>
        <v>#REF!</v>
      </c>
      <c r="K1411" s="222"/>
    </row>
    <row r="1412" spans="1:11" ht="30">
      <c r="A1412" s="20">
        <v>88316</v>
      </c>
      <c r="B1412" s="70" t="s">
        <v>377</v>
      </c>
      <c r="C1412" s="21" t="s">
        <v>12</v>
      </c>
      <c r="D1412" s="21" t="s">
        <v>19</v>
      </c>
      <c r="E1412" s="22">
        <v>0.25</v>
      </c>
      <c r="F1412" s="22">
        <f>H1412</f>
        <v>11.798000000000002</v>
      </c>
      <c r="G1412" s="22">
        <f>ROUND(F1412*E1412,2)</f>
        <v>2.95</v>
      </c>
      <c r="H1412" s="337">
        <v>11.798000000000002</v>
      </c>
      <c r="I1412" s="23" t="e">
        <f>IF(A1412&lt;&gt;0,VLOOKUP(A1412,#REF!,2,FALSE),"")</f>
        <v>#REF!</v>
      </c>
      <c r="K1412" s="222"/>
    </row>
    <row r="1413" spans="1:11" ht="15" customHeight="1">
      <c r="A1413" s="719" t="s">
        <v>1893</v>
      </c>
      <c r="B1413" s="719"/>
      <c r="C1413" s="719"/>
      <c r="D1413" s="719"/>
      <c r="E1413" s="719"/>
      <c r="F1413" s="719"/>
      <c r="G1413" s="71">
        <f>ROUND(SUM(G1410:G1412),2)</f>
        <v>100.23</v>
      </c>
      <c r="K1413" s="222"/>
    </row>
    <row r="1414" spans="1:11" ht="25.5" customHeight="1">
      <c r="A1414" s="72"/>
      <c r="B1414" s="72"/>
      <c r="C1414" s="752"/>
      <c r="D1414" s="753"/>
      <c r="E1414" s="72"/>
      <c r="F1414" s="72"/>
      <c r="G1414" s="72"/>
      <c r="K1414" s="222"/>
    </row>
    <row r="1415" spans="1:11" ht="20.25" customHeight="1">
      <c r="A1415" s="612" t="s">
        <v>2324</v>
      </c>
      <c r="B1415" s="613"/>
      <c r="C1415" s="613"/>
      <c r="D1415" s="613"/>
      <c r="E1415" s="718"/>
      <c r="F1415" s="67" t="s">
        <v>1914</v>
      </c>
      <c r="G1415" s="80"/>
      <c r="K1415" s="222"/>
    </row>
    <row r="1416" spans="1:11" ht="28.5">
      <c r="A1416" s="623" t="s">
        <v>364</v>
      </c>
      <c r="B1416" s="624"/>
      <c r="C1416" s="69" t="s">
        <v>3</v>
      </c>
      <c r="D1416" s="69" t="s">
        <v>4</v>
      </c>
      <c r="E1416" s="69" t="s">
        <v>1826</v>
      </c>
      <c r="F1416" s="69" t="s">
        <v>367</v>
      </c>
      <c r="G1416" s="69" t="s">
        <v>368</v>
      </c>
      <c r="K1416" s="222"/>
    </row>
    <row r="1417" spans="1:11" ht="47.25" customHeight="1">
      <c r="A1417" s="20">
        <v>12359</v>
      </c>
      <c r="B1417" s="70" t="e">
        <f>I1417</f>
        <v>#REF!</v>
      </c>
      <c r="C1417" s="21" t="s">
        <v>12</v>
      </c>
      <c r="D1417" s="21" t="s">
        <v>17</v>
      </c>
      <c r="E1417" s="22">
        <v>1</v>
      </c>
      <c r="F1417" s="22">
        <f>H1417</f>
        <v>99.228999999999999</v>
      </c>
      <c r="G1417" s="22">
        <f>ROUND(F1417*E1417,2)</f>
        <v>99.23</v>
      </c>
      <c r="H1417" s="337">
        <v>99.228999999999999</v>
      </c>
      <c r="I1417" s="23" t="e">
        <f>IF(A1417&lt;&gt;0,VLOOKUP(A1417,#REF!,2,FALSE),"")</f>
        <v>#REF!</v>
      </c>
      <c r="K1417" s="222"/>
    </row>
    <row r="1418" spans="1:11" ht="30">
      <c r="A1418" s="20">
        <v>88264</v>
      </c>
      <c r="B1418" s="70" t="s">
        <v>379</v>
      </c>
      <c r="C1418" s="21" t="s">
        <v>12</v>
      </c>
      <c r="D1418" s="21" t="s">
        <v>19</v>
      </c>
      <c r="E1418" s="22">
        <v>0.75</v>
      </c>
      <c r="F1418" s="22">
        <f>H1418</f>
        <v>15.249000000000001</v>
      </c>
      <c r="G1418" s="22">
        <f>ROUND(F1418*E1418,2)</f>
        <v>11.44</v>
      </c>
      <c r="H1418" s="337">
        <v>15.249000000000001</v>
      </c>
      <c r="I1418" s="23" t="e">
        <f>IF(A1418&lt;&gt;0,VLOOKUP(A1418,#REF!,2,FALSE),"")</f>
        <v>#REF!</v>
      </c>
      <c r="K1418" s="222"/>
    </row>
    <row r="1419" spans="1:11" ht="30">
      <c r="A1419" s="20">
        <v>88316</v>
      </c>
      <c r="B1419" s="70" t="s">
        <v>377</v>
      </c>
      <c r="C1419" s="21" t="s">
        <v>12</v>
      </c>
      <c r="D1419" s="21" t="s">
        <v>19</v>
      </c>
      <c r="E1419" s="22">
        <v>0.25</v>
      </c>
      <c r="F1419" s="22">
        <f>H1419</f>
        <v>11.798000000000002</v>
      </c>
      <c r="G1419" s="22">
        <f>ROUND(F1419*E1419,2)</f>
        <v>2.95</v>
      </c>
      <c r="H1419" s="337">
        <v>11.798000000000002</v>
      </c>
      <c r="I1419" s="23" t="e">
        <f>IF(A1419&lt;&gt;0,VLOOKUP(A1419,#REF!,2,FALSE),"")</f>
        <v>#REF!</v>
      </c>
      <c r="K1419" s="222"/>
    </row>
    <row r="1420" spans="1:11" ht="15" customHeight="1">
      <c r="A1420" s="719" t="s">
        <v>1893</v>
      </c>
      <c r="B1420" s="719"/>
      <c r="C1420" s="719"/>
      <c r="D1420" s="719"/>
      <c r="E1420" s="719"/>
      <c r="F1420" s="719"/>
      <c r="G1420" s="71">
        <f>ROUND(SUM(G1417:G1419),2)</f>
        <v>113.62</v>
      </c>
      <c r="K1420" s="222"/>
    </row>
    <row r="1421" spans="1:11" ht="26.25" customHeight="1">
      <c r="A1421" s="72"/>
      <c r="B1421" s="72"/>
      <c r="C1421" s="752"/>
      <c r="D1421" s="753"/>
      <c r="E1421" s="72"/>
      <c r="F1421" s="72"/>
      <c r="G1421" s="72"/>
      <c r="K1421" s="222"/>
    </row>
    <row r="1422" spans="1:11" ht="32.25" customHeight="1">
      <c r="A1422" s="612" t="s">
        <v>2325</v>
      </c>
      <c r="B1422" s="613"/>
      <c r="C1422" s="613"/>
      <c r="D1422" s="613"/>
      <c r="E1422" s="718"/>
      <c r="F1422" s="67" t="s">
        <v>1914</v>
      </c>
      <c r="G1422" s="80"/>
      <c r="K1422" s="222"/>
    </row>
    <row r="1423" spans="1:11" ht="28.5">
      <c r="A1423" s="623" t="s">
        <v>364</v>
      </c>
      <c r="B1423" s="624"/>
      <c r="C1423" s="69" t="s">
        <v>3</v>
      </c>
      <c r="D1423" s="69" t="s">
        <v>4</v>
      </c>
      <c r="E1423" s="69" t="s">
        <v>1826</v>
      </c>
      <c r="F1423" s="69" t="s">
        <v>367</v>
      </c>
      <c r="G1423" s="69" t="s">
        <v>368</v>
      </c>
      <c r="K1423" s="222"/>
    </row>
    <row r="1424" spans="1:11" ht="45">
      <c r="A1424" s="20">
        <v>1627</v>
      </c>
      <c r="B1424" s="70" t="s">
        <v>582</v>
      </c>
      <c r="C1424" s="21" t="s">
        <v>12</v>
      </c>
      <c r="D1424" s="21" t="s">
        <v>17</v>
      </c>
      <c r="E1424" s="22">
        <v>1</v>
      </c>
      <c r="F1424" s="22">
        <f>H1424</f>
        <v>481.28700000000003</v>
      </c>
      <c r="G1424" s="22">
        <f>ROUND(F1424*E1424,2)</f>
        <v>481.29</v>
      </c>
      <c r="H1424" s="337">
        <v>481.28700000000003</v>
      </c>
      <c r="I1424" s="23" t="e">
        <f>IF(A1424&lt;&gt;0,VLOOKUP(A1424,#REF!,2,FALSE),"")</f>
        <v>#REF!</v>
      </c>
      <c r="K1424" s="222"/>
    </row>
    <row r="1425" spans="1:11" ht="30">
      <c r="A1425" s="20">
        <v>88247</v>
      </c>
      <c r="B1425" s="70" t="s">
        <v>510</v>
      </c>
      <c r="C1425" s="21" t="s">
        <v>12</v>
      </c>
      <c r="D1425" s="21" t="s">
        <v>19</v>
      </c>
      <c r="E1425" s="22">
        <v>3.8</v>
      </c>
      <c r="F1425" s="22">
        <f>H1425</f>
        <v>11.9085</v>
      </c>
      <c r="G1425" s="22">
        <f>ROUND(F1425*E1425,2)</f>
        <v>45.25</v>
      </c>
      <c r="H1425" s="337">
        <v>11.9085</v>
      </c>
      <c r="I1425" s="23" t="e">
        <f>IF(A1425&lt;&gt;0,VLOOKUP(A1425,#REF!,2,FALSE),"")</f>
        <v>#REF!</v>
      </c>
      <c r="K1425" s="222"/>
    </row>
    <row r="1426" spans="1:11" ht="30">
      <c r="A1426" s="20">
        <v>88264</v>
      </c>
      <c r="B1426" s="70" t="s">
        <v>379</v>
      </c>
      <c r="C1426" s="21" t="s">
        <v>12</v>
      </c>
      <c r="D1426" s="21" t="s">
        <v>19</v>
      </c>
      <c r="E1426" s="22">
        <v>3.8</v>
      </c>
      <c r="F1426" s="22">
        <f>H1426</f>
        <v>15.249000000000001</v>
      </c>
      <c r="G1426" s="22">
        <f>ROUND(F1426*E1426,2)</f>
        <v>57.95</v>
      </c>
      <c r="H1426" s="337">
        <v>15.249000000000001</v>
      </c>
      <c r="I1426" s="23" t="e">
        <f>IF(A1426&lt;&gt;0,VLOOKUP(A1426,#REF!,2,FALSE),"")</f>
        <v>#REF!</v>
      </c>
      <c r="K1426" s="222"/>
    </row>
    <row r="1427" spans="1:11" ht="30">
      <c r="A1427" s="20">
        <v>88266</v>
      </c>
      <c r="B1427" s="70" t="s">
        <v>570</v>
      </c>
      <c r="C1427" s="21" t="s">
        <v>12</v>
      </c>
      <c r="D1427" s="21" t="s">
        <v>19</v>
      </c>
      <c r="E1427" s="22">
        <v>0.5</v>
      </c>
      <c r="F1427" s="22">
        <f>H1427</f>
        <v>25.6785</v>
      </c>
      <c r="G1427" s="22">
        <f>ROUND(F1427*E1427,2)</f>
        <v>12.84</v>
      </c>
      <c r="H1427" s="337">
        <v>25.6785</v>
      </c>
      <c r="I1427" s="23" t="e">
        <f>IF(A1427&lt;&gt;0,VLOOKUP(A1427,#REF!,2,FALSE),"")</f>
        <v>#REF!</v>
      </c>
      <c r="K1427" s="222"/>
    </row>
    <row r="1428" spans="1:11" ht="15" customHeight="1">
      <c r="A1428" s="719" t="s">
        <v>1893</v>
      </c>
      <c r="B1428" s="719"/>
      <c r="C1428" s="719"/>
      <c r="D1428" s="719"/>
      <c r="E1428" s="719"/>
      <c r="F1428" s="719"/>
      <c r="G1428" s="71">
        <f>ROUND(SUM(G1424:G1427),2)</f>
        <v>597.33000000000004</v>
      </c>
      <c r="K1428" s="222"/>
    </row>
    <row r="1429" spans="1:11" ht="23.25" customHeight="1">
      <c r="A1429" s="72"/>
      <c r="B1429" s="72"/>
      <c r="C1429" s="752"/>
      <c r="D1429" s="753"/>
      <c r="E1429" s="72"/>
      <c r="F1429" s="72"/>
      <c r="G1429" s="72"/>
      <c r="K1429" s="222"/>
    </row>
    <row r="1430" spans="1:11" ht="15" customHeight="1">
      <c r="A1430" s="612" t="s">
        <v>2327</v>
      </c>
      <c r="B1430" s="613"/>
      <c r="C1430" s="613"/>
      <c r="D1430" s="613"/>
      <c r="E1430" s="718"/>
      <c r="F1430" s="67" t="s">
        <v>1914</v>
      </c>
      <c r="G1430" s="80"/>
      <c r="K1430" s="222"/>
    </row>
    <row r="1431" spans="1:11" ht="28.5">
      <c r="A1431" s="623" t="s">
        <v>364</v>
      </c>
      <c r="B1431" s="624"/>
      <c r="C1431" s="69" t="s">
        <v>3</v>
      </c>
      <c r="D1431" s="69" t="s">
        <v>4</v>
      </c>
      <c r="E1431" s="69" t="s">
        <v>1826</v>
      </c>
      <c r="F1431" s="69" t="s">
        <v>367</v>
      </c>
      <c r="G1431" s="69" t="s">
        <v>368</v>
      </c>
      <c r="K1431" s="222"/>
    </row>
    <row r="1432" spans="1:11" ht="30.75" customHeight="1">
      <c r="A1432" s="20">
        <v>12081</v>
      </c>
      <c r="B1432" s="70" t="s">
        <v>583</v>
      </c>
      <c r="C1432" s="21" t="s">
        <v>12</v>
      </c>
      <c r="D1432" s="21" t="s">
        <v>17</v>
      </c>
      <c r="E1432" s="22">
        <v>1</v>
      </c>
      <c r="F1432" s="22">
        <f>H1432</f>
        <v>165.75</v>
      </c>
      <c r="G1432" s="22">
        <f>ROUND(F1432*E1432,2)</f>
        <v>165.75</v>
      </c>
      <c r="H1432" s="337">
        <v>165.75</v>
      </c>
      <c r="I1432" s="23" t="e">
        <f>IF(A1432&lt;&gt;0,VLOOKUP(A1432,#REF!,2,FALSE),"")</f>
        <v>#REF!</v>
      </c>
      <c r="K1432" s="222"/>
    </row>
    <row r="1433" spans="1:11" ht="30">
      <c r="A1433" s="20">
        <v>88264</v>
      </c>
      <c r="B1433" s="70" t="s">
        <v>379</v>
      </c>
      <c r="C1433" s="21" t="s">
        <v>12</v>
      </c>
      <c r="D1433" s="21" t="s">
        <v>19</v>
      </c>
      <c r="E1433" s="22">
        <v>0.61899999999999999</v>
      </c>
      <c r="F1433" s="22">
        <f>H1433</f>
        <v>15.249000000000001</v>
      </c>
      <c r="G1433" s="22">
        <f>ROUND(F1433*E1433,2)</f>
        <v>9.44</v>
      </c>
      <c r="H1433" s="337">
        <v>15.249000000000001</v>
      </c>
      <c r="I1433" s="23" t="e">
        <f>IF(A1433&lt;&gt;0,VLOOKUP(A1433,#REF!,2,FALSE),"")</f>
        <v>#REF!</v>
      </c>
      <c r="K1433" s="222"/>
    </row>
    <row r="1434" spans="1:11" ht="30">
      <c r="A1434" s="20">
        <v>88247</v>
      </c>
      <c r="B1434" s="70" t="s">
        <v>510</v>
      </c>
      <c r="C1434" s="21" t="s">
        <v>12</v>
      </c>
      <c r="D1434" s="21" t="s">
        <v>19</v>
      </c>
      <c r="E1434" s="22">
        <v>0.61899999999999999</v>
      </c>
      <c r="F1434" s="22">
        <f>H1434</f>
        <v>11.9085</v>
      </c>
      <c r="G1434" s="22">
        <f>ROUND(F1434*E1434,2)</f>
        <v>7.37</v>
      </c>
      <c r="H1434" s="337">
        <v>11.9085</v>
      </c>
      <c r="I1434" s="23" t="e">
        <f>IF(A1434&lt;&gt;0,VLOOKUP(A1434,#REF!,2,FALSE),"")</f>
        <v>#REF!</v>
      </c>
      <c r="K1434" s="222"/>
    </row>
    <row r="1435" spans="1:11" ht="15" customHeight="1">
      <c r="A1435" s="719" t="s">
        <v>1893</v>
      </c>
      <c r="B1435" s="719"/>
      <c r="C1435" s="719"/>
      <c r="D1435" s="719"/>
      <c r="E1435" s="719"/>
      <c r="F1435" s="719"/>
      <c r="G1435" s="71">
        <f>ROUND(SUM(G1432:G1434),2)</f>
        <v>182.56</v>
      </c>
      <c r="K1435" s="222"/>
    </row>
    <row r="1436" spans="1:11" ht="31.5" customHeight="1">
      <c r="A1436" s="72"/>
      <c r="B1436" s="72"/>
      <c r="C1436" s="752"/>
      <c r="D1436" s="753"/>
      <c r="E1436" s="72"/>
      <c r="F1436" s="72"/>
      <c r="G1436" s="72"/>
      <c r="K1436" s="222"/>
    </row>
    <row r="1437" spans="1:11" ht="15" customHeight="1">
      <c r="A1437" s="612" t="s">
        <v>2319</v>
      </c>
      <c r="B1437" s="613"/>
      <c r="C1437" s="613"/>
      <c r="D1437" s="613"/>
      <c r="E1437" s="718"/>
      <c r="F1437" s="67" t="s">
        <v>44</v>
      </c>
      <c r="G1437" s="80"/>
      <c r="K1437" s="222"/>
    </row>
    <row r="1438" spans="1:11" ht="28.5">
      <c r="A1438" s="623" t="s">
        <v>364</v>
      </c>
      <c r="B1438" s="624"/>
      <c r="C1438" s="69" t="s">
        <v>3</v>
      </c>
      <c r="D1438" s="69" t="s">
        <v>4</v>
      </c>
      <c r="E1438" s="69" t="s">
        <v>1826</v>
      </c>
      <c r="F1438" s="69" t="s">
        <v>367</v>
      </c>
      <c r="G1438" s="69" t="s">
        <v>368</v>
      </c>
      <c r="K1438" s="222"/>
    </row>
    <row r="1439" spans="1:11" s="38" customFormat="1">
      <c r="A1439" s="76">
        <v>3016</v>
      </c>
      <c r="B1439" s="77" t="s">
        <v>281</v>
      </c>
      <c r="C1439" s="78" t="s">
        <v>44</v>
      </c>
      <c r="D1439" s="78" t="s">
        <v>17</v>
      </c>
      <c r="E1439" s="73">
        <v>1</v>
      </c>
      <c r="F1439" s="22">
        <f>H1439</f>
        <v>58.565000000000005</v>
      </c>
      <c r="G1439" s="22">
        <f>ROUND(F1439*E1439,2)</f>
        <v>58.57</v>
      </c>
      <c r="H1439" s="336">
        <v>58.565000000000005</v>
      </c>
      <c r="I1439" s="38" t="e">
        <f>IF(A1439&lt;&gt;0,VLOOKUP(A1439,#REF!,2,FALSE),"")</f>
        <v>#REF!</v>
      </c>
      <c r="J1439" s="336"/>
      <c r="K1439" s="222"/>
    </row>
    <row r="1440" spans="1:11" ht="30">
      <c r="A1440" s="76">
        <v>88264</v>
      </c>
      <c r="B1440" s="77" t="s">
        <v>379</v>
      </c>
      <c r="C1440" s="78" t="s">
        <v>12</v>
      </c>
      <c r="D1440" s="78" t="s">
        <v>19</v>
      </c>
      <c r="E1440" s="73">
        <v>0.75</v>
      </c>
      <c r="F1440" s="22">
        <f>H1440</f>
        <v>15.249000000000001</v>
      </c>
      <c r="G1440" s="22">
        <f>ROUND(F1440*E1440,2)</f>
        <v>11.44</v>
      </c>
      <c r="H1440" s="337">
        <v>15.249000000000001</v>
      </c>
      <c r="I1440" s="23" t="e">
        <f>IF(A1440&lt;&gt;0,VLOOKUP(A1440,#REF!,2,FALSE),"")</f>
        <v>#REF!</v>
      </c>
      <c r="K1440" s="222"/>
    </row>
    <row r="1441" spans="1:11" ht="30">
      <c r="A1441" s="76">
        <v>88316</v>
      </c>
      <c r="B1441" s="77" t="s">
        <v>377</v>
      </c>
      <c r="C1441" s="78" t="s">
        <v>12</v>
      </c>
      <c r="D1441" s="78" t="s">
        <v>19</v>
      </c>
      <c r="E1441" s="73">
        <v>0.25</v>
      </c>
      <c r="F1441" s="22">
        <f>H1441</f>
        <v>11.798000000000002</v>
      </c>
      <c r="G1441" s="22">
        <f>ROUND(F1441*E1441,2)</f>
        <v>2.95</v>
      </c>
      <c r="H1441" s="337">
        <v>11.798000000000002</v>
      </c>
      <c r="I1441" s="23" t="e">
        <f>IF(A1441&lt;&gt;0,VLOOKUP(A1441,#REF!,2,FALSE),"")</f>
        <v>#REF!</v>
      </c>
      <c r="K1441" s="222"/>
    </row>
    <row r="1442" spans="1:11" ht="15" customHeight="1">
      <c r="A1442" s="719" t="s">
        <v>1893</v>
      </c>
      <c r="B1442" s="719"/>
      <c r="C1442" s="719"/>
      <c r="D1442" s="719"/>
      <c r="E1442" s="719"/>
      <c r="F1442" s="719"/>
      <c r="G1442" s="71">
        <f>ROUND(SUM(G1439:G1441),2)</f>
        <v>72.959999999999994</v>
      </c>
      <c r="K1442" s="222"/>
    </row>
    <row r="1443" spans="1:11" ht="25.5" customHeight="1">
      <c r="A1443" s="72"/>
      <c r="B1443" s="72"/>
      <c r="C1443" s="752"/>
      <c r="D1443" s="753"/>
      <c r="E1443" s="72"/>
      <c r="F1443" s="72"/>
      <c r="G1443" s="72"/>
      <c r="K1443" s="222"/>
    </row>
    <row r="1444" spans="1:11" ht="15" customHeight="1">
      <c r="A1444" s="612" t="s">
        <v>2328</v>
      </c>
      <c r="B1444" s="613"/>
      <c r="C1444" s="613"/>
      <c r="D1444" s="613"/>
      <c r="E1444" s="718"/>
      <c r="F1444" s="67" t="s">
        <v>44</v>
      </c>
      <c r="G1444" s="80"/>
      <c r="K1444" s="222"/>
    </row>
    <row r="1445" spans="1:11" ht="28.5">
      <c r="A1445" s="623" t="s">
        <v>364</v>
      </c>
      <c r="B1445" s="624"/>
      <c r="C1445" s="69" t="s">
        <v>3</v>
      </c>
      <c r="D1445" s="69" t="s">
        <v>4</v>
      </c>
      <c r="E1445" s="69" t="s">
        <v>1826</v>
      </c>
      <c r="F1445" s="69" t="s">
        <v>367</v>
      </c>
      <c r="G1445" s="69" t="s">
        <v>368</v>
      </c>
      <c r="K1445" s="222"/>
    </row>
    <row r="1446" spans="1:11" s="38" customFormat="1">
      <c r="A1446" s="20">
        <v>3000</v>
      </c>
      <c r="B1446" s="70" t="s">
        <v>282</v>
      </c>
      <c r="C1446" s="21" t="s">
        <v>44</v>
      </c>
      <c r="D1446" s="21" t="s">
        <v>17</v>
      </c>
      <c r="E1446" s="22">
        <v>1</v>
      </c>
      <c r="F1446" s="22">
        <f>H1446</f>
        <v>37.467999999999996</v>
      </c>
      <c r="G1446" s="22">
        <f>ROUND(F1446*E1446,2)</f>
        <v>37.47</v>
      </c>
      <c r="H1446" s="336">
        <v>37.467999999999996</v>
      </c>
      <c r="I1446" s="38" t="e">
        <f>IF(A1446&lt;&gt;0,VLOOKUP(A1446,#REF!,2,FALSE),"")</f>
        <v>#REF!</v>
      </c>
      <c r="J1446" s="336"/>
      <c r="K1446" s="222"/>
    </row>
    <row r="1447" spans="1:11" ht="30">
      <c r="A1447" s="20">
        <v>88264</v>
      </c>
      <c r="B1447" s="70" t="s">
        <v>379</v>
      </c>
      <c r="C1447" s="21" t="s">
        <v>12</v>
      </c>
      <c r="D1447" s="21" t="s">
        <v>19</v>
      </c>
      <c r="E1447" s="22">
        <v>0.75</v>
      </c>
      <c r="F1447" s="22">
        <f>H1447</f>
        <v>15.249000000000001</v>
      </c>
      <c r="G1447" s="22">
        <f>ROUND(F1447*E1447,2)</f>
        <v>11.44</v>
      </c>
      <c r="H1447" s="337">
        <v>15.249000000000001</v>
      </c>
      <c r="I1447" s="23" t="e">
        <f>IF(A1447&lt;&gt;0,VLOOKUP(A1447,#REF!,2,FALSE),"")</f>
        <v>#REF!</v>
      </c>
      <c r="K1447" s="222"/>
    </row>
    <row r="1448" spans="1:11" ht="30">
      <c r="A1448" s="20">
        <v>88316</v>
      </c>
      <c r="B1448" s="70" t="s">
        <v>377</v>
      </c>
      <c r="C1448" s="21" t="s">
        <v>12</v>
      </c>
      <c r="D1448" s="21" t="s">
        <v>19</v>
      </c>
      <c r="E1448" s="22">
        <v>0.25</v>
      </c>
      <c r="F1448" s="22">
        <f>H1448</f>
        <v>11.798000000000002</v>
      </c>
      <c r="G1448" s="22">
        <f>ROUND(F1448*E1448,2)</f>
        <v>2.95</v>
      </c>
      <c r="H1448" s="337">
        <v>11.798000000000002</v>
      </c>
      <c r="I1448" s="23" t="e">
        <f>IF(A1448&lt;&gt;0,VLOOKUP(A1448,#REF!,2,FALSE),"")</f>
        <v>#REF!</v>
      </c>
      <c r="K1448" s="222"/>
    </row>
    <row r="1449" spans="1:11" ht="15" customHeight="1">
      <c r="A1449" s="719" t="s">
        <v>1893</v>
      </c>
      <c r="B1449" s="719"/>
      <c r="C1449" s="719"/>
      <c r="D1449" s="719"/>
      <c r="E1449" s="719"/>
      <c r="F1449" s="719"/>
      <c r="G1449" s="71">
        <f>ROUND(SUM(G1446:G1448),2)</f>
        <v>51.86</v>
      </c>
      <c r="K1449" s="222"/>
    </row>
    <row r="1450" spans="1:11" ht="26.25" customHeight="1">
      <c r="A1450" s="72"/>
      <c r="B1450" s="72"/>
      <c r="C1450" s="752"/>
      <c r="D1450" s="753"/>
      <c r="E1450" s="72"/>
      <c r="F1450" s="72"/>
      <c r="G1450" s="72"/>
      <c r="K1450" s="222"/>
    </row>
    <row r="1451" spans="1:11" ht="15" customHeight="1">
      <c r="A1451" s="612" t="s">
        <v>2329</v>
      </c>
      <c r="B1451" s="613"/>
      <c r="C1451" s="613"/>
      <c r="D1451" s="613"/>
      <c r="E1451" s="718"/>
      <c r="F1451" s="67" t="s">
        <v>1914</v>
      </c>
      <c r="G1451" s="80"/>
      <c r="K1451" s="222"/>
    </row>
    <row r="1452" spans="1:11" ht="28.5">
      <c r="A1452" s="623" t="s">
        <v>364</v>
      </c>
      <c r="B1452" s="624"/>
      <c r="C1452" s="69" t="s">
        <v>3</v>
      </c>
      <c r="D1452" s="69" t="s">
        <v>4</v>
      </c>
      <c r="E1452" s="69" t="s">
        <v>1826</v>
      </c>
      <c r="F1452" s="69" t="s">
        <v>367</v>
      </c>
      <c r="G1452" s="69" t="s">
        <v>368</v>
      </c>
      <c r="K1452" s="222"/>
    </row>
    <row r="1453" spans="1:11" s="38" customFormat="1">
      <c r="A1453" s="20">
        <v>4855</v>
      </c>
      <c r="B1453" s="70" t="s">
        <v>584</v>
      </c>
      <c r="C1453" s="21" t="s">
        <v>44</v>
      </c>
      <c r="D1453" s="21" t="s">
        <v>17</v>
      </c>
      <c r="E1453" s="22">
        <v>1</v>
      </c>
      <c r="F1453" s="22">
        <f>H1453</f>
        <v>26.52</v>
      </c>
      <c r="G1453" s="22">
        <f>ROUND(F1453*E1453,2)</f>
        <v>26.52</v>
      </c>
      <c r="H1453" s="336">
        <v>26.52</v>
      </c>
      <c r="I1453" s="38" t="e">
        <f>IF(A1453&lt;&gt;0,VLOOKUP(A1453,#REF!,2,FALSE),"")</f>
        <v>#REF!</v>
      </c>
      <c r="J1453" s="336"/>
      <c r="K1453" s="222"/>
    </row>
    <row r="1454" spans="1:11" ht="30">
      <c r="A1454" s="20">
        <v>88264</v>
      </c>
      <c r="B1454" s="70" t="s">
        <v>379</v>
      </c>
      <c r="C1454" s="21" t="s">
        <v>12</v>
      </c>
      <c r="D1454" s="21" t="s">
        <v>19</v>
      </c>
      <c r="E1454" s="22">
        <v>0.75</v>
      </c>
      <c r="F1454" s="22">
        <f>H1454</f>
        <v>15.249000000000001</v>
      </c>
      <c r="G1454" s="22">
        <f>ROUND(F1454*E1454,2)</f>
        <v>11.44</v>
      </c>
      <c r="H1454" s="337">
        <v>15.249000000000001</v>
      </c>
      <c r="I1454" s="23" t="e">
        <f>IF(A1454&lt;&gt;0,VLOOKUP(A1454,#REF!,2,FALSE),"")</f>
        <v>#REF!</v>
      </c>
      <c r="K1454" s="222"/>
    </row>
    <row r="1455" spans="1:11" ht="30">
      <c r="A1455" s="20">
        <v>88316</v>
      </c>
      <c r="B1455" s="70" t="s">
        <v>377</v>
      </c>
      <c r="C1455" s="21" t="s">
        <v>12</v>
      </c>
      <c r="D1455" s="21" t="s">
        <v>19</v>
      </c>
      <c r="E1455" s="22">
        <v>0.25</v>
      </c>
      <c r="F1455" s="22">
        <f>H1455</f>
        <v>11.798000000000002</v>
      </c>
      <c r="G1455" s="22">
        <f>ROUND(F1455*E1455,2)</f>
        <v>2.95</v>
      </c>
      <c r="H1455" s="337">
        <v>11.798000000000002</v>
      </c>
      <c r="I1455" s="23" t="e">
        <f>IF(A1455&lt;&gt;0,VLOOKUP(A1455,#REF!,2,FALSE),"")</f>
        <v>#REF!</v>
      </c>
      <c r="K1455" s="222"/>
    </row>
    <row r="1456" spans="1:11" ht="15" customHeight="1">
      <c r="A1456" s="719" t="s">
        <v>1893</v>
      </c>
      <c r="B1456" s="719"/>
      <c r="C1456" s="719"/>
      <c r="D1456" s="719"/>
      <c r="E1456" s="719"/>
      <c r="F1456" s="719"/>
      <c r="G1456" s="71">
        <f>ROUND(SUM(G1453:G1455),2)</f>
        <v>40.909999999999997</v>
      </c>
      <c r="K1456" s="222"/>
    </row>
    <row r="1457" spans="1:11" ht="30.75" customHeight="1">
      <c r="A1457" s="72"/>
      <c r="B1457" s="72"/>
      <c r="C1457" s="752"/>
      <c r="D1457" s="753"/>
      <c r="E1457" s="72"/>
      <c r="F1457" s="72"/>
      <c r="G1457" s="72"/>
      <c r="K1457" s="222"/>
    </row>
    <row r="1458" spans="1:11" ht="37.5" customHeight="1">
      <c r="A1458" s="612" t="s">
        <v>2332</v>
      </c>
      <c r="B1458" s="613"/>
      <c r="C1458" s="613"/>
      <c r="D1458" s="613"/>
      <c r="E1458" s="613"/>
      <c r="F1458" s="67" t="s">
        <v>1914</v>
      </c>
      <c r="G1458" s="80"/>
      <c r="K1458" s="222"/>
    </row>
    <row r="1459" spans="1:11" ht="28.5">
      <c r="A1459" s="623" t="s">
        <v>364</v>
      </c>
      <c r="B1459" s="624"/>
      <c r="C1459" s="69" t="s">
        <v>3</v>
      </c>
      <c r="D1459" s="69" t="s">
        <v>4</v>
      </c>
      <c r="E1459" s="69" t="s">
        <v>1826</v>
      </c>
      <c r="F1459" s="69" t="s">
        <v>367</v>
      </c>
      <c r="G1459" s="69" t="s">
        <v>368</v>
      </c>
      <c r="K1459" s="222"/>
    </row>
    <row r="1460" spans="1:11" ht="45">
      <c r="A1460" s="20">
        <v>1625</v>
      </c>
      <c r="B1460" s="70" t="s">
        <v>585</v>
      </c>
      <c r="C1460" s="21" t="s">
        <v>12</v>
      </c>
      <c r="D1460" s="21" t="s">
        <v>17</v>
      </c>
      <c r="E1460" s="22">
        <v>1</v>
      </c>
      <c r="F1460" s="22">
        <f>H1460</f>
        <v>119.527</v>
      </c>
      <c r="G1460" s="22">
        <f>ROUND(F1460*E1460,2)</f>
        <v>119.53</v>
      </c>
      <c r="H1460" s="337">
        <v>119.527</v>
      </c>
      <c r="I1460" s="23" t="e">
        <f>IF(A1460&lt;&gt;0,VLOOKUP(A1460,#REF!,2,FALSE),"")</f>
        <v>#REF!</v>
      </c>
      <c r="K1460" s="222"/>
    </row>
    <row r="1461" spans="1:11" ht="30">
      <c r="A1461" s="20">
        <v>88247</v>
      </c>
      <c r="B1461" s="70" t="s">
        <v>510</v>
      </c>
      <c r="C1461" s="21" t="s">
        <v>12</v>
      </c>
      <c r="D1461" s="21" t="s">
        <v>19</v>
      </c>
      <c r="E1461" s="22">
        <v>3.5</v>
      </c>
      <c r="F1461" s="22">
        <f>H1461</f>
        <v>11.9085</v>
      </c>
      <c r="G1461" s="22">
        <f>ROUND(F1461*E1461,2)</f>
        <v>41.68</v>
      </c>
      <c r="H1461" s="337">
        <v>11.9085</v>
      </c>
      <c r="I1461" s="23" t="e">
        <f>IF(A1461&lt;&gt;0,VLOOKUP(A1461,#REF!,2,FALSE),"")</f>
        <v>#REF!</v>
      </c>
      <c r="K1461" s="222"/>
    </row>
    <row r="1462" spans="1:11" ht="30">
      <c r="A1462" s="20">
        <v>88264</v>
      </c>
      <c r="B1462" s="70" t="s">
        <v>379</v>
      </c>
      <c r="C1462" s="21" t="s">
        <v>12</v>
      </c>
      <c r="D1462" s="21" t="s">
        <v>19</v>
      </c>
      <c r="E1462" s="22">
        <v>3.5</v>
      </c>
      <c r="F1462" s="22">
        <f>H1462</f>
        <v>15.249000000000001</v>
      </c>
      <c r="G1462" s="22">
        <f>ROUND(F1462*E1462,2)</f>
        <v>53.37</v>
      </c>
      <c r="H1462" s="337">
        <v>15.249000000000001</v>
      </c>
      <c r="I1462" s="23" t="e">
        <f>IF(A1462&lt;&gt;0,VLOOKUP(A1462,#REF!,2,FALSE),"")</f>
        <v>#REF!</v>
      </c>
      <c r="K1462" s="222"/>
    </row>
    <row r="1463" spans="1:11" ht="30">
      <c r="A1463" s="20">
        <v>88266</v>
      </c>
      <c r="B1463" s="70" t="s">
        <v>570</v>
      </c>
      <c r="C1463" s="21" t="s">
        <v>12</v>
      </c>
      <c r="D1463" s="21" t="s">
        <v>19</v>
      </c>
      <c r="E1463" s="22">
        <v>0.5</v>
      </c>
      <c r="F1463" s="22">
        <f>H1463</f>
        <v>25.6785</v>
      </c>
      <c r="G1463" s="22">
        <f>ROUND(F1463*E1463,2)</f>
        <v>12.84</v>
      </c>
      <c r="H1463" s="337">
        <v>25.6785</v>
      </c>
      <c r="I1463" s="23" t="e">
        <f>IF(A1463&lt;&gt;0,VLOOKUP(A1463,#REF!,2,FALSE),"")</f>
        <v>#REF!</v>
      </c>
      <c r="K1463" s="222"/>
    </row>
    <row r="1464" spans="1:11" ht="15" customHeight="1">
      <c r="A1464" s="719" t="s">
        <v>1893</v>
      </c>
      <c r="B1464" s="719"/>
      <c r="C1464" s="719"/>
      <c r="D1464" s="719"/>
      <c r="E1464" s="719"/>
      <c r="F1464" s="719"/>
      <c r="G1464" s="71">
        <f>ROUND(SUM(G1460:G1463),2)</f>
        <v>227.42</v>
      </c>
      <c r="K1464" s="222"/>
    </row>
    <row r="1465" spans="1:11" ht="26.25" customHeight="1">
      <c r="A1465" s="72"/>
      <c r="B1465" s="72"/>
      <c r="C1465" s="752"/>
      <c r="D1465" s="753"/>
      <c r="E1465" s="72"/>
      <c r="F1465" s="72"/>
      <c r="G1465" s="72"/>
      <c r="K1465" s="222"/>
    </row>
    <row r="1466" spans="1:11" ht="41.25" customHeight="1">
      <c r="A1466" s="612" t="s">
        <v>2333</v>
      </c>
      <c r="B1466" s="613"/>
      <c r="C1466" s="613"/>
      <c r="D1466" s="613"/>
      <c r="E1466" s="613"/>
      <c r="F1466" s="67" t="s">
        <v>1914</v>
      </c>
      <c r="G1466" s="80"/>
      <c r="K1466" s="222"/>
    </row>
    <row r="1467" spans="1:11" ht="28.5">
      <c r="A1467" s="623" t="s">
        <v>364</v>
      </c>
      <c r="B1467" s="624"/>
      <c r="C1467" s="69" t="s">
        <v>3</v>
      </c>
      <c r="D1467" s="69" t="s">
        <v>4</v>
      </c>
      <c r="E1467" s="69" t="s">
        <v>1826</v>
      </c>
      <c r="F1467" s="69" t="s">
        <v>367</v>
      </c>
      <c r="G1467" s="69" t="s">
        <v>368</v>
      </c>
      <c r="K1467" s="222"/>
    </row>
    <row r="1468" spans="1:11" ht="45">
      <c r="A1468" s="20">
        <v>1623</v>
      </c>
      <c r="B1468" s="70" t="s">
        <v>586</v>
      </c>
      <c r="C1468" s="21" t="s">
        <v>12</v>
      </c>
      <c r="D1468" s="21" t="s">
        <v>17</v>
      </c>
      <c r="E1468" s="22">
        <v>1</v>
      </c>
      <c r="F1468" s="22">
        <f>H1468</f>
        <v>97.478000000000009</v>
      </c>
      <c r="G1468" s="22">
        <f>ROUND(F1468*E1468,2)</f>
        <v>97.48</v>
      </c>
      <c r="H1468" s="337">
        <v>97.478000000000009</v>
      </c>
      <c r="I1468" s="23" t="e">
        <f>IF(A1468&lt;&gt;0,VLOOKUP(A1468,#REF!,2,FALSE),"")</f>
        <v>#REF!</v>
      </c>
      <c r="K1468" s="222"/>
    </row>
    <row r="1469" spans="1:11" ht="30">
      <c r="A1469" s="20">
        <v>88247</v>
      </c>
      <c r="B1469" s="70" t="s">
        <v>510</v>
      </c>
      <c r="C1469" s="21" t="s">
        <v>12</v>
      </c>
      <c r="D1469" s="21" t="s">
        <v>19</v>
      </c>
      <c r="E1469" s="22">
        <v>3</v>
      </c>
      <c r="F1469" s="22">
        <f>H1469</f>
        <v>11.9085</v>
      </c>
      <c r="G1469" s="22">
        <f>ROUND(F1469*E1469,2)</f>
        <v>35.729999999999997</v>
      </c>
      <c r="H1469" s="337">
        <v>11.9085</v>
      </c>
      <c r="I1469" s="23" t="e">
        <f>IF(A1469&lt;&gt;0,VLOOKUP(A1469,#REF!,2,FALSE),"")</f>
        <v>#REF!</v>
      </c>
      <c r="K1469" s="222"/>
    </row>
    <row r="1470" spans="1:11" ht="30">
      <c r="A1470" s="20">
        <v>88264</v>
      </c>
      <c r="B1470" s="70" t="s">
        <v>379</v>
      </c>
      <c r="C1470" s="21" t="s">
        <v>12</v>
      </c>
      <c r="D1470" s="21" t="s">
        <v>19</v>
      </c>
      <c r="E1470" s="22">
        <v>3</v>
      </c>
      <c r="F1470" s="22">
        <f>H1470</f>
        <v>15.249000000000001</v>
      </c>
      <c r="G1470" s="22">
        <f>ROUND(F1470*E1470,2)</f>
        <v>45.75</v>
      </c>
      <c r="H1470" s="337">
        <v>15.249000000000001</v>
      </c>
      <c r="I1470" s="23" t="e">
        <f>IF(A1470&lt;&gt;0,VLOOKUP(A1470,#REF!,2,FALSE),"")</f>
        <v>#REF!</v>
      </c>
      <c r="K1470" s="222"/>
    </row>
    <row r="1471" spans="1:11" ht="30">
      <c r="A1471" s="20">
        <v>88266</v>
      </c>
      <c r="B1471" s="70" t="s">
        <v>570</v>
      </c>
      <c r="C1471" s="21" t="s">
        <v>12</v>
      </c>
      <c r="D1471" s="21" t="s">
        <v>19</v>
      </c>
      <c r="E1471" s="22">
        <v>0.5</v>
      </c>
      <c r="F1471" s="22">
        <f>H1471</f>
        <v>25.6785</v>
      </c>
      <c r="G1471" s="22">
        <f>ROUND(F1471*E1471,2)</f>
        <v>12.84</v>
      </c>
      <c r="H1471" s="337">
        <v>25.6785</v>
      </c>
      <c r="I1471" s="23" t="e">
        <f>IF(A1471&lt;&gt;0,VLOOKUP(A1471,#REF!,2,FALSE),"")</f>
        <v>#REF!</v>
      </c>
      <c r="K1471" s="222"/>
    </row>
    <row r="1472" spans="1:11" ht="15" customHeight="1">
      <c r="A1472" s="719" t="s">
        <v>1893</v>
      </c>
      <c r="B1472" s="719"/>
      <c r="C1472" s="719"/>
      <c r="D1472" s="719"/>
      <c r="E1472" s="719"/>
      <c r="F1472" s="719"/>
      <c r="G1472" s="71">
        <f>ROUND(SUM(G1468:G1471),2)</f>
        <v>191.8</v>
      </c>
      <c r="K1472" s="222"/>
    </row>
    <row r="1473" spans="1:11" ht="27.75" customHeight="1">
      <c r="A1473" s="72"/>
      <c r="B1473" s="72"/>
      <c r="C1473" s="752"/>
      <c r="D1473" s="753"/>
      <c r="E1473" s="72"/>
      <c r="F1473" s="72"/>
      <c r="G1473" s="72"/>
      <c r="K1473" s="222"/>
    </row>
    <row r="1474" spans="1:11" ht="43.5" customHeight="1">
      <c r="A1474" s="615" t="s">
        <v>2348</v>
      </c>
      <c r="B1474" s="615"/>
      <c r="C1474" s="615"/>
      <c r="D1474" s="615"/>
      <c r="E1474" s="615"/>
      <c r="F1474" s="67" t="s">
        <v>44</v>
      </c>
      <c r="G1474" s="89"/>
      <c r="K1474" s="222"/>
    </row>
    <row r="1475" spans="1:11" ht="28.5">
      <c r="A1475" s="773" t="s">
        <v>364</v>
      </c>
      <c r="B1475" s="774"/>
      <c r="C1475" s="85" t="s">
        <v>3</v>
      </c>
      <c r="D1475" s="85" t="s">
        <v>4</v>
      </c>
      <c r="E1475" s="85" t="s">
        <v>1826</v>
      </c>
      <c r="F1475" s="85" t="s">
        <v>367</v>
      </c>
      <c r="G1475" s="85" t="s">
        <v>368</v>
      </c>
      <c r="K1475" s="222"/>
    </row>
    <row r="1476" spans="1:11" s="38" customFormat="1" ht="30">
      <c r="A1476" s="20">
        <v>7863</v>
      </c>
      <c r="B1476" s="70" t="s">
        <v>590</v>
      </c>
      <c r="C1476" s="21" t="s">
        <v>44</v>
      </c>
      <c r="D1476" s="21" t="s">
        <v>17</v>
      </c>
      <c r="E1476" s="22">
        <v>1</v>
      </c>
      <c r="F1476" s="22">
        <f>H1476</f>
        <v>28.3475</v>
      </c>
      <c r="G1476" s="22">
        <f>ROUND(F1476*E1476,2)</f>
        <v>28.35</v>
      </c>
      <c r="H1476" s="336">
        <v>28.3475</v>
      </c>
      <c r="I1476" s="38" t="e">
        <f>IF(A1476&lt;&gt;0,VLOOKUP(A1476,#REF!,2,FALSE),"")</f>
        <v>#REF!</v>
      </c>
      <c r="J1476" s="336"/>
      <c r="K1476" s="222"/>
    </row>
    <row r="1477" spans="1:11" ht="30">
      <c r="A1477" s="20">
        <v>88264</v>
      </c>
      <c r="B1477" s="70" t="s">
        <v>379</v>
      </c>
      <c r="C1477" s="21" t="s">
        <v>12</v>
      </c>
      <c r="D1477" s="21" t="s">
        <v>19</v>
      </c>
      <c r="E1477" s="22">
        <v>0.7</v>
      </c>
      <c r="F1477" s="22">
        <f>H1477</f>
        <v>15.249000000000001</v>
      </c>
      <c r="G1477" s="22">
        <f>ROUND(F1477*E1477,2)</f>
        <v>10.67</v>
      </c>
      <c r="H1477" s="337">
        <v>15.249000000000001</v>
      </c>
      <c r="I1477" s="23" t="e">
        <f>IF(A1477&lt;&gt;0,VLOOKUP(A1477,#REF!,2,FALSE),"")</f>
        <v>#REF!</v>
      </c>
      <c r="K1477" s="222"/>
    </row>
    <row r="1478" spans="1:11" ht="30">
      <c r="A1478" s="20">
        <v>88316</v>
      </c>
      <c r="B1478" s="70" t="s">
        <v>377</v>
      </c>
      <c r="C1478" s="21" t="s">
        <v>12</v>
      </c>
      <c r="D1478" s="21" t="s">
        <v>19</v>
      </c>
      <c r="E1478" s="22">
        <v>1.1000000000000001</v>
      </c>
      <c r="F1478" s="22">
        <f>H1478</f>
        <v>11.798000000000002</v>
      </c>
      <c r="G1478" s="22">
        <f>ROUND(F1478*E1478,2)</f>
        <v>12.98</v>
      </c>
      <c r="H1478" s="337">
        <v>11.798000000000002</v>
      </c>
      <c r="I1478" s="23" t="e">
        <f>IF(A1478&lt;&gt;0,VLOOKUP(A1478,#REF!,2,FALSE),"")</f>
        <v>#REF!</v>
      </c>
      <c r="K1478" s="222"/>
    </row>
    <row r="1479" spans="1:11" ht="15" customHeight="1">
      <c r="A1479" s="719" t="s">
        <v>1893</v>
      </c>
      <c r="B1479" s="719"/>
      <c r="C1479" s="719"/>
      <c r="D1479" s="719"/>
      <c r="E1479" s="719"/>
      <c r="F1479" s="719"/>
      <c r="G1479" s="71">
        <f>ROUND(SUM(G1476:G1478),2)</f>
        <v>52</v>
      </c>
      <c r="K1479" s="222"/>
    </row>
    <row r="1480" spans="1:11" ht="30" customHeight="1">
      <c r="A1480" s="72"/>
      <c r="B1480" s="72"/>
      <c r="C1480" s="752"/>
      <c r="D1480" s="753"/>
      <c r="E1480" s="72"/>
      <c r="F1480" s="72"/>
      <c r="G1480" s="72"/>
      <c r="K1480" s="222"/>
    </row>
    <row r="1481" spans="1:11" ht="32.25" customHeight="1">
      <c r="A1481" s="612" t="s">
        <v>3042</v>
      </c>
      <c r="B1481" s="613"/>
      <c r="C1481" s="613"/>
      <c r="D1481" s="613"/>
      <c r="E1481" s="718"/>
      <c r="F1481" s="67" t="s">
        <v>44</v>
      </c>
      <c r="G1481" s="80"/>
      <c r="K1481" s="222"/>
    </row>
    <row r="1482" spans="1:11" ht="28.5">
      <c r="A1482" s="612" t="s">
        <v>364</v>
      </c>
      <c r="B1482" s="616"/>
      <c r="C1482" s="69" t="s">
        <v>3</v>
      </c>
      <c r="D1482" s="69" t="s">
        <v>4</v>
      </c>
      <c r="E1482" s="69" t="s">
        <v>1826</v>
      </c>
      <c r="F1482" s="69" t="s">
        <v>367</v>
      </c>
      <c r="G1482" s="69" t="s">
        <v>368</v>
      </c>
      <c r="K1482" s="222"/>
    </row>
    <row r="1483" spans="1:11" s="38" customFormat="1" ht="30">
      <c r="A1483" s="20">
        <v>7864</v>
      </c>
      <c r="B1483" s="70" t="s">
        <v>591</v>
      </c>
      <c r="C1483" s="21" t="s">
        <v>44</v>
      </c>
      <c r="D1483" s="21" t="s">
        <v>17</v>
      </c>
      <c r="E1483" s="22">
        <v>1</v>
      </c>
      <c r="F1483" s="22">
        <f>H1483</f>
        <v>3.7909999999999999</v>
      </c>
      <c r="G1483" s="22">
        <f>ROUND(F1483*E1483,2)</f>
        <v>3.79</v>
      </c>
      <c r="H1483" s="336">
        <v>3.7909999999999999</v>
      </c>
      <c r="I1483" s="38" t="e">
        <f>IF(A1483&lt;&gt;0,VLOOKUP(A1483,#REF!,2,FALSE),"")</f>
        <v>#REF!</v>
      </c>
      <c r="J1483" s="336"/>
      <c r="K1483" s="222"/>
    </row>
    <row r="1484" spans="1:11" ht="30">
      <c r="A1484" s="20">
        <v>88264</v>
      </c>
      <c r="B1484" s="70" t="s">
        <v>379</v>
      </c>
      <c r="C1484" s="21" t="s">
        <v>12</v>
      </c>
      <c r="D1484" s="21" t="s">
        <v>19</v>
      </c>
      <c r="E1484" s="22">
        <v>0.1</v>
      </c>
      <c r="F1484" s="22">
        <f>H1484</f>
        <v>15.249000000000001</v>
      </c>
      <c r="G1484" s="22">
        <f>ROUND(F1484*E1484,2)</f>
        <v>1.52</v>
      </c>
      <c r="H1484" s="337">
        <v>15.249000000000001</v>
      </c>
      <c r="I1484" s="23" t="e">
        <f>IF(A1484&lt;&gt;0,VLOOKUP(A1484,#REF!,2,FALSE),"")</f>
        <v>#REF!</v>
      </c>
      <c r="K1484" s="222"/>
    </row>
    <row r="1485" spans="1:11" ht="30">
      <c r="A1485" s="20">
        <v>88316</v>
      </c>
      <c r="B1485" s="70" t="s">
        <v>377</v>
      </c>
      <c r="C1485" s="21" t="s">
        <v>12</v>
      </c>
      <c r="D1485" s="21" t="s">
        <v>19</v>
      </c>
      <c r="E1485" s="22">
        <v>0.2</v>
      </c>
      <c r="F1485" s="22">
        <f>H1485</f>
        <v>11.798000000000002</v>
      </c>
      <c r="G1485" s="22">
        <f>ROUND(F1485*E1485,2)</f>
        <v>2.36</v>
      </c>
      <c r="H1485" s="337">
        <v>11.798000000000002</v>
      </c>
      <c r="I1485" s="23" t="e">
        <f>IF(A1485&lt;&gt;0,VLOOKUP(A1485,#REF!,2,FALSE),"")</f>
        <v>#REF!</v>
      </c>
      <c r="K1485" s="222"/>
    </row>
    <row r="1486" spans="1:11" ht="15" customHeight="1">
      <c r="A1486" s="719" t="s">
        <v>1893</v>
      </c>
      <c r="B1486" s="719"/>
      <c r="C1486" s="719"/>
      <c r="D1486" s="719"/>
      <c r="E1486" s="719"/>
      <c r="F1486" s="719"/>
      <c r="G1486" s="71">
        <f>ROUND(SUM(G1483:G1485),2)</f>
        <v>7.67</v>
      </c>
      <c r="K1486" s="222"/>
    </row>
    <row r="1487" spans="1:11" ht="29.25" customHeight="1">
      <c r="A1487" s="72"/>
      <c r="B1487" s="72"/>
      <c r="C1487" s="752"/>
      <c r="D1487" s="753"/>
      <c r="E1487" s="72"/>
      <c r="F1487" s="72"/>
      <c r="G1487" s="72"/>
      <c r="K1487" s="222"/>
    </row>
    <row r="1488" spans="1:11" ht="35.25" customHeight="1">
      <c r="A1488" s="612" t="s">
        <v>3346</v>
      </c>
      <c r="B1488" s="613"/>
      <c r="C1488" s="613"/>
      <c r="D1488" s="613"/>
      <c r="E1488" s="718"/>
      <c r="F1488" s="67" t="s">
        <v>1914</v>
      </c>
      <c r="G1488" s="80"/>
      <c r="K1488" s="222"/>
    </row>
    <row r="1489" spans="1:11" ht="28.5">
      <c r="A1489" s="612" t="s">
        <v>1916</v>
      </c>
      <c r="B1489" s="616"/>
      <c r="C1489" s="69" t="s">
        <v>3</v>
      </c>
      <c r="D1489" s="69" t="s">
        <v>4</v>
      </c>
      <c r="E1489" s="69" t="s">
        <v>1826</v>
      </c>
      <c r="F1489" s="69" t="s">
        <v>367</v>
      </c>
      <c r="G1489" s="69" t="s">
        <v>368</v>
      </c>
      <c r="K1489" s="222"/>
    </row>
    <row r="1490" spans="1:11" ht="48" customHeight="1">
      <c r="A1490" s="20" t="s">
        <v>1919</v>
      </c>
      <c r="B1490" s="70" t="s">
        <v>3024</v>
      </c>
      <c r="C1490" s="21" t="s">
        <v>2014</v>
      </c>
      <c r="D1490" s="21" t="s">
        <v>17</v>
      </c>
      <c r="E1490" s="22">
        <v>1</v>
      </c>
      <c r="F1490" s="22">
        <f>H1490</f>
        <v>220820.98150000002</v>
      </c>
      <c r="G1490" s="22">
        <f>ROUND(F1490*E1490,2)</f>
        <v>220820.98</v>
      </c>
      <c r="H1490" s="337">
        <v>220820.98150000002</v>
      </c>
      <c r="K1490" s="222"/>
    </row>
    <row r="1491" spans="1:11" ht="15" customHeight="1">
      <c r="A1491" s="719" t="s">
        <v>1893</v>
      </c>
      <c r="B1491" s="719"/>
      <c r="C1491" s="719"/>
      <c r="D1491" s="719"/>
      <c r="E1491" s="719"/>
      <c r="F1491" s="719"/>
      <c r="G1491" s="71">
        <f>ROUND(SUM(G1490:G1490),2)</f>
        <v>220820.98</v>
      </c>
      <c r="K1491" s="222"/>
    </row>
    <row r="1492" spans="1:11" ht="27" customHeight="1">
      <c r="A1492" s="72"/>
      <c r="B1492" s="72"/>
      <c r="C1492" s="752"/>
      <c r="D1492" s="753"/>
      <c r="E1492" s="72"/>
      <c r="F1492" s="72"/>
      <c r="G1492" s="72"/>
      <c r="K1492" s="222"/>
    </row>
    <row r="1493" spans="1:11" ht="32.25" customHeight="1">
      <c r="A1493" s="612" t="s">
        <v>3344</v>
      </c>
      <c r="B1493" s="613"/>
      <c r="C1493" s="613"/>
      <c r="D1493" s="613"/>
      <c r="E1493" s="718"/>
      <c r="F1493" s="67" t="s">
        <v>44</v>
      </c>
      <c r="G1493" s="87">
        <v>9512</v>
      </c>
      <c r="K1493" s="222"/>
    </row>
    <row r="1494" spans="1:11" ht="28.5">
      <c r="A1494" s="612" t="s">
        <v>366</v>
      </c>
      <c r="B1494" s="616"/>
      <c r="C1494" s="69" t="s">
        <v>3</v>
      </c>
      <c r="D1494" s="69" t="s">
        <v>4</v>
      </c>
      <c r="E1494" s="69" t="s">
        <v>1826</v>
      </c>
      <c r="F1494" s="69" t="s">
        <v>367</v>
      </c>
      <c r="G1494" s="69" t="s">
        <v>368</v>
      </c>
      <c r="I1494" s="18"/>
      <c r="K1494" s="222"/>
    </row>
    <row r="1495" spans="1:11" ht="47.25" customHeight="1">
      <c r="A1495" s="20">
        <v>9742</v>
      </c>
      <c r="B1495" s="70" t="s">
        <v>3348</v>
      </c>
      <c r="C1495" s="21" t="s">
        <v>44</v>
      </c>
      <c r="D1495" s="21" t="s">
        <v>17</v>
      </c>
      <c r="E1495" s="22">
        <v>1</v>
      </c>
      <c r="F1495" s="22">
        <v>25139.83</v>
      </c>
      <c r="G1495" s="22">
        <v>25139.83</v>
      </c>
      <c r="H1495" s="337">
        <v>21368.855500000001</v>
      </c>
      <c r="I1495" s="271"/>
      <c r="K1495" s="222"/>
    </row>
    <row r="1496" spans="1:11" ht="30">
      <c r="A1496" s="20">
        <v>88264</v>
      </c>
      <c r="B1496" s="70" t="s">
        <v>379</v>
      </c>
      <c r="C1496" s="21" t="s">
        <v>12</v>
      </c>
      <c r="D1496" s="21" t="s">
        <v>19</v>
      </c>
      <c r="E1496" s="22">
        <v>2</v>
      </c>
      <c r="F1496" s="22">
        <f>H1496</f>
        <v>15.249000000000001</v>
      </c>
      <c r="G1496" s="22">
        <f>ROUND(F1496*E1496,2)</f>
        <v>30.5</v>
      </c>
      <c r="H1496" s="337">
        <v>15.249000000000001</v>
      </c>
      <c r="I1496" s="23" t="e">
        <f>IF(A1496&lt;&gt;0,VLOOKUP(A1496,#REF!,2,FALSE),"")</f>
        <v>#REF!</v>
      </c>
      <c r="K1496" s="222"/>
    </row>
    <row r="1497" spans="1:11" ht="30">
      <c r="A1497" s="20">
        <v>88309</v>
      </c>
      <c r="B1497" s="70" t="s">
        <v>390</v>
      </c>
      <c r="C1497" s="21" t="s">
        <v>12</v>
      </c>
      <c r="D1497" s="21" t="s">
        <v>19</v>
      </c>
      <c r="E1497" s="22">
        <v>1</v>
      </c>
      <c r="F1497" s="22">
        <f>H1497</f>
        <v>15.121499999999999</v>
      </c>
      <c r="G1497" s="22">
        <f>ROUND(F1497*E1497,2)</f>
        <v>15.12</v>
      </c>
      <c r="H1497" s="337">
        <v>15.121499999999999</v>
      </c>
      <c r="I1497" s="23" t="e">
        <f>IF(A1497&lt;&gt;0,VLOOKUP(A1497,#REF!,2,FALSE),"")</f>
        <v>#REF!</v>
      </c>
      <c r="K1497" s="222"/>
    </row>
    <row r="1498" spans="1:11" ht="30">
      <c r="A1498" s="20">
        <v>88316</v>
      </c>
      <c r="B1498" s="70" t="s">
        <v>377</v>
      </c>
      <c r="C1498" s="21" t="s">
        <v>12</v>
      </c>
      <c r="D1498" s="21" t="s">
        <v>19</v>
      </c>
      <c r="E1498" s="22">
        <v>3</v>
      </c>
      <c r="F1498" s="22">
        <f>H1498</f>
        <v>11.798000000000002</v>
      </c>
      <c r="G1498" s="22">
        <f>ROUND(F1498*E1498,2)</f>
        <v>35.39</v>
      </c>
      <c r="H1498" s="337">
        <v>11.798000000000002</v>
      </c>
      <c r="I1498" s="23" t="e">
        <f>IF(A1498&lt;&gt;0,VLOOKUP(A1498,#REF!,2,FALSE),"")</f>
        <v>#REF!</v>
      </c>
      <c r="K1498" s="222"/>
    </row>
    <row r="1499" spans="1:11">
      <c r="A1499" s="20">
        <v>88628</v>
      </c>
      <c r="B1499" s="70" t="e">
        <f>I1499</f>
        <v>#REF!</v>
      </c>
      <c r="C1499" s="21" t="s">
        <v>12</v>
      </c>
      <c r="D1499" s="21" t="s">
        <v>35</v>
      </c>
      <c r="E1499" s="22">
        <v>2.7E-2</v>
      </c>
      <c r="F1499" s="22">
        <f>H1499</f>
        <v>389.36799999999999</v>
      </c>
      <c r="G1499" s="22">
        <f>ROUND(F1499*E1499,2)</f>
        <v>10.51</v>
      </c>
      <c r="H1499" s="337">
        <v>389.36799999999999</v>
      </c>
      <c r="I1499" s="23" t="e">
        <f>IF(A1499&lt;&gt;0,VLOOKUP(A1499,#REF!,2,FALSE),"")</f>
        <v>#REF!</v>
      </c>
      <c r="K1499" s="222"/>
    </row>
    <row r="1500" spans="1:11" ht="15" customHeight="1">
      <c r="A1500" s="719" t="s">
        <v>1893</v>
      </c>
      <c r="B1500" s="719"/>
      <c r="C1500" s="719"/>
      <c r="D1500" s="719"/>
      <c r="E1500" s="719"/>
      <c r="F1500" s="719"/>
      <c r="G1500" s="71">
        <f>ROUND(SUM(G1495:G1499),2)</f>
        <v>25231.35</v>
      </c>
      <c r="K1500" s="222"/>
    </row>
    <row r="1501" spans="1:11" ht="26.25" customHeight="1">
      <c r="A1501" s="72"/>
      <c r="B1501" s="72"/>
      <c r="C1501" s="752"/>
      <c r="D1501" s="753"/>
      <c r="E1501" s="72"/>
      <c r="F1501" s="72"/>
      <c r="G1501" s="72"/>
      <c r="K1501" s="222"/>
    </row>
    <row r="1502" spans="1:11" ht="34.5" customHeight="1">
      <c r="A1502" s="612" t="s">
        <v>3321</v>
      </c>
      <c r="B1502" s="613"/>
      <c r="C1502" s="613"/>
      <c r="D1502" s="613"/>
      <c r="E1502" s="718"/>
      <c r="F1502" s="67" t="s">
        <v>3046</v>
      </c>
      <c r="G1502" s="321" t="s">
        <v>3322</v>
      </c>
      <c r="K1502" s="222"/>
    </row>
    <row r="1503" spans="1:11" ht="28.5">
      <c r="A1503" s="623" t="s">
        <v>366</v>
      </c>
      <c r="B1503" s="624"/>
      <c r="C1503" s="69" t="s">
        <v>3</v>
      </c>
      <c r="D1503" s="69" t="s">
        <v>4</v>
      </c>
      <c r="E1503" s="69" t="s">
        <v>1826</v>
      </c>
      <c r="F1503" s="69" t="s">
        <v>367</v>
      </c>
      <c r="G1503" s="69" t="s">
        <v>368</v>
      </c>
      <c r="K1503" s="222"/>
    </row>
    <row r="1504" spans="1:11" ht="45">
      <c r="A1504" s="20" t="s">
        <v>3323</v>
      </c>
      <c r="B1504" s="70" t="s">
        <v>3321</v>
      </c>
      <c r="C1504" s="21" t="s">
        <v>3046</v>
      </c>
      <c r="D1504" s="21" t="s">
        <v>17</v>
      </c>
      <c r="E1504" s="22">
        <v>1</v>
      </c>
      <c r="F1504" s="22">
        <v>285320.34000000003</v>
      </c>
      <c r="G1504" s="22">
        <f>F1504</f>
        <v>285320.34000000003</v>
      </c>
      <c r="H1504" s="337">
        <v>242522.28900000002</v>
      </c>
      <c r="K1504" s="222"/>
    </row>
    <row r="1505" spans="1:12" ht="15" customHeight="1">
      <c r="A1505" s="719" t="s">
        <v>1893</v>
      </c>
      <c r="B1505" s="719"/>
      <c r="C1505" s="719"/>
      <c r="D1505" s="719"/>
      <c r="E1505" s="719"/>
      <c r="F1505" s="719"/>
      <c r="G1505" s="71">
        <f>ROUND(SUM(G1504:G1504),2)</f>
        <v>285320.34000000003</v>
      </c>
      <c r="K1505" s="222"/>
    </row>
    <row r="1506" spans="1:12" ht="27.75" customHeight="1">
      <c r="A1506" s="72"/>
      <c r="B1506" s="72"/>
      <c r="C1506" s="752"/>
      <c r="D1506" s="753"/>
      <c r="E1506" s="72"/>
      <c r="F1506" s="72"/>
      <c r="G1506" s="72"/>
      <c r="K1506" s="222"/>
    </row>
    <row r="1507" spans="1:12" ht="26.25" customHeight="1">
      <c r="A1507" s="612" t="s">
        <v>2351</v>
      </c>
      <c r="B1507" s="613"/>
      <c r="C1507" s="613"/>
      <c r="D1507" s="613"/>
      <c r="E1507" s="614"/>
      <c r="F1507" s="69" t="s">
        <v>44</v>
      </c>
      <c r="G1507" s="80"/>
      <c r="H1507" s="431"/>
      <c r="I1507" s="432"/>
      <c r="J1507" s="432"/>
      <c r="K1507" s="222"/>
      <c r="L1507" s="433"/>
    </row>
    <row r="1508" spans="1:12" ht="28.5">
      <c r="A1508" s="623" t="s">
        <v>366</v>
      </c>
      <c r="B1508" s="624"/>
      <c r="C1508" s="69" t="s">
        <v>3</v>
      </c>
      <c r="D1508" s="69" t="s">
        <v>4</v>
      </c>
      <c r="E1508" s="69" t="s">
        <v>1826</v>
      </c>
      <c r="F1508" s="69" t="s">
        <v>367</v>
      </c>
      <c r="G1508" s="69" t="s">
        <v>368</v>
      </c>
      <c r="K1508" s="222"/>
    </row>
    <row r="1509" spans="1:12" s="38" customFormat="1" ht="30">
      <c r="A1509" s="20">
        <v>9876</v>
      </c>
      <c r="B1509" s="70" t="s">
        <v>2353</v>
      </c>
      <c r="C1509" s="21" t="s">
        <v>44</v>
      </c>
      <c r="D1509" s="21" t="s">
        <v>52</v>
      </c>
      <c r="E1509" s="22">
        <v>3</v>
      </c>
      <c r="F1509" s="22">
        <f>H1509</f>
        <v>81.310999999999993</v>
      </c>
      <c r="G1509" s="22">
        <f>ROUND(F1509*E1509,2)</f>
        <v>243.93</v>
      </c>
      <c r="H1509" s="336">
        <v>81.310999999999993</v>
      </c>
      <c r="I1509" s="38" t="e">
        <f>IF(A1509&lt;&gt;0,VLOOKUP(A1509,#REF!,2,FALSE),"")</f>
        <v>#REF!</v>
      </c>
      <c r="J1509" s="336"/>
      <c r="K1509" s="222"/>
    </row>
    <row r="1510" spans="1:12">
      <c r="A1510" s="20">
        <v>88316</v>
      </c>
      <c r="B1510" s="70" t="e">
        <f>I1510</f>
        <v>#REF!</v>
      </c>
      <c r="C1510" s="21" t="s">
        <v>12</v>
      </c>
      <c r="D1510" s="21" t="s">
        <v>19</v>
      </c>
      <c r="E1510" s="22">
        <v>0.2</v>
      </c>
      <c r="F1510" s="22">
        <f>H1510</f>
        <v>11.798000000000002</v>
      </c>
      <c r="G1510" s="22">
        <f>ROUND(F1510*E1510,2)</f>
        <v>2.36</v>
      </c>
      <c r="H1510" s="337">
        <v>11.798000000000002</v>
      </c>
      <c r="I1510" s="23" t="e">
        <f>IF(A1510&lt;&gt;0,VLOOKUP(A1510,#REF!,2,FALSE),"")</f>
        <v>#REF!</v>
      </c>
      <c r="K1510" s="222"/>
    </row>
    <row r="1511" spans="1:12" ht="30">
      <c r="A1511" s="20">
        <v>88264</v>
      </c>
      <c r="B1511" s="70" t="s">
        <v>379</v>
      </c>
      <c r="C1511" s="21" t="s">
        <v>12</v>
      </c>
      <c r="D1511" s="21" t="s">
        <v>19</v>
      </c>
      <c r="E1511" s="22">
        <v>0.2</v>
      </c>
      <c r="F1511" s="22">
        <f>H1511</f>
        <v>15.249000000000001</v>
      </c>
      <c r="G1511" s="22">
        <f>ROUND(F1511*E1511,2)</f>
        <v>3.05</v>
      </c>
      <c r="H1511" s="337">
        <v>15.249000000000001</v>
      </c>
      <c r="I1511" s="23" t="e">
        <f>IF(A1511&lt;&gt;0,VLOOKUP(A1511,#REF!,2,FALSE),"")</f>
        <v>#REF!</v>
      </c>
      <c r="K1511" s="222"/>
    </row>
    <row r="1512" spans="1:12" ht="15" customHeight="1">
      <c r="A1512" s="719" t="s">
        <v>1893</v>
      </c>
      <c r="B1512" s="719"/>
      <c r="C1512" s="719"/>
      <c r="D1512" s="719"/>
      <c r="E1512" s="719"/>
      <c r="F1512" s="719"/>
      <c r="G1512" s="71">
        <f>ROUND(SUM(G1509:G1511),2)</f>
        <v>249.34</v>
      </c>
      <c r="K1512" s="222"/>
    </row>
    <row r="1513" spans="1:12" ht="25.5" customHeight="1">
      <c r="A1513" s="72"/>
      <c r="B1513" s="72"/>
      <c r="C1513" s="752"/>
      <c r="D1513" s="753"/>
      <c r="E1513" s="72"/>
      <c r="F1513" s="72"/>
      <c r="G1513" s="72"/>
      <c r="K1513" s="222"/>
    </row>
    <row r="1514" spans="1:12" ht="15" customHeight="1">
      <c r="A1514" s="612" t="s">
        <v>2410</v>
      </c>
      <c r="B1514" s="613"/>
      <c r="C1514" s="613"/>
      <c r="D1514" s="613"/>
      <c r="E1514" s="614"/>
      <c r="F1514" s="69" t="s">
        <v>70</v>
      </c>
      <c r="G1514" s="80"/>
      <c r="K1514" s="222"/>
    </row>
    <row r="1515" spans="1:12" ht="28.5">
      <c r="A1515" s="623" t="s">
        <v>364</v>
      </c>
      <c r="B1515" s="624"/>
      <c r="C1515" s="69" t="s">
        <v>3</v>
      </c>
      <c r="D1515" s="69" t="s">
        <v>4</v>
      </c>
      <c r="E1515" s="69" t="s">
        <v>1826</v>
      </c>
      <c r="F1515" s="69" t="s">
        <v>367</v>
      </c>
      <c r="G1515" s="69" t="s">
        <v>368</v>
      </c>
      <c r="K1515" s="222"/>
    </row>
    <row r="1516" spans="1:12" s="23" customFormat="1">
      <c r="A1516" s="21" t="s">
        <v>595</v>
      </c>
      <c r="B1516" s="70" t="s">
        <v>596</v>
      </c>
      <c r="C1516" s="21" t="s">
        <v>70</v>
      </c>
      <c r="D1516" s="21" t="s">
        <v>52</v>
      </c>
      <c r="E1516" s="22">
        <v>1</v>
      </c>
      <c r="F1516" s="22">
        <f>H1516</f>
        <v>7.242</v>
      </c>
      <c r="G1516" s="22">
        <f>ROUND(F1516*E1516,2)</f>
        <v>7.24</v>
      </c>
      <c r="H1516" s="346">
        <v>7.242</v>
      </c>
      <c r="J1516" s="346"/>
      <c r="K1516" s="222"/>
    </row>
    <row r="1517" spans="1:12" ht="30">
      <c r="A1517" s="20">
        <v>88247</v>
      </c>
      <c r="B1517" s="70" t="s">
        <v>510</v>
      </c>
      <c r="C1517" s="21" t="s">
        <v>12</v>
      </c>
      <c r="D1517" s="21" t="s">
        <v>19</v>
      </c>
      <c r="E1517" s="22">
        <v>0.5</v>
      </c>
      <c r="F1517" s="22">
        <f>H1517</f>
        <v>11.9085</v>
      </c>
      <c r="G1517" s="22">
        <f>ROUND(F1517*E1517,2)</f>
        <v>5.95</v>
      </c>
      <c r="H1517" s="337">
        <v>11.9085</v>
      </c>
      <c r="I1517" s="23" t="e">
        <f>IF(A1517&lt;&gt;0,VLOOKUP(A1517,#REF!,2,FALSE),"")</f>
        <v>#REF!</v>
      </c>
      <c r="K1517" s="222"/>
    </row>
    <row r="1518" spans="1:12" ht="30">
      <c r="A1518" s="20">
        <v>88264</v>
      </c>
      <c r="B1518" s="70" t="s">
        <v>379</v>
      </c>
      <c r="C1518" s="21" t="s">
        <v>12</v>
      </c>
      <c r="D1518" s="21" t="s">
        <v>19</v>
      </c>
      <c r="E1518" s="22">
        <v>0.5</v>
      </c>
      <c r="F1518" s="22">
        <f>H1518</f>
        <v>15.249000000000001</v>
      </c>
      <c r="G1518" s="22">
        <f>ROUND(F1518*E1518,2)</f>
        <v>7.62</v>
      </c>
      <c r="H1518" s="337">
        <v>15.249000000000001</v>
      </c>
      <c r="I1518" s="23" t="e">
        <f>IF(A1518&lt;&gt;0,VLOOKUP(A1518,#REF!,2,FALSE),"")</f>
        <v>#REF!</v>
      </c>
      <c r="K1518" s="222"/>
    </row>
    <row r="1519" spans="1:12" ht="15" customHeight="1">
      <c r="A1519" s="719" t="s">
        <v>1893</v>
      </c>
      <c r="B1519" s="719"/>
      <c r="C1519" s="719"/>
      <c r="D1519" s="719"/>
      <c r="E1519" s="719"/>
      <c r="F1519" s="719"/>
      <c r="G1519" s="71">
        <f>ROUND(SUM(G1516:G1518),2)</f>
        <v>20.81</v>
      </c>
      <c r="K1519" s="222"/>
    </row>
    <row r="1520" spans="1:12" ht="26.25" customHeight="1">
      <c r="A1520" s="72"/>
      <c r="B1520" s="72"/>
      <c r="C1520" s="752"/>
      <c r="D1520" s="753"/>
      <c r="E1520" s="72"/>
      <c r="F1520" s="72"/>
      <c r="G1520" s="72"/>
      <c r="K1520" s="222"/>
    </row>
    <row r="1521" spans="1:11" ht="38.25" customHeight="1">
      <c r="A1521" s="612" t="s">
        <v>2355</v>
      </c>
      <c r="B1521" s="613"/>
      <c r="C1521" s="613"/>
      <c r="D1521" s="613"/>
      <c r="E1521" s="613"/>
      <c r="F1521" s="69" t="s">
        <v>44</v>
      </c>
      <c r="G1521" s="80"/>
      <c r="K1521" s="222"/>
    </row>
    <row r="1522" spans="1:11" ht="28.5">
      <c r="A1522" s="623" t="s">
        <v>1916</v>
      </c>
      <c r="B1522" s="624"/>
      <c r="C1522" s="69" t="s">
        <v>3</v>
      </c>
      <c r="D1522" s="69" t="s">
        <v>4</v>
      </c>
      <c r="E1522" s="69" t="s">
        <v>1826</v>
      </c>
      <c r="F1522" s="69" t="s">
        <v>367</v>
      </c>
      <c r="G1522" s="69" t="s">
        <v>368</v>
      </c>
      <c r="K1522" s="222"/>
    </row>
    <row r="1523" spans="1:11" s="38" customFormat="1" ht="47.25" customHeight="1">
      <c r="A1523" s="20">
        <v>1384</v>
      </c>
      <c r="B1523" s="70" t="s">
        <v>2354</v>
      </c>
      <c r="C1523" s="21" t="s">
        <v>44</v>
      </c>
      <c r="D1523" s="21" t="s">
        <v>17</v>
      </c>
      <c r="E1523" s="22">
        <v>1</v>
      </c>
      <c r="F1523" s="22">
        <f>H1523</f>
        <v>324.02</v>
      </c>
      <c r="G1523" s="22">
        <f>ROUND(F1523*E1523,2)</f>
        <v>324.02</v>
      </c>
      <c r="H1523" s="336">
        <v>324.02</v>
      </c>
      <c r="I1523" s="38" t="e">
        <f>IF(A1523&lt;&gt;0,VLOOKUP(A1523,#REF!,2,FALSE),"")</f>
        <v>#REF!</v>
      </c>
      <c r="J1523" s="336"/>
      <c r="K1523" s="222"/>
    </row>
    <row r="1524" spans="1:11">
      <c r="A1524" s="20">
        <v>38780</v>
      </c>
      <c r="B1524" s="70" t="e">
        <f>I1524</f>
        <v>#REF!</v>
      </c>
      <c r="C1524" s="21" t="s">
        <v>12</v>
      </c>
      <c r="D1524" s="21" t="s">
        <v>17</v>
      </c>
      <c r="E1524" s="22">
        <v>2</v>
      </c>
      <c r="F1524" s="22">
        <f>H1524</f>
        <v>11.339</v>
      </c>
      <c r="G1524" s="22">
        <f>ROUND(F1524*E1524,2)</f>
        <v>22.68</v>
      </c>
      <c r="H1524" s="337">
        <v>11.339</v>
      </c>
      <c r="I1524" s="23" t="e">
        <f>IF(A1524&lt;&gt;0,VLOOKUP(A1524,#REF!,2,FALSE),"")</f>
        <v>#REF!</v>
      </c>
      <c r="K1524" s="222"/>
    </row>
    <row r="1525" spans="1:11" ht="30">
      <c r="A1525" s="20">
        <v>88264</v>
      </c>
      <c r="B1525" s="70" t="s">
        <v>379</v>
      </c>
      <c r="C1525" s="21" t="s">
        <v>12</v>
      </c>
      <c r="D1525" s="21" t="s">
        <v>19</v>
      </c>
      <c r="E1525" s="22">
        <v>1.1000000000000001</v>
      </c>
      <c r="F1525" s="22">
        <f>H1525</f>
        <v>15.249000000000001</v>
      </c>
      <c r="G1525" s="22">
        <f>ROUND(F1525*E1525,2)</f>
        <v>16.77</v>
      </c>
      <c r="H1525" s="337">
        <v>15.249000000000001</v>
      </c>
      <c r="I1525" s="23" t="e">
        <f>IF(A1525&lt;&gt;0,VLOOKUP(A1525,#REF!,2,FALSE),"")</f>
        <v>#REF!</v>
      </c>
      <c r="K1525" s="222"/>
    </row>
    <row r="1526" spans="1:11" ht="30">
      <c r="A1526" s="20">
        <v>88247</v>
      </c>
      <c r="B1526" s="70" t="s">
        <v>510</v>
      </c>
      <c r="C1526" s="21" t="s">
        <v>12</v>
      </c>
      <c r="D1526" s="21" t="s">
        <v>19</v>
      </c>
      <c r="E1526" s="22">
        <v>1.1000000000000001</v>
      </c>
      <c r="F1526" s="22">
        <f>H1526</f>
        <v>11.9085</v>
      </c>
      <c r="G1526" s="22">
        <f>ROUND(F1526*E1526,2)</f>
        <v>13.1</v>
      </c>
      <c r="H1526" s="337">
        <v>11.9085</v>
      </c>
      <c r="I1526" s="23" t="e">
        <f>IF(A1526&lt;&gt;0,VLOOKUP(A1526,#REF!,2,FALSE),"")</f>
        <v>#REF!</v>
      </c>
      <c r="K1526" s="222"/>
    </row>
    <row r="1527" spans="1:11" ht="15" customHeight="1">
      <c r="A1527" s="719" t="s">
        <v>1893</v>
      </c>
      <c r="B1527" s="719"/>
      <c r="C1527" s="719"/>
      <c r="D1527" s="719"/>
      <c r="E1527" s="719"/>
      <c r="F1527" s="719"/>
      <c r="G1527" s="71">
        <f>ROUND(SUM(G1523:G1526),2)</f>
        <v>376.57</v>
      </c>
      <c r="K1527" s="222"/>
    </row>
    <row r="1528" spans="1:11" ht="30" customHeight="1">
      <c r="A1528" s="72"/>
      <c r="B1528" s="72"/>
      <c r="C1528" s="752"/>
      <c r="D1528" s="753"/>
      <c r="E1528" s="72"/>
      <c r="F1528" s="72"/>
      <c r="G1528" s="72"/>
      <c r="K1528" s="222"/>
    </row>
    <row r="1529" spans="1:11" ht="15" customHeight="1">
      <c r="A1529" s="612" t="s">
        <v>2356</v>
      </c>
      <c r="B1529" s="613"/>
      <c r="C1529" s="613"/>
      <c r="D1529" s="613"/>
      <c r="E1529" s="614"/>
      <c r="F1529" s="69" t="s">
        <v>1914</v>
      </c>
      <c r="G1529" s="80"/>
      <c r="K1529" s="222"/>
    </row>
    <row r="1530" spans="1:11" ht="28.5">
      <c r="A1530" s="623" t="s">
        <v>364</v>
      </c>
      <c r="B1530" s="624"/>
      <c r="C1530" s="69" t="s">
        <v>3</v>
      </c>
      <c r="D1530" s="69" t="s">
        <v>4</v>
      </c>
      <c r="E1530" s="69" t="s">
        <v>1826</v>
      </c>
      <c r="F1530" s="69" t="s">
        <v>367</v>
      </c>
      <c r="G1530" s="69" t="s">
        <v>368</v>
      </c>
      <c r="K1530" s="222"/>
    </row>
    <row r="1531" spans="1:11" s="38" customFormat="1" ht="30">
      <c r="A1531" s="20">
        <v>7607</v>
      </c>
      <c r="B1531" s="70" t="s">
        <v>597</v>
      </c>
      <c r="C1531" s="21" t="s">
        <v>44</v>
      </c>
      <c r="D1531" s="21" t="s">
        <v>17</v>
      </c>
      <c r="E1531" s="22">
        <v>1</v>
      </c>
      <c r="F1531" s="22">
        <f>H1531</f>
        <v>180.965</v>
      </c>
      <c r="G1531" s="22">
        <f>ROUND(F1531*E1531,2)</f>
        <v>180.97</v>
      </c>
      <c r="H1531" s="336">
        <v>180.965</v>
      </c>
      <c r="I1531" s="38" t="e">
        <f>IF(A1531&lt;&gt;0,VLOOKUP(A1531,#REF!,2,FALSE),"")</f>
        <v>#REF!</v>
      </c>
      <c r="J1531" s="336"/>
      <c r="K1531" s="222"/>
    </row>
    <row r="1532" spans="1:11" s="23" customFormat="1" ht="30">
      <c r="A1532" s="20">
        <v>88264</v>
      </c>
      <c r="B1532" s="70" t="s">
        <v>379</v>
      </c>
      <c r="C1532" s="21" t="s">
        <v>12</v>
      </c>
      <c r="D1532" s="21" t="s">
        <v>19</v>
      </c>
      <c r="E1532" s="22">
        <v>1</v>
      </c>
      <c r="F1532" s="22">
        <f>H1532</f>
        <v>15.249000000000001</v>
      </c>
      <c r="G1532" s="22">
        <f>ROUND(F1532*E1532,2)</f>
        <v>15.25</v>
      </c>
      <c r="H1532" s="346">
        <v>15.249000000000001</v>
      </c>
      <c r="I1532" s="23" t="e">
        <f>IF(A1532&lt;&gt;0,VLOOKUP(A1532,#REF!,2,FALSE),"")</f>
        <v>#REF!</v>
      </c>
      <c r="J1532" s="346"/>
      <c r="K1532" s="222"/>
    </row>
    <row r="1533" spans="1:11" ht="15" customHeight="1">
      <c r="A1533" s="719" t="s">
        <v>1893</v>
      </c>
      <c r="B1533" s="719"/>
      <c r="C1533" s="719"/>
      <c r="D1533" s="719"/>
      <c r="E1533" s="719"/>
      <c r="F1533" s="719"/>
      <c r="G1533" s="71">
        <f>ROUND(SUM(G1531:G1532),2)</f>
        <v>196.22</v>
      </c>
      <c r="K1533" s="222"/>
    </row>
    <row r="1534" spans="1:11" ht="21.75" customHeight="1">
      <c r="A1534" s="72"/>
      <c r="B1534" s="72"/>
      <c r="C1534" s="752"/>
      <c r="D1534" s="753"/>
      <c r="E1534" s="72"/>
      <c r="F1534" s="72"/>
      <c r="G1534" s="72"/>
      <c r="K1534" s="222"/>
    </row>
    <row r="1535" spans="1:11" ht="23.25" customHeight="1">
      <c r="A1535" s="612" t="s">
        <v>306</v>
      </c>
      <c r="B1535" s="613"/>
      <c r="C1535" s="613"/>
      <c r="D1535" s="613"/>
      <c r="E1535" s="614"/>
      <c r="F1535" s="69" t="s">
        <v>70</v>
      </c>
      <c r="G1535" s="321" t="s">
        <v>3091</v>
      </c>
      <c r="K1535" s="222"/>
    </row>
    <row r="1536" spans="1:11" ht="28.5">
      <c r="A1536" s="612" t="s">
        <v>364</v>
      </c>
      <c r="B1536" s="616"/>
      <c r="C1536" s="69" t="s">
        <v>3</v>
      </c>
      <c r="D1536" s="69" t="s">
        <v>4</v>
      </c>
      <c r="E1536" s="69" t="s">
        <v>1826</v>
      </c>
      <c r="F1536" s="69" t="s">
        <v>367</v>
      </c>
      <c r="G1536" s="69" t="s">
        <v>368</v>
      </c>
      <c r="K1536" s="222"/>
    </row>
    <row r="1537" spans="1:11" s="23" customFormat="1">
      <c r="A1537" s="20" t="s">
        <v>3093</v>
      </c>
      <c r="B1537" s="70" t="s">
        <v>592</v>
      </c>
      <c r="C1537" s="21" t="s">
        <v>70</v>
      </c>
      <c r="D1537" s="21" t="s">
        <v>17</v>
      </c>
      <c r="E1537" s="22">
        <v>1</v>
      </c>
      <c r="F1537" s="22">
        <f>H1537</f>
        <v>22.346499999999999</v>
      </c>
      <c r="G1537" s="22">
        <f>ROUND(F1537*E1537,2)</f>
        <v>22.35</v>
      </c>
      <c r="H1537" s="346">
        <v>22.346499999999999</v>
      </c>
      <c r="I1537" s="29"/>
      <c r="J1537" s="346"/>
      <c r="K1537" s="222"/>
    </row>
    <row r="1538" spans="1:11" s="23" customFormat="1" ht="30">
      <c r="A1538" s="20" t="s">
        <v>593</v>
      </c>
      <c r="B1538" s="70" t="s">
        <v>3094</v>
      </c>
      <c r="C1538" s="21" t="s">
        <v>70</v>
      </c>
      <c r="D1538" s="21" t="s">
        <v>17</v>
      </c>
      <c r="E1538" s="22">
        <v>1</v>
      </c>
      <c r="F1538" s="22">
        <f>H1538</f>
        <v>3.1959999999999997</v>
      </c>
      <c r="G1538" s="22">
        <f>ROUND(F1538*E1538,2)</f>
        <v>3.2</v>
      </c>
      <c r="H1538" s="346">
        <v>3.1959999999999997</v>
      </c>
      <c r="J1538" s="346"/>
      <c r="K1538" s="222"/>
    </row>
    <row r="1539" spans="1:11" s="23" customFormat="1">
      <c r="A1539" s="20" t="s">
        <v>3092</v>
      </c>
      <c r="B1539" s="70" t="s">
        <v>594</v>
      </c>
      <c r="C1539" s="21" t="s">
        <v>70</v>
      </c>
      <c r="D1539" s="21" t="s">
        <v>17</v>
      </c>
      <c r="E1539" s="22">
        <v>0.04</v>
      </c>
      <c r="F1539" s="22">
        <f>H1539</f>
        <v>165.47800000000001</v>
      </c>
      <c r="G1539" s="22">
        <f>ROUND(F1539*E1539,2)</f>
        <v>6.62</v>
      </c>
      <c r="H1539" s="346">
        <v>165.47800000000001</v>
      </c>
      <c r="I1539" s="29"/>
      <c r="J1539" s="346"/>
      <c r="K1539" s="222"/>
    </row>
    <row r="1540" spans="1:11" ht="30">
      <c r="A1540" s="20">
        <v>88264</v>
      </c>
      <c r="B1540" s="70" t="s">
        <v>379</v>
      </c>
      <c r="C1540" s="21" t="s">
        <v>12</v>
      </c>
      <c r="D1540" s="21" t="s">
        <v>19</v>
      </c>
      <c r="E1540" s="22">
        <v>0.08</v>
      </c>
      <c r="F1540" s="22">
        <f>H1540</f>
        <v>15.249000000000001</v>
      </c>
      <c r="G1540" s="22">
        <f>ROUND(F1540*E1540,2)</f>
        <v>1.22</v>
      </c>
      <c r="H1540" s="337">
        <v>15.249000000000001</v>
      </c>
      <c r="I1540" s="23" t="e">
        <f>IF(A1540&lt;&gt;0,VLOOKUP(A1540,#REF!,2,FALSE),"")</f>
        <v>#REF!</v>
      </c>
      <c r="K1540" s="222"/>
    </row>
    <row r="1541" spans="1:11" ht="30">
      <c r="A1541" s="20">
        <v>88316</v>
      </c>
      <c r="B1541" s="70" t="s">
        <v>377</v>
      </c>
      <c r="C1541" s="21" t="s">
        <v>12</v>
      </c>
      <c r="D1541" s="21" t="s">
        <v>19</v>
      </c>
      <c r="E1541" s="22">
        <v>0.08</v>
      </c>
      <c r="F1541" s="22">
        <f>H1541</f>
        <v>11.798000000000002</v>
      </c>
      <c r="G1541" s="22">
        <f>ROUND(F1541*E1541,2)</f>
        <v>0.94</v>
      </c>
      <c r="H1541" s="337">
        <v>11.798000000000002</v>
      </c>
      <c r="I1541" s="23" t="e">
        <f>IF(A1541&lt;&gt;0,VLOOKUP(A1541,#REF!,2,FALSE),"")</f>
        <v>#REF!</v>
      </c>
      <c r="K1541" s="222"/>
    </row>
    <row r="1542" spans="1:11" ht="15" customHeight="1">
      <c r="A1542" s="719" t="s">
        <v>1893</v>
      </c>
      <c r="B1542" s="719"/>
      <c r="C1542" s="719"/>
      <c r="D1542" s="719"/>
      <c r="E1542" s="719"/>
      <c r="F1542" s="719"/>
      <c r="G1542" s="71">
        <f>ROUND(SUM(G1537:G1541),2)</f>
        <v>34.33</v>
      </c>
      <c r="K1542" s="222"/>
    </row>
    <row r="1543" spans="1:11" ht="27" customHeight="1">
      <c r="A1543" s="72"/>
      <c r="B1543" s="72"/>
      <c r="C1543" s="752"/>
      <c r="D1543" s="753"/>
      <c r="E1543" s="72"/>
      <c r="F1543" s="72"/>
      <c r="G1543" s="72"/>
      <c r="K1543" s="222"/>
    </row>
    <row r="1544" spans="1:11" ht="21" customHeight="1">
      <c r="A1544" s="612" t="s">
        <v>2358</v>
      </c>
      <c r="B1544" s="613"/>
      <c r="C1544" s="613"/>
      <c r="D1544" s="613"/>
      <c r="E1544" s="613"/>
      <c r="F1544" s="69" t="s">
        <v>1914</v>
      </c>
      <c r="G1544" s="80"/>
      <c r="K1544" s="222"/>
    </row>
    <row r="1545" spans="1:11" ht="28.5">
      <c r="A1545" s="623" t="s">
        <v>364</v>
      </c>
      <c r="B1545" s="624"/>
      <c r="C1545" s="69" t="s">
        <v>3</v>
      </c>
      <c r="D1545" s="69" t="s">
        <v>4</v>
      </c>
      <c r="E1545" s="69" t="s">
        <v>1826</v>
      </c>
      <c r="F1545" s="69" t="s">
        <v>367</v>
      </c>
      <c r="G1545" s="69" t="s">
        <v>368</v>
      </c>
      <c r="K1545" s="222"/>
    </row>
    <row r="1546" spans="1:11" ht="52.5" customHeight="1">
      <c r="A1546" s="20">
        <v>901</v>
      </c>
      <c r="B1546" s="70" t="s">
        <v>598</v>
      </c>
      <c r="C1546" s="21" t="s">
        <v>12</v>
      </c>
      <c r="D1546" s="21" t="s">
        <v>52</v>
      </c>
      <c r="E1546" s="22">
        <v>1.02</v>
      </c>
      <c r="F1546" s="22">
        <f>H1546</f>
        <v>78.786500000000004</v>
      </c>
      <c r="G1546" s="22">
        <f>ROUND(F1546*E1546,2)</f>
        <v>80.36</v>
      </c>
      <c r="H1546" s="337">
        <v>78.786500000000004</v>
      </c>
      <c r="I1546" s="23" t="e">
        <f>IF(A1546&lt;&gt;0,VLOOKUP(A1546,#REF!,2,FALSE),"")</f>
        <v>#REF!</v>
      </c>
      <c r="K1546" s="222"/>
    </row>
    <row r="1547" spans="1:11" ht="30">
      <c r="A1547" s="76">
        <v>88264</v>
      </c>
      <c r="B1547" s="77" t="s">
        <v>379</v>
      </c>
      <c r="C1547" s="78" t="s">
        <v>12</v>
      </c>
      <c r="D1547" s="78" t="s">
        <v>19</v>
      </c>
      <c r="E1547" s="73">
        <v>0.21</v>
      </c>
      <c r="F1547" s="22">
        <f>H1547</f>
        <v>15.249000000000001</v>
      </c>
      <c r="G1547" s="22">
        <f>ROUND(F1547*E1547,2)</f>
        <v>3.2</v>
      </c>
      <c r="H1547" s="337">
        <v>15.249000000000001</v>
      </c>
      <c r="I1547" s="23" t="e">
        <f>IF(A1547&lt;&gt;0,VLOOKUP(A1547,#REF!,2,FALSE),"")</f>
        <v>#REF!</v>
      </c>
      <c r="K1547" s="222"/>
    </row>
    <row r="1548" spans="1:11" ht="30">
      <c r="A1548" s="76">
        <v>88316</v>
      </c>
      <c r="B1548" s="77" t="s">
        <v>377</v>
      </c>
      <c r="C1548" s="78" t="s">
        <v>12</v>
      </c>
      <c r="D1548" s="78" t="s">
        <v>19</v>
      </c>
      <c r="E1548" s="73">
        <v>0.21</v>
      </c>
      <c r="F1548" s="22">
        <f>H1548</f>
        <v>11.798000000000002</v>
      </c>
      <c r="G1548" s="22">
        <f>ROUND(F1548*E1548,2)</f>
        <v>2.48</v>
      </c>
      <c r="H1548" s="337">
        <v>11.798000000000002</v>
      </c>
      <c r="I1548" s="23" t="e">
        <f>IF(A1548&lt;&gt;0,VLOOKUP(A1548,#REF!,2,FALSE),"")</f>
        <v>#REF!</v>
      </c>
      <c r="K1548" s="222"/>
    </row>
    <row r="1549" spans="1:11" ht="15" customHeight="1">
      <c r="A1549" s="719" t="s">
        <v>1893</v>
      </c>
      <c r="B1549" s="719"/>
      <c r="C1549" s="719"/>
      <c r="D1549" s="719"/>
      <c r="E1549" s="719"/>
      <c r="F1549" s="719"/>
      <c r="G1549" s="71">
        <f>ROUND(SUM(G1546:G1548),2)</f>
        <v>86.04</v>
      </c>
      <c r="K1549" s="222"/>
    </row>
    <row r="1550" spans="1:11" ht="25.5" customHeight="1">
      <c r="A1550" s="72"/>
      <c r="B1550" s="72"/>
      <c r="C1550" s="752"/>
      <c r="D1550" s="753"/>
      <c r="E1550" s="72"/>
      <c r="F1550" s="72"/>
      <c r="G1550" s="72"/>
      <c r="K1550" s="222"/>
    </row>
    <row r="1551" spans="1:11" ht="54.75" customHeight="1">
      <c r="A1551" s="612" t="s">
        <v>2482</v>
      </c>
      <c r="B1551" s="613"/>
      <c r="C1551" s="613"/>
      <c r="D1551" s="613"/>
      <c r="E1551" s="614"/>
      <c r="F1551" s="69" t="s">
        <v>1914</v>
      </c>
      <c r="G1551" s="80"/>
      <c r="K1551" s="222"/>
    </row>
    <row r="1552" spans="1:11" ht="28.5">
      <c r="A1552" s="623" t="s">
        <v>364</v>
      </c>
      <c r="B1552" s="624"/>
      <c r="C1552" s="69" t="s">
        <v>3</v>
      </c>
      <c r="D1552" s="69" t="s">
        <v>4</v>
      </c>
      <c r="E1552" s="69" t="s">
        <v>1826</v>
      </c>
      <c r="F1552" s="69" t="s">
        <v>367</v>
      </c>
      <c r="G1552" s="69" t="s">
        <v>368</v>
      </c>
      <c r="K1552" s="222"/>
    </row>
    <row r="1553" spans="1:11" s="23" customFormat="1" ht="45">
      <c r="A1553" s="20">
        <v>4168</v>
      </c>
      <c r="B1553" s="70" t="s">
        <v>2483</v>
      </c>
      <c r="C1553" s="21" t="s">
        <v>12</v>
      </c>
      <c r="D1553" s="21" t="s">
        <v>17</v>
      </c>
      <c r="E1553" s="22">
        <v>1</v>
      </c>
      <c r="F1553" s="22">
        <f>H1553</f>
        <v>221.595</v>
      </c>
      <c r="G1553" s="22">
        <f>ROUND(F1553*E1553,2)</f>
        <v>221.6</v>
      </c>
      <c r="H1553" s="346">
        <v>221.595</v>
      </c>
      <c r="I1553" s="23" t="e">
        <f>IF(A1553&lt;&gt;0,VLOOKUP(A1553,#REF!,2,FALSE),"")</f>
        <v>#REF!</v>
      </c>
      <c r="J1553" s="346"/>
      <c r="K1553" s="222"/>
    </row>
    <row r="1554" spans="1:11" ht="30">
      <c r="A1554" s="20">
        <v>88264</v>
      </c>
      <c r="B1554" s="70" t="s">
        <v>379</v>
      </c>
      <c r="C1554" s="21" t="s">
        <v>12</v>
      </c>
      <c r="D1554" s="21" t="s">
        <v>19</v>
      </c>
      <c r="E1554" s="22">
        <v>2</v>
      </c>
      <c r="F1554" s="22">
        <f>H1554</f>
        <v>15.249000000000001</v>
      </c>
      <c r="G1554" s="22">
        <f>ROUND(F1554*E1554,2)</f>
        <v>30.5</v>
      </c>
      <c r="H1554" s="337">
        <v>15.249000000000001</v>
      </c>
      <c r="I1554" s="23" t="e">
        <f>IF(A1554&lt;&gt;0,VLOOKUP(A1554,#REF!,2,FALSE),"")</f>
        <v>#REF!</v>
      </c>
      <c r="K1554" s="222"/>
    </row>
    <row r="1555" spans="1:11" ht="30">
      <c r="A1555" s="20">
        <v>88316</v>
      </c>
      <c r="B1555" s="70" t="s">
        <v>377</v>
      </c>
      <c r="C1555" s="21" t="s">
        <v>12</v>
      </c>
      <c r="D1555" s="21" t="s">
        <v>19</v>
      </c>
      <c r="E1555" s="22">
        <v>2</v>
      </c>
      <c r="F1555" s="22">
        <f>H1555</f>
        <v>11.798000000000002</v>
      </c>
      <c r="G1555" s="22">
        <f>ROUND(F1555*E1555,2)</f>
        <v>23.6</v>
      </c>
      <c r="H1555" s="337">
        <v>11.798000000000002</v>
      </c>
      <c r="I1555" s="23" t="e">
        <f>IF(A1555&lt;&gt;0,VLOOKUP(A1555,#REF!,2,FALSE),"")</f>
        <v>#REF!</v>
      </c>
      <c r="K1555" s="222"/>
    </row>
    <row r="1556" spans="1:11" ht="15" customHeight="1">
      <c r="A1556" s="719" t="s">
        <v>1893</v>
      </c>
      <c r="B1556" s="719"/>
      <c r="C1556" s="719"/>
      <c r="D1556" s="719"/>
      <c r="E1556" s="719"/>
      <c r="F1556" s="719"/>
      <c r="G1556" s="71">
        <f>ROUND(SUM(G1553:G1555),2)</f>
        <v>275.7</v>
      </c>
      <c r="K1556" s="222"/>
    </row>
    <row r="1557" spans="1:11" ht="26.25" customHeight="1">
      <c r="A1557" s="72"/>
      <c r="B1557" s="72"/>
      <c r="C1557" s="752"/>
      <c r="D1557" s="753"/>
      <c r="E1557" s="72"/>
      <c r="F1557" s="72"/>
      <c r="G1557" s="72"/>
      <c r="K1557" s="222"/>
    </row>
    <row r="1558" spans="1:11" ht="32.25" customHeight="1">
      <c r="A1558" s="612" t="s">
        <v>2413</v>
      </c>
      <c r="B1558" s="613"/>
      <c r="C1558" s="613"/>
      <c r="D1558" s="613"/>
      <c r="E1558" s="613"/>
      <c r="F1558" s="69" t="s">
        <v>44</v>
      </c>
      <c r="G1558" s="80"/>
      <c r="K1558" s="222"/>
    </row>
    <row r="1559" spans="1:11" ht="28.5">
      <c r="A1559" s="623" t="s">
        <v>366</v>
      </c>
      <c r="B1559" s="624"/>
      <c r="C1559" s="69" t="s">
        <v>3</v>
      </c>
      <c r="D1559" s="69" t="s">
        <v>4</v>
      </c>
      <c r="E1559" s="69" t="s">
        <v>1826</v>
      </c>
      <c r="F1559" s="69" t="s">
        <v>367</v>
      </c>
      <c r="G1559" s="69" t="s">
        <v>368</v>
      </c>
      <c r="K1559" s="222"/>
    </row>
    <row r="1560" spans="1:11" s="38" customFormat="1" ht="30">
      <c r="A1560" s="20">
        <v>12746</v>
      </c>
      <c r="B1560" s="70" t="s">
        <v>599</v>
      </c>
      <c r="C1560" s="21" t="s">
        <v>44</v>
      </c>
      <c r="D1560" s="21" t="s">
        <v>17</v>
      </c>
      <c r="E1560" s="22">
        <v>1</v>
      </c>
      <c r="F1560" s="22">
        <f>H1560</f>
        <v>36741.743000000002</v>
      </c>
      <c r="G1560" s="22">
        <f>ROUND(F1560*E1560,2)</f>
        <v>36741.74</v>
      </c>
      <c r="H1560" s="336">
        <v>36741.743000000002</v>
      </c>
      <c r="I1560" s="38" t="e">
        <f>IF(A1560&lt;&gt;0,VLOOKUP(A1560,#REF!,2,FALSE),"")</f>
        <v>#REF!</v>
      </c>
      <c r="J1560" s="336"/>
      <c r="K1560" s="222"/>
    </row>
    <row r="1561" spans="1:11">
      <c r="A1561" s="20">
        <v>88266</v>
      </c>
      <c r="B1561" s="70" t="e">
        <f>I1561</f>
        <v>#REF!</v>
      </c>
      <c r="C1561" s="21" t="s">
        <v>12</v>
      </c>
      <c r="D1561" s="21" t="s">
        <v>19</v>
      </c>
      <c r="E1561" s="22">
        <v>60</v>
      </c>
      <c r="F1561" s="22">
        <f>H1561</f>
        <v>25.6785</v>
      </c>
      <c r="G1561" s="22">
        <f>ROUND(F1561*E1561,2)</f>
        <v>1540.71</v>
      </c>
      <c r="H1561" s="337">
        <v>25.6785</v>
      </c>
      <c r="I1561" s="23" t="e">
        <f>IF(A1561&lt;&gt;0,VLOOKUP(A1561,#REF!,2,FALSE),"")</f>
        <v>#REF!</v>
      </c>
      <c r="K1561" s="222"/>
    </row>
    <row r="1562" spans="1:11" ht="30">
      <c r="A1562" s="20">
        <v>88316</v>
      </c>
      <c r="B1562" s="70" t="s">
        <v>377</v>
      </c>
      <c r="C1562" s="21" t="s">
        <v>12</v>
      </c>
      <c r="D1562" s="21" t="s">
        <v>19</v>
      </c>
      <c r="E1562" s="22">
        <v>60</v>
      </c>
      <c r="F1562" s="22">
        <f>H1562</f>
        <v>11.798000000000002</v>
      </c>
      <c r="G1562" s="22">
        <f>ROUND(F1562*E1562,2)</f>
        <v>707.88</v>
      </c>
      <c r="H1562" s="337">
        <v>11.798000000000002</v>
      </c>
      <c r="I1562" s="23" t="e">
        <f>IF(A1562&lt;&gt;0,VLOOKUP(A1562,#REF!,2,FALSE),"")</f>
        <v>#REF!</v>
      </c>
      <c r="K1562" s="222"/>
    </row>
    <row r="1563" spans="1:11" ht="15" customHeight="1">
      <c r="A1563" s="719" t="s">
        <v>1893</v>
      </c>
      <c r="B1563" s="719"/>
      <c r="C1563" s="719"/>
      <c r="D1563" s="719"/>
      <c r="E1563" s="719"/>
      <c r="F1563" s="719"/>
      <c r="G1563" s="71">
        <f>ROUND(SUM(G1560:G1562),2)</f>
        <v>38990.33</v>
      </c>
      <c r="K1563" s="222"/>
    </row>
    <row r="1564" spans="1:11" ht="24.75" customHeight="1">
      <c r="A1564" s="72"/>
      <c r="B1564" s="72"/>
      <c r="C1564" s="752"/>
      <c r="D1564" s="753"/>
      <c r="E1564" s="72"/>
      <c r="F1564" s="72"/>
      <c r="G1564" s="72"/>
      <c r="K1564" s="222"/>
    </row>
    <row r="1565" spans="1:11" ht="33.75" customHeight="1">
      <c r="A1565" s="612" t="s">
        <v>2415</v>
      </c>
      <c r="B1565" s="613"/>
      <c r="C1565" s="613"/>
      <c r="D1565" s="613"/>
      <c r="E1565" s="613"/>
      <c r="F1565" s="69" t="s">
        <v>1914</v>
      </c>
      <c r="G1565" s="80"/>
      <c r="K1565" s="222"/>
    </row>
    <row r="1566" spans="1:11" ht="28.5">
      <c r="A1566" s="623" t="s">
        <v>366</v>
      </c>
      <c r="B1566" s="624"/>
      <c r="C1566" s="69" t="s">
        <v>3</v>
      </c>
      <c r="D1566" s="69" t="s">
        <v>4</v>
      </c>
      <c r="E1566" s="69" t="s">
        <v>1826</v>
      </c>
      <c r="F1566" s="69" t="s">
        <v>367</v>
      </c>
      <c r="G1566" s="69" t="s">
        <v>368</v>
      </c>
      <c r="K1566" s="222"/>
    </row>
    <row r="1567" spans="1:11" s="23" customFormat="1" ht="30">
      <c r="A1567" s="21" t="s">
        <v>2414</v>
      </c>
      <c r="B1567" s="70" t="s">
        <v>600</v>
      </c>
      <c r="C1567" s="21" t="s">
        <v>27</v>
      </c>
      <c r="D1567" s="21" t="s">
        <v>17</v>
      </c>
      <c r="E1567" s="22">
        <v>1</v>
      </c>
      <c r="F1567" s="22">
        <f>H1567</f>
        <v>23725.200000000001</v>
      </c>
      <c r="G1567" s="22">
        <f>ROUND(F1567*E1567,2)</f>
        <v>23725.200000000001</v>
      </c>
      <c r="H1567" s="346">
        <v>23725.200000000001</v>
      </c>
      <c r="J1567" s="346"/>
      <c r="K1567" s="222"/>
    </row>
    <row r="1568" spans="1:11">
      <c r="A1568" s="20">
        <v>88266</v>
      </c>
      <c r="B1568" s="70" t="e">
        <f>I1568</f>
        <v>#REF!</v>
      </c>
      <c r="C1568" s="21" t="s">
        <v>12</v>
      </c>
      <c r="D1568" s="21" t="s">
        <v>19</v>
      </c>
      <c r="E1568" s="22">
        <v>60</v>
      </c>
      <c r="F1568" s="22">
        <f>H1568</f>
        <v>25.6785</v>
      </c>
      <c r="G1568" s="22">
        <f>ROUND(F1568*E1568,2)</f>
        <v>1540.71</v>
      </c>
      <c r="H1568" s="337">
        <v>25.6785</v>
      </c>
      <c r="I1568" s="23" t="e">
        <f>IF(A1568&lt;&gt;0,VLOOKUP(A1568,#REF!,2,FALSE),"")</f>
        <v>#REF!</v>
      </c>
      <c r="K1568" s="222"/>
    </row>
    <row r="1569" spans="1:11" ht="30">
      <c r="A1569" s="20">
        <v>88316</v>
      </c>
      <c r="B1569" s="70" t="s">
        <v>377</v>
      </c>
      <c r="C1569" s="21" t="s">
        <v>12</v>
      </c>
      <c r="D1569" s="21" t="s">
        <v>19</v>
      </c>
      <c r="E1569" s="22">
        <v>60</v>
      </c>
      <c r="F1569" s="22">
        <f>H1569</f>
        <v>11.798000000000002</v>
      </c>
      <c r="G1569" s="22">
        <f>ROUND(F1569*E1569,2)</f>
        <v>707.88</v>
      </c>
      <c r="H1569" s="337">
        <v>11.798000000000002</v>
      </c>
      <c r="I1569" s="23" t="e">
        <f>IF(A1569&lt;&gt;0,VLOOKUP(A1569,#REF!,2,FALSE),"")</f>
        <v>#REF!</v>
      </c>
      <c r="K1569" s="222"/>
    </row>
    <row r="1570" spans="1:11" ht="15" customHeight="1">
      <c r="A1570" s="719" t="s">
        <v>1893</v>
      </c>
      <c r="B1570" s="719"/>
      <c r="C1570" s="719"/>
      <c r="D1570" s="719"/>
      <c r="E1570" s="719"/>
      <c r="F1570" s="719"/>
      <c r="G1570" s="71">
        <f>ROUND(SUM(G1567:G1569),2)</f>
        <v>25973.79</v>
      </c>
      <c r="K1570" s="222"/>
    </row>
    <row r="1571" spans="1:11" ht="21.75" customHeight="1">
      <c r="A1571" s="72"/>
      <c r="B1571" s="72"/>
      <c r="C1571" s="752"/>
      <c r="D1571" s="753"/>
      <c r="E1571" s="72"/>
      <c r="F1571" s="72"/>
      <c r="G1571" s="72"/>
      <c r="K1571" s="222"/>
    </row>
    <row r="1572" spans="1:11" ht="39" customHeight="1">
      <c r="A1572" s="612" t="s">
        <v>2360</v>
      </c>
      <c r="B1572" s="613"/>
      <c r="C1572" s="613"/>
      <c r="D1572" s="613"/>
      <c r="E1572" s="613"/>
      <c r="F1572" s="69" t="s">
        <v>1914</v>
      </c>
      <c r="G1572" s="80"/>
      <c r="K1572" s="222"/>
    </row>
    <row r="1573" spans="1:11" ht="28.5">
      <c r="A1573" s="623" t="s">
        <v>364</v>
      </c>
      <c r="B1573" s="624"/>
      <c r="C1573" s="69" t="s">
        <v>3</v>
      </c>
      <c r="D1573" s="69" t="s">
        <v>4</v>
      </c>
      <c r="E1573" s="69" t="s">
        <v>1826</v>
      </c>
      <c r="F1573" s="69" t="s">
        <v>367</v>
      </c>
      <c r="G1573" s="69" t="s">
        <v>368</v>
      </c>
      <c r="K1573" s="222"/>
    </row>
    <row r="1574" spans="1:11" ht="45">
      <c r="A1574" s="20">
        <v>11267</v>
      </c>
      <c r="B1574" s="70" t="s">
        <v>378</v>
      </c>
      <c r="C1574" s="21" t="s">
        <v>12</v>
      </c>
      <c r="D1574" s="21" t="s">
        <v>17</v>
      </c>
      <c r="E1574" s="22">
        <v>4</v>
      </c>
      <c r="F1574" s="22">
        <f t="shared" ref="F1574:F1580" si="94">H1574</f>
        <v>0.76500000000000001</v>
      </c>
      <c r="G1574" s="22">
        <f t="shared" ref="G1574:G1580" si="95">ROUND(F1574*E1574,2)</f>
        <v>3.06</v>
      </c>
      <c r="H1574" s="337">
        <v>0.76500000000000001</v>
      </c>
      <c r="I1574" s="23" t="e">
        <f>IF(A1574&lt;&gt;0,VLOOKUP(A1574,#REF!,2,FALSE),"")</f>
        <v>#REF!</v>
      </c>
      <c r="K1574" s="222"/>
    </row>
    <row r="1575" spans="1:11" ht="30">
      <c r="A1575" s="20">
        <v>11976</v>
      </c>
      <c r="B1575" s="70" t="s">
        <v>601</v>
      </c>
      <c r="C1575" s="21" t="s">
        <v>12</v>
      </c>
      <c r="D1575" s="21" t="s">
        <v>17</v>
      </c>
      <c r="E1575" s="22">
        <v>1.333</v>
      </c>
      <c r="F1575" s="22">
        <f t="shared" si="94"/>
        <v>0.56100000000000005</v>
      </c>
      <c r="G1575" s="22">
        <f t="shared" si="95"/>
        <v>0.75</v>
      </c>
      <c r="H1575" s="337">
        <v>0.56100000000000005</v>
      </c>
      <c r="I1575" s="23" t="e">
        <f>IF(A1575&lt;&gt;0,VLOOKUP(A1575,#REF!,2,FALSE),"")</f>
        <v>#REF!</v>
      </c>
      <c r="K1575" s="222"/>
    </row>
    <row r="1576" spans="1:11" ht="30">
      <c r="A1576" s="20">
        <v>39029</v>
      </c>
      <c r="B1576" s="70" t="s">
        <v>602</v>
      </c>
      <c r="C1576" s="21" t="s">
        <v>12</v>
      </c>
      <c r="D1576" s="21" t="s">
        <v>52</v>
      </c>
      <c r="E1576" s="22">
        <v>0.5</v>
      </c>
      <c r="F1576" s="22">
        <f t="shared" si="94"/>
        <v>16.693999999999999</v>
      </c>
      <c r="G1576" s="22">
        <f t="shared" si="95"/>
        <v>8.35</v>
      </c>
      <c r="H1576" s="337">
        <v>16.693999999999999</v>
      </c>
      <c r="I1576" s="23" t="e">
        <f>IF(A1576&lt;&gt;0,VLOOKUP(A1576,#REF!,2,FALSE),"")</f>
        <v>#REF!</v>
      </c>
      <c r="K1576" s="222"/>
    </row>
    <row r="1577" spans="1:11" ht="30">
      <c r="A1577" s="20">
        <v>39996</v>
      </c>
      <c r="B1577" s="70" t="s">
        <v>603</v>
      </c>
      <c r="C1577" s="21" t="s">
        <v>12</v>
      </c>
      <c r="D1577" s="21" t="s">
        <v>52</v>
      </c>
      <c r="E1577" s="22">
        <v>0.46700000000000003</v>
      </c>
      <c r="F1577" s="22">
        <f t="shared" si="94"/>
        <v>3.7314999999999996</v>
      </c>
      <c r="G1577" s="22">
        <f t="shared" si="95"/>
        <v>1.74</v>
      </c>
      <c r="H1577" s="337">
        <v>3.7314999999999996</v>
      </c>
      <c r="I1577" s="23" t="e">
        <f>IF(A1577&lt;&gt;0,VLOOKUP(A1577,#REF!,2,FALSE),"")</f>
        <v>#REF!</v>
      </c>
      <c r="K1577" s="222"/>
    </row>
    <row r="1578" spans="1:11" ht="30">
      <c r="A1578" s="20">
        <v>39997</v>
      </c>
      <c r="B1578" s="70" t="s">
        <v>604</v>
      </c>
      <c r="C1578" s="21" t="s">
        <v>12</v>
      </c>
      <c r="D1578" s="21" t="s">
        <v>17</v>
      </c>
      <c r="E1578" s="22">
        <v>4</v>
      </c>
      <c r="F1578" s="22">
        <f t="shared" si="94"/>
        <v>0.13600000000000001</v>
      </c>
      <c r="G1578" s="22">
        <f t="shared" si="95"/>
        <v>0.54</v>
      </c>
      <c r="H1578" s="337">
        <v>0.13600000000000001</v>
      </c>
      <c r="I1578" s="23" t="e">
        <f>IF(A1578&lt;&gt;0,VLOOKUP(A1578,#REF!,2,FALSE),"")</f>
        <v>#REF!</v>
      </c>
      <c r="K1578" s="222"/>
    </row>
    <row r="1579" spans="1:11" ht="45">
      <c r="A1579" s="20">
        <v>88248</v>
      </c>
      <c r="B1579" s="70" t="s">
        <v>473</v>
      </c>
      <c r="C1579" s="21" t="s">
        <v>12</v>
      </c>
      <c r="D1579" s="21" t="s">
        <v>19</v>
      </c>
      <c r="E1579" s="22">
        <v>2.3E-2</v>
      </c>
      <c r="F1579" s="22">
        <f t="shared" si="94"/>
        <v>11.483499999999999</v>
      </c>
      <c r="G1579" s="22">
        <f t="shared" si="95"/>
        <v>0.26</v>
      </c>
      <c r="H1579" s="337">
        <v>11.483499999999999</v>
      </c>
      <c r="I1579" s="23" t="e">
        <f>IF(A1579&lt;&gt;0,VLOOKUP(A1579,#REF!,2,FALSE),"")</f>
        <v>#REF!</v>
      </c>
      <c r="K1579" s="222"/>
    </row>
    <row r="1580" spans="1:11" ht="30">
      <c r="A1580" s="20">
        <v>88267</v>
      </c>
      <c r="B1580" s="70" t="s">
        <v>472</v>
      </c>
      <c r="C1580" s="21" t="s">
        <v>12</v>
      </c>
      <c r="D1580" s="21" t="s">
        <v>19</v>
      </c>
      <c r="E1580" s="22">
        <v>0.161</v>
      </c>
      <c r="F1580" s="22">
        <f t="shared" si="94"/>
        <v>14.7135</v>
      </c>
      <c r="G1580" s="22">
        <f t="shared" si="95"/>
        <v>2.37</v>
      </c>
      <c r="H1580" s="337">
        <v>14.7135</v>
      </c>
      <c r="I1580" s="23" t="e">
        <f>IF(A1580&lt;&gt;0,VLOOKUP(A1580,#REF!,2,FALSE),"")</f>
        <v>#REF!</v>
      </c>
      <c r="K1580" s="222"/>
    </row>
    <row r="1581" spans="1:11" ht="15" customHeight="1">
      <c r="A1581" s="719" t="s">
        <v>1893</v>
      </c>
      <c r="B1581" s="719"/>
      <c r="C1581" s="719"/>
      <c r="D1581" s="719"/>
      <c r="E1581" s="719"/>
      <c r="F1581" s="719"/>
      <c r="G1581" s="71">
        <f>ROUND(SUM(G1574:G1580),2)</f>
        <v>17.07</v>
      </c>
      <c r="K1581" s="222"/>
    </row>
    <row r="1582" spans="1:11" ht="23.25" customHeight="1">
      <c r="A1582" s="72"/>
      <c r="B1582" s="72"/>
      <c r="C1582" s="752"/>
      <c r="D1582" s="753"/>
      <c r="E1582" s="72"/>
      <c r="F1582" s="72"/>
      <c r="G1582" s="72"/>
      <c r="K1582" s="222"/>
    </row>
    <row r="1583" spans="1:11" ht="27" customHeight="1">
      <c r="A1583" s="612" t="s">
        <v>2362</v>
      </c>
      <c r="B1583" s="613"/>
      <c r="C1583" s="613"/>
      <c r="D1583" s="613"/>
      <c r="E1583" s="614"/>
      <c r="F1583" s="69" t="s">
        <v>1914</v>
      </c>
      <c r="G1583" s="80"/>
      <c r="K1583" s="222"/>
    </row>
    <row r="1584" spans="1:11" ht="28.5">
      <c r="A1584" s="623" t="s">
        <v>364</v>
      </c>
      <c r="B1584" s="624"/>
      <c r="C1584" s="69" t="s">
        <v>3</v>
      </c>
      <c r="D1584" s="69" t="s">
        <v>4</v>
      </c>
      <c r="E1584" s="69" t="s">
        <v>1826</v>
      </c>
      <c r="F1584" s="69" t="s">
        <v>367</v>
      </c>
      <c r="G1584" s="69" t="s">
        <v>368</v>
      </c>
      <c r="K1584" s="222"/>
    </row>
    <row r="1585" spans="1:11" ht="30">
      <c r="A1585" s="20">
        <v>43130</v>
      </c>
      <c r="B1585" s="70" t="s">
        <v>605</v>
      </c>
      <c r="C1585" s="21" t="s">
        <v>12</v>
      </c>
      <c r="D1585" s="21" t="s">
        <v>45</v>
      </c>
      <c r="E1585" s="22">
        <v>0.05</v>
      </c>
      <c r="F1585" s="22">
        <f>H1585</f>
        <v>17.8415</v>
      </c>
      <c r="G1585" s="22">
        <f>ROUND(F1585*E1585,2)</f>
        <v>0.89</v>
      </c>
      <c r="H1585" s="337">
        <v>17.8415</v>
      </c>
      <c r="I1585" s="23" t="e">
        <f>IF(A1585&lt;&gt;0,VLOOKUP(A1585,#REF!,2,FALSE),"")</f>
        <v>#REF!</v>
      </c>
      <c r="K1585" s="222"/>
    </row>
    <row r="1586" spans="1:11" ht="60">
      <c r="A1586" s="20">
        <v>10935</v>
      </c>
      <c r="B1586" s="70" t="s">
        <v>606</v>
      </c>
      <c r="C1586" s="21" t="s">
        <v>12</v>
      </c>
      <c r="D1586" s="21" t="s">
        <v>26</v>
      </c>
      <c r="E1586" s="22">
        <v>1.05</v>
      </c>
      <c r="F1586" s="22">
        <f>H1586</f>
        <v>33.6175</v>
      </c>
      <c r="G1586" s="22">
        <f>ROUND(F1586*E1586,2)</f>
        <v>35.299999999999997</v>
      </c>
      <c r="H1586" s="337">
        <v>33.6175</v>
      </c>
      <c r="I1586" s="23" t="e">
        <f>IF(A1586&lt;&gt;0,VLOOKUP(A1586,#REF!,2,FALSE),"")</f>
        <v>#REF!</v>
      </c>
      <c r="K1586" s="222"/>
    </row>
    <row r="1587" spans="1:11" ht="30">
      <c r="A1587" s="20">
        <v>88309</v>
      </c>
      <c r="B1587" s="70" t="s">
        <v>390</v>
      </c>
      <c r="C1587" s="21" t="s">
        <v>12</v>
      </c>
      <c r="D1587" s="21" t="s">
        <v>19</v>
      </c>
      <c r="E1587" s="22">
        <v>0.4</v>
      </c>
      <c r="F1587" s="22">
        <f>H1587</f>
        <v>15.121499999999999</v>
      </c>
      <c r="G1587" s="22">
        <f>ROUND(F1587*E1587,2)</f>
        <v>6.05</v>
      </c>
      <c r="H1587" s="337">
        <v>15.121499999999999</v>
      </c>
      <c r="I1587" s="23" t="e">
        <f>IF(A1587&lt;&gt;0,VLOOKUP(A1587,#REF!,2,FALSE),"")</f>
        <v>#REF!</v>
      </c>
      <c r="K1587" s="222"/>
    </row>
    <row r="1588" spans="1:11" ht="30">
      <c r="A1588" s="20">
        <v>88316</v>
      </c>
      <c r="B1588" s="70" t="s">
        <v>377</v>
      </c>
      <c r="C1588" s="21" t="s">
        <v>12</v>
      </c>
      <c r="D1588" s="21" t="s">
        <v>19</v>
      </c>
      <c r="E1588" s="22">
        <v>0.4</v>
      </c>
      <c r="F1588" s="22">
        <f>H1588</f>
        <v>11.798000000000002</v>
      </c>
      <c r="G1588" s="22">
        <f>ROUND(F1588*E1588,2)</f>
        <v>4.72</v>
      </c>
      <c r="H1588" s="337">
        <v>11.798000000000002</v>
      </c>
      <c r="I1588" s="23" t="e">
        <f>IF(A1588&lt;&gt;0,VLOOKUP(A1588,#REF!,2,FALSE),"")</f>
        <v>#REF!</v>
      </c>
      <c r="K1588" s="222"/>
    </row>
    <row r="1589" spans="1:11" ht="15.75" customHeight="1">
      <c r="A1589" s="719" t="s">
        <v>1893</v>
      </c>
      <c r="B1589" s="719"/>
      <c r="C1589" s="719"/>
      <c r="D1589" s="719"/>
      <c r="E1589" s="719"/>
      <c r="F1589" s="719"/>
      <c r="G1589" s="71">
        <f>ROUND(SUM(G1585:G1588),2)</f>
        <v>46.96</v>
      </c>
      <c r="K1589" s="222"/>
    </row>
    <row r="1590" spans="1:11" ht="25.5" customHeight="1">
      <c r="A1590" s="72"/>
      <c r="B1590" s="72"/>
      <c r="C1590" s="752"/>
      <c r="D1590" s="753"/>
      <c r="E1590" s="72"/>
      <c r="F1590" s="72"/>
      <c r="G1590" s="72"/>
      <c r="K1590" s="222"/>
    </row>
    <row r="1591" spans="1:11" ht="15" customHeight="1">
      <c r="A1591" s="612" t="s">
        <v>3343</v>
      </c>
      <c r="B1591" s="613"/>
      <c r="C1591" s="613"/>
      <c r="D1591" s="613"/>
      <c r="E1591" s="614"/>
      <c r="F1591" s="69" t="s">
        <v>44</v>
      </c>
      <c r="G1591" s="87">
        <v>10754</v>
      </c>
      <c r="K1591" s="222"/>
    </row>
    <row r="1592" spans="1:11" ht="28.5">
      <c r="A1592" s="623" t="s">
        <v>366</v>
      </c>
      <c r="B1592" s="624"/>
      <c r="C1592" s="69" t="s">
        <v>3</v>
      </c>
      <c r="D1592" s="69" t="s">
        <v>4</v>
      </c>
      <c r="E1592" s="69" t="s">
        <v>1826</v>
      </c>
      <c r="F1592" s="69" t="s">
        <v>367</v>
      </c>
      <c r="G1592" s="69" t="s">
        <v>368</v>
      </c>
      <c r="K1592" s="222"/>
    </row>
    <row r="1593" spans="1:11" s="38" customFormat="1" ht="30">
      <c r="A1593" s="20">
        <v>11563</v>
      </c>
      <c r="B1593" s="70" t="s">
        <v>324</v>
      </c>
      <c r="C1593" s="21" t="s">
        <v>44</v>
      </c>
      <c r="D1593" s="21" t="s">
        <v>52</v>
      </c>
      <c r="E1593" s="22">
        <v>1.02</v>
      </c>
      <c r="F1593" s="22">
        <f>H1593</f>
        <v>11.305</v>
      </c>
      <c r="G1593" s="22">
        <f>ROUND(F1593*E1593,2)</f>
        <v>11.53</v>
      </c>
      <c r="H1593" s="336">
        <v>11.305</v>
      </c>
      <c r="I1593" s="38" t="e">
        <f>IF(A1593&lt;&gt;0,VLOOKUP(A1593,#REF!,2,FALSE),"")</f>
        <v>#REF!</v>
      </c>
      <c r="J1593" s="336"/>
      <c r="K1593" s="222"/>
    </row>
    <row r="1594" spans="1:11" ht="30">
      <c r="A1594" s="20">
        <v>88264</v>
      </c>
      <c r="B1594" s="70" t="s">
        <v>379</v>
      </c>
      <c r="C1594" s="21" t="s">
        <v>12</v>
      </c>
      <c r="D1594" s="21" t="s">
        <v>19</v>
      </c>
      <c r="E1594" s="22">
        <v>0.15</v>
      </c>
      <c r="F1594" s="22">
        <f>H1594</f>
        <v>15.249000000000001</v>
      </c>
      <c r="G1594" s="22">
        <f>ROUND(F1594*E1594,2)</f>
        <v>2.29</v>
      </c>
      <c r="H1594" s="337">
        <v>15.249000000000001</v>
      </c>
      <c r="I1594" s="23" t="e">
        <f>IF(A1594&lt;&gt;0,VLOOKUP(A1594,#REF!,2,FALSE),"")</f>
        <v>#REF!</v>
      </c>
      <c r="K1594" s="222"/>
    </row>
    <row r="1595" spans="1:11" ht="30">
      <c r="A1595" s="20">
        <v>88316</v>
      </c>
      <c r="B1595" s="70" t="s">
        <v>377</v>
      </c>
      <c r="C1595" s="21" t="s">
        <v>12</v>
      </c>
      <c r="D1595" s="21" t="s">
        <v>19</v>
      </c>
      <c r="E1595" s="22">
        <v>0.15</v>
      </c>
      <c r="F1595" s="22">
        <f>H1595</f>
        <v>11.798000000000002</v>
      </c>
      <c r="G1595" s="22">
        <f>ROUND(F1595*E1595,2)</f>
        <v>1.77</v>
      </c>
      <c r="H1595" s="337">
        <v>11.798000000000002</v>
      </c>
      <c r="I1595" s="23" t="e">
        <f>IF(A1595&lt;&gt;0,VLOOKUP(A1595,#REF!,2,FALSE),"")</f>
        <v>#REF!</v>
      </c>
      <c r="K1595" s="222"/>
    </row>
    <row r="1596" spans="1:11" ht="18.75" customHeight="1">
      <c r="A1596" s="615" t="s">
        <v>1893</v>
      </c>
      <c r="B1596" s="615"/>
      <c r="C1596" s="615"/>
      <c r="D1596" s="615"/>
      <c r="E1596" s="615"/>
      <c r="F1596" s="615"/>
      <c r="G1596" s="88">
        <f>ROUND(SUM(G1593:G1595),2)</f>
        <v>15.59</v>
      </c>
      <c r="K1596" s="222"/>
    </row>
    <row r="1597" spans="1:11" ht="25.5" customHeight="1">
      <c r="A1597" s="72"/>
      <c r="B1597" s="72"/>
      <c r="C1597" s="752"/>
      <c r="D1597" s="753"/>
      <c r="E1597" s="72"/>
      <c r="F1597" s="72"/>
      <c r="G1597" s="72"/>
      <c r="K1597" s="222"/>
    </row>
    <row r="1598" spans="1:11" ht="15" customHeight="1">
      <c r="A1598" s="612" t="s">
        <v>2669</v>
      </c>
      <c r="B1598" s="613"/>
      <c r="C1598" s="613"/>
      <c r="D1598" s="613"/>
      <c r="E1598" s="614"/>
      <c r="F1598" s="69" t="s">
        <v>1914</v>
      </c>
      <c r="G1598" s="80"/>
      <c r="K1598" s="222"/>
    </row>
    <row r="1599" spans="1:11" ht="28.5">
      <c r="A1599" s="623" t="s">
        <v>364</v>
      </c>
      <c r="B1599" s="624"/>
      <c r="C1599" s="69" t="s">
        <v>3</v>
      </c>
      <c r="D1599" s="69" t="s">
        <v>4</v>
      </c>
      <c r="E1599" s="69" t="s">
        <v>1826</v>
      </c>
      <c r="F1599" s="69" t="s">
        <v>367</v>
      </c>
      <c r="G1599" s="69" t="s">
        <v>368</v>
      </c>
      <c r="K1599" s="222"/>
    </row>
    <row r="1600" spans="1:11" s="38" customFormat="1">
      <c r="A1600" s="20">
        <v>12180</v>
      </c>
      <c r="B1600" s="70" t="s">
        <v>2363</v>
      </c>
      <c r="C1600" s="21" t="s">
        <v>44</v>
      </c>
      <c r="D1600" s="21" t="s">
        <v>52</v>
      </c>
      <c r="E1600" s="22">
        <v>5</v>
      </c>
      <c r="F1600" s="22">
        <f>H1600</f>
        <v>14.764500000000002</v>
      </c>
      <c r="G1600" s="22">
        <f>ROUND(F1600*E1600,2)</f>
        <v>73.819999999999993</v>
      </c>
      <c r="H1600" s="336">
        <v>14.764500000000002</v>
      </c>
      <c r="I1600" s="38" t="e">
        <f>IF(A1600&lt;&gt;0,VLOOKUP(A1600,#REF!,2,FALSE),"")</f>
        <v>#REF!</v>
      </c>
      <c r="J1600" s="336"/>
      <c r="K1600" s="222"/>
    </row>
    <row r="1601" spans="1:11" ht="30">
      <c r="A1601" s="20">
        <v>88264</v>
      </c>
      <c r="B1601" s="70" t="s">
        <v>379</v>
      </c>
      <c r="C1601" s="21" t="s">
        <v>12</v>
      </c>
      <c r="D1601" s="21" t="s">
        <v>19</v>
      </c>
      <c r="E1601" s="22">
        <v>1</v>
      </c>
      <c r="F1601" s="22">
        <f>H1601</f>
        <v>15.249000000000001</v>
      </c>
      <c r="G1601" s="22">
        <f>ROUND(F1601*E1601,2)</f>
        <v>15.25</v>
      </c>
      <c r="H1601" s="337">
        <v>15.249000000000001</v>
      </c>
      <c r="I1601" s="23" t="e">
        <f>IF(A1601&lt;&gt;0,VLOOKUP(A1601,#REF!,2,FALSE),"")</f>
        <v>#REF!</v>
      </c>
      <c r="K1601" s="222"/>
    </row>
    <row r="1602" spans="1:11" ht="15" customHeight="1">
      <c r="A1602" s="719" t="s">
        <v>1893</v>
      </c>
      <c r="B1602" s="719"/>
      <c r="C1602" s="719"/>
      <c r="D1602" s="719"/>
      <c r="E1602" s="719"/>
      <c r="F1602" s="719"/>
      <c r="G1602" s="71">
        <f>ROUND(SUM(G1600:G1601),2)</f>
        <v>89.07</v>
      </c>
      <c r="K1602" s="222"/>
    </row>
    <row r="1603" spans="1:11" ht="21" customHeight="1">
      <c r="A1603" s="46"/>
      <c r="B1603" s="46"/>
      <c r="C1603" s="46"/>
      <c r="D1603" s="46"/>
      <c r="E1603" s="46"/>
      <c r="F1603" s="46"/>
      <c r="G1603" s="47"/>
      <c r="K1603" s="222"/>
    </row>
    <row r="1604" spans="1:11" ht="41.25" customHeight="1">
      <c r="A1604" s="612" t="s">
        <v>3067</v>
      </c>
      <c r="B1604" s="613"/>
      <c r="C1604" s="613"/>
      <c r="D1604" s="613"/>
      <c r="E1604" s="614"/>
      <c r="F1604" s="69" t="s">
        <v>3046</v>
      </c>
      <c r="G1604" s="80" t="s">
        <v>3354</v>
      </c>
      <c r="K1604" s="222"/>
    </row>
    <row r="1605" spans="1:11" ht="28.5">
      <c r="A1605" s="623" t="s">
        <v>366</v>
      </c>
      <c r="B1605" s="624"/>
      <c r="C1605" s="69" t="s">
        <v>3</v>
      </c>
      <c r="D1605" s="69" t="s">
        <v>4</v>
      </c>
      <c r="E1605" s="69" t="s">
        <v>1826</v>
      </c>
      <c r="F1605" s="69" t="s">
        <v>367</v>
      </c>
      <c r="G1605" s="69" t="s">
        <v>368</v>
      </c>
      <c r="K1605" s="222"/>
    </row>
    <row r="1606" spans="1:11" ht="30">
      <c r="A1606" s="161" t="s">
        <v>3351</v>
      </c>
      <c r="B1606" s="246" t="s">
        <v>3349</v>
      </c>
      <c r="C1606" s="247" t="s">
        <v>3046</v>
      </c>
      <c r="D1606" s="247" t="s">
        <v>17</v>
      </c>
      <c r="E1606" s="245">
        <v>1</v>
      </c>
      <c r="F1606" s="245">
        <f>H1606</f>
        <v>41140.467499999999</v>
      </c>
      <c r="G1606" s="245">
        <f>ROUND(F1606*E1606,2)</f>
        <v>41140.47</v>
      </c>
      <c r="H1606" s="337">
        <v>41140.467499999999</v>
      </c>
      <c r="K1606" s="222"/>
    </row>
    <row r="1607" spans="1:11" ht="30">
      <c r="A1607" s="161" t="s">
        <v>3356</v>
      </c>
      <c r="B1607" s="246" t="s">
        <v>3355</v>
      </c>
      <c r="C1607" s="247" t="s">
        <v>3046</v>
      </c>
      <c r="D1607" s="247" t="s">
        <v>17</v>
      </c>
      <c r="E1607" s="245">
        <v>1</v>
      </c>
      <c r="F1607" s="245">
        <f>H1607</f>
        <v>45846.399000000005</v>
      </c>
      <c r="G1607" s="245">
        <f>ROUND(F1607*E1607,2)</f>
        <v>45846.400000000001</v>
      </c>
      <c r="H1607" s="337">
        <v>45846.399000000005</v>
      </c>
      <c r="K1607" s="222"/>
    </row>
    <row r="1608" spans="1:11" ht="15" customHeight="1">
      <c r="A1608" s="719" t="s">
        <v>1893</v>
      </c>
      <c r="B1608" s="719"/>
      <c r="C1608" s="719"/>
      <c r="D1608" s="719"/>
      <c r="E1608" s="719"/>
      <c r="F1608" s="719"/>
      <c r="G1608" s="71">
        <f>ROUND(SUM(G1606:G1607),2)</f>
        <v>86986.87</v>
      </c>
      <c r="K1608" s="222"/>
    </row>
    <row r="1609" spans="1:11" ht="29.25" customHeight="1">
      <c r="A1609" s="72"/>
      <c r="B1609" s="72"/>
      <c r="C1609" s="752"/>
      <c r="D1609" s="753"/>
      <c r="E1609" s="72"/>
      <c r="F1609" s="72"/>
      <c r="G1609" s="72"/>
      <c r="K1609" s="222"/>
    </row>
    <row r="1610" spans="1:11" ht="39" customHeight="1">
      <c r="A1610" s="612" t="s">
        <v>3068</v>
      </c>
      <c r="B1610" s="613"/>
      <c r="C1610" s="613"/>
      <c r="D1610" s="613"/>
      <c r="E1610" s="614"/>
      <c r="F1610" s="69" t="s">
        <v>3046</v>
      </c>
      <c r="G1610" s="80" t="s">
        <v>3359</v>
      </c>
      <c r="K1610" s="222"/>
    </row>
    <row r="1611" spans="1:11" ht="28.5">
      <c r="A1611" s="623" t="s">
        <v>366</v>
      </c>
      <c r="B1611" s="624"/>
      <c r="C1611" s="69" t="s">
        <v>3</v>
      </c>
      <c r="D1611" s="69" t="s">
        <v>4</v>
      </c>
      <c r="E1611" s="69" t="s">
        <v>1826</v>
      </c>
      <c r="F1611" s="69" t="s">
        <v>367</v>
      </c>
      <c r="G1611" s="69" t="s">
        <v>368</v>
      </c>
      <c r="K1611" s="222"/>
    </row>
    <row r="1612" spans="1:11" ht="30">
      <c r="A1612" s="161" t="s">
        <v>3358</v>
      </c>
      <c r="B1612" s="246" t="s">
        <v>3357</v>
      </c>
      <c r="C1612" s="247" t="s">
        <v>3046</v>
      </c>
      <c r="D1612" s="247" t="s">
        <v>17</v>
      </c>
      <c r="E1612" s="245">
        <v>1</v>
      </c>
      <c r="F1612" s="245">
        <f>H1612</f>
        <v>30802.495500000005</v>
      </c>
      <c r="G1612" s="245">
        <f>ROUND(F1612*E1612,2)</f>
        <v>30802.5</v>
      </c>
      <c r="H1612" s="337">
        <v>30802.495500000005</v>
      </c>
      <c r="K1612" s="222"/>
    </row>
    <row r="1613" spans="1:11" ht="30">
      <c r="A1613" s="161" t="s">
        <v>3356</v>
      </c>
      <c r="B1613" s="246" t="s">
        <v>3355</v>
      </c>
      <c r="C1613" s="247" t="s">
        <v>3046</v>
      </c>
      <c r="D1613" s="247" t="s">
        <v>17</v>
      </c>
      <c r="E1613" s="245">
        <v>2</v>
      </c>
      <c r="F1613" s="245">
        <f>H1613</f>
        <v>45846.399000000005</v>
      </c>
      <c r="G1613" s="245">
        <f>ROUND(F1613*E1613,2)</f>
        <v>91692.800000000003</v>
      </c>
      <c r="H1613" s="337">
        <v>45846.399000000005</v>
      </c>
      <c r="K1613" s="222"/>
    </row>
    <row r="1614" spans="1:11" ht="15" customHeight="1">
      <c r="A1614" s="719" t="s">
        <v>1893</v>
      </c>
      <c r="B1614" s="719"/>
      <c r="C1614" s="719"/>
      <c r="D1614" s="719"/>
      <c r="E1614" s="719"/>
      <c r="F1614" s="719"/>
      <c r="G1614" s="71">
        <f>ROUND(SUM(G1612:G1613),2)</f>
        <v>122495.3</v>
      </c>
      <c r="K1614" s="222"/>
    </row>
    <row r="1615" spans="1:11" ht="27" customHeight="1">
      <c r="A1615" s="72"/>
      <c r="B1615" s="72"/>
      <c r="C1615" s="752"/>
      <c r="D1615" s="753"/>
      <c r="E1615" s="72"/>
      <c r="F1615" s="72"/>
      <c r="G1615" s="72"/>
      <c r="K1615" s="222"/>
    </row>
    <row r="1616" spans="1:11" ht="36" customHeight="1">
      <c r="A1616" s="612" t="s">
        <v>3069</v>
      </c>
      <c r="B1616" s="613"/>
      <c r="C1616" s="613"/>
      <c r="D1616" s="613"/>
      <c r="E1616" s="613"/>
      <c r="F1616" s="69" t="s">
        <v>3046</v>
      </c>
      <c r="G1616" s="80" t="s">
        <v>3360</v>
      </c>
      <c r="K1616" s="222"/>
    </row>
    <row r="1617" spans="1:11" ht="28.5">
      <c r="A1617" s="623" t="s">
        <v>366</v>
      </c>
      <c r="B1617" s="624"/>
      <c r="C1617" s="69" t="s">
        <v>3</v>
      </c>
      <c r="D1617" s="69" t="s">
        <v>4</v>
      </c>
      <c r="E1617" s="69" t="s">
        <v>1826</v>
      </c>
      <c r="F1617" s="69" t="s">
        <v>367</v>
      </c>
      <c r="G1617" s="69" t="s">
        <v>368</v>
      </c>
      <c r="K1617" s="222"/>
    </row>
    <row r="1618" spans="1:11" ht="30">
      <c r="A1618" s="161" t="s">
        <v>3353</v>
      </c>
      <c r="B1618" s="246" t="s">
        <v>3352</v>
      </c>
      <c r="C1618" s="247" t="s">
        <v>3046</v>
      </c>
      <c r="D1618" s="247" t="s">
        <v>17</v>
      </c>
      <c r="E1618" s="245">
        <v>1</v>
      </c>
      <c r="F1618" s="245">
        <f>H1618</f>
        <v>35606.304499999998</v>
      </c>
      <c r="G1618" s="245">
        <f>ROUND(F1618*E1618,2)</f>
        <v>35606.300000000003</v>
      </c>
      <c r="H1618" s="337">
        <v>35606.304499999998</v>
      </c>
      <c r="K1618" s="222"/>
    </row>
    <row r="1619" spans="1:11" ht="30">
      <c r="A1619" s="161" t="s">
        <v>3356</v>
      </c>
      <c r="B1619" s="246" t="s">
        <v>3355</v>
      </c>
      <c r="C1619" s="247" t="s">
        <v>3046</v>
      </c>
      <c r="D1619" s="247" t="s">
        <v>17</v>
      </c>
      <c r="E1619" s="245">
        <v>2</v>
      </c>
      <c r="F1619" s="245">
        <f>H1619</f>
        <v>45846.399000000005</v>
      </c>
      <c r="G1619" s="245">
        <f>ROUND(F1619*E1619,2)</f>
        <v>91692.800000000003</v>
      </c>
      <c r="H1619" s="337">
        <v>45846.399000000005</v>
      </c>
      <c r="K1619" s="222"/>
    </row>
    <row r="1620" spans="1:11" ht="15" customHeight="1">
      <c r="A1620" s="719" t="s">
        <v>1893</v>
      </c>
      <c r="B1620" s="719"/>
      <c r="C1620" s="719"/>
      <c r="D1620" s="719"/>
      <c r="E1620" s="719"/>
      <c r="F1620" s="719"/>
      <c r="G1620" s="71">
        <f>ROUND(SUM(G1618:G1619),2)</f>
        <v>127299.1</v>
      </c>
      <c r="K1620" s="222"/>
    </row>
    <row r="1621" spans="1:11" ht="23.25" customHeight="1">
      <c r="A1621" s="72"/>
      <c r="B1621" s="72"/>
      <c r="C1621" s="752"/>
      <c r="D1621" s="753"/>
      <c r="E1621" s="72"/>
      <c r="F1621" s="72"/>
      <c r="G1621" s="72"/>
      <c r="K1621" s="222"/>
    </row>
    <row r="1622" spans="1:11" ht="40.5" customHeight="1">
      <c r="A1622" s="612" t="s">
        <v>3070</v>
      </c>
      <c r="B1622" s="613"/>
      <c r="C1622" s="613"/>
      <c r="D1622" s="613"/>
      <c r="E1622" s="614"/>
      <c r="F1622" s="69" t="s">
        <v>3046</v>
      </c>
      <c r="G1622" s="80" t="s">
        <v>3361</v>
      </c>
      <c r="K1622" s="222"/>
    </row>
    <row r="1623" spans="1:11" ht="28.5">
      <c r="A1623" s="623" t="s">
        <v>366</v>
      </c>
      <c r="B1623" s="624"/>
      <c r="C1623" s="69" t="s">
        <v>3</v>
      </c>
      <c r="D1623" s="69" t="s">
        <v>4</v>
      </c>
      <c r="E1623" s="69" t="s">
        <v>1826</v>
      </c>
      <c r="F1623" s="69" t="s">
        <v>367</v>
      </c>
      <c r="G1623" s="69" t="s">
        <v>368</v>
      </c>
      <c r="K1623" s="222"/>
    </row>
    <row r="1624" spans="1:11" ht="30">
      <c r="A1624" s="161" t="s">
        <v>3351</v>
      </c>
      <c r="B1624" s="246" t="s">
        <v>3349</v>
      </c>
      <c r="C1624" s="247" t="s">
        <v>3046</v>
      </c>
      <c r="D1624" s="247" t="s">
        <v>17</v>
      </c>
      <c r="E1624" s="245">
        <v>1</v>
      </c>
      <c r="F1624" s="245">
        <f>H1624</f>
        <v>41140.467499999999</v>
      </c>
      <c r="G1624" s="245">
        <f>ROUND(F1624*E1624,2)</f>
        <v>41140.47</v>
      </c>
      <c r="H1624" s="337">
        <v>41140.467499999999</v>
      </c>
      <c r="K1624" s="222"/>
    </row>
    <row r="1625" spans="1:11" ht="30">
      <c r="A1625" s="161" t="s">
        <v>3356</v>
      </c>
      <c r="B1625" s="246" t="s">
        <v>3355</v>
      </c>
      <c r="C1625" s="247" t="s">
        <v>3046</v>
      </c>
      <c r="D1625" s="247" t="s">
        <v>17</v>
      </c>
      <c r="E1625" s="245">
        <v>2</v>
      </c>
      <c r="F1625" s="245">
        <f>H1625</f>
        <v>45846.399000000005</v>
      </c>
      <c r="G1625" s="245">
        <f>ROUND(F1625*E1625,2)</f>
        <v>91692.800000000003</v>
      </c>
      <c r="H1625" s="337">
        <v>45846.399000000005</v>
      </c>
      <c r="K1625" s="222"/>
    </row>
    <row r="1626" spans="1:11" ht="15" customHeight="1">
      <c r="A1626" s="719" t="s">
        <v>1893</v>
      </c>
      <c r="B1626" s="719"/>
      <c r="C1626" s="719"/>
      <c r="D1626" s="719"/>
      <c r="E1626" s="719"/>
      <c r="F1626" s="719"/>
      <c r="G1626" s="71">
        <f>ROUND(SUM(G1624:G1625),2)</f>
        <v>132833.26999999999</v>
      </c>
      <c r="K1626" s="222"/>
    </row>
    <row r="1627" spans="1:11" ht="27.75" customHeight="1">
      <c r="A1627" s="72"/>
      <c r="B1627" s="72"/>
      <c r="C1627" s="752"/>
      <c r="D1627" s="753"/>
      <c r="E1627" s="72"/>
      <c r="F1627" s="72"/>
      <c r="G1627" s="72"/>
      <c r="K1627" s="222"/>
    </row>
    <row r="1628" spans="1:11" ht="30" customHeight="1">
      <c r="A1628" s="612" t="s">
        <v>3363</v>
      </c>
      <c r="B1628" s="613"/>
      <c r="C1628" s="613"/>
      <c r="D1628" s="613"/>
      <c r="E1628" s="614"/>
      <c r="F1628" s="69" t="s">
        <v>3046</v>
      </c>
      <c r="G1628" s="321" t="s">
        <v>3333</v>
      </c>
      <c r="K1628" s="222"/>
    </row>
    <row r="1629" spans="1:11" ht="28.5">
      <c r="A1629" s="623" t="s">
        <v>366</v>
      </c>
      <c r="B1629" s="624"/>
      <c r="C1629" s="69" t="s">
        <v>3</v>
      </c>
      <c r="D1629" s="69" t="s">
        <v>4</v>
      </c>
      <c r="E1629" s="69" t="s">
        <v>1826</v>
      </c>
      <c r="F1629" s="69" t="s">
        <v>367</v>
      </c>
      <c r="G1629" s="69" t="s">
        <v>368</v>
      </c>
      <c r="K1629" s="222"/>
    </row>
    <row r="1630" spans="1:11" ht="30">
      <c r="A1630" s="20" t="s">
        <v>3336</v>
      </c>
      <c r="B1630" s="70" t="s">
        <v>2525</v>
      </c>
      <c r="C1630" s="21" t="s">
        <v>3046</v>
      </c>
      <c r="D1630" s="21" t="s">
        <v>17</v>
      </c>
      <c r="E1630" s="22">
        <v>1</v>
      </c>
      <c r="F1630" s="22">
        <f>H1630</f>
        <v>3875.3539999999998</v>
      </c>
      <c r="G1630" s="22">
        <f>ROUND(F1630*E1630,2)</f>
        <v>3875.35</v>
      </c>
      <c r="H1630" s="337">
        <v>3875.3539999999998</v>
      </c>
      <c r="K1630" s="222"/>
    </row>
    <row r="1631" spans="1:11" ht="15" customHeight="1">
      <c r="A1631" s="719" t="s">
        <v>1893</v>
      </c>
      <c r="B1631" s="719"/>
      <c r="C1631" s="719"/>
      <c r="D1631" s="719"/>
      <c r="E1631" s="719"/>
      <c r="F1631" s="719"/>
      <c r="G1631" s="71">
        <f>ROUND(SUM(G1630:G1630),2)</f>
        <v>3875.35</v>
      </c>
      <c r="K1631" s="222"/>
    </row>
    <row r="1632" spans="1:11" ht="30.75" customHeight="1">
      <c r="A1632" s="72"/>
      <c r="B1632" s="72"/>
      <c r="C1632" s="752"/>
      <c r="D1632" s="753"/>
      <c r="E1632" s="72"/>
      <c r="F1632" s="72"/>
      <c r="G1632" s="72"/>
      <c r="K1632" s="222"/>
    </row>
    <row r="1633" spans="1:11" ht="35.25" customHeight="1">
      <c r="A1633" s="612" t="s">
        <v>3364</v>
      </c>
      <c r="B1633" s="613"/>
      <c r="C1633" s="613"/>
      <c r="D1633" s="613"/>
      <c r="E1633" s="614"/>
      <c r="F1633" s="69" t="s">
        <v>3046</v>
      </c>
      <c r="G1633" s="321" t="s">
        <v>3332</v>
      </c>
      <c r="K1633" s="222"/>
    </row>
    <row r="1634" spans="1:11" ht="28.5">
      <c r="A1634" s="623" t="s">
        <v>366</v>
      </c>
      <c r="B1634" s="624"/>
      <c r="C1634" s="69" t="s">
        <v>3</v>
      </c>
      <c r="D1634" s="69" t="s">
        <v>4</v>
      </c>
      <c r="E1634" s="69" t="s">
        <v>1826</v>
      </c>
      <c r="F1634" s="69" t="s">
        <v>367</v>
      </c>
      <c r="G1634" s="69" t="s">
        <v>368</v>
      </c>
      <c r="K1634" s="222"/>
    </row>
    <row r="1635" spans="1:11" ht="30">
      <c r="A1635" s="20" t="s">
        <v>3335</v>
      </c>
      <c r="B1635" s="70" t="s">
        <v>2620</v>
      </c>
      <c r="C1635" s="21" t="s">
        <v>3046</v>
      </c>
      <c r="D1635" s="21" t="s">
        <v>17</v>
      </c>
      <c r="E1635" s="22">
        <v>1</v>
      </c>
      <c r="F1635" s="22">
        <f>H1635</f>
        <v>3752.2655000000004</v>
      </c>
      <c r="G1635" s="22">
        <f>ROUND(F1635*E1635,2)</f>
        <v>3752.27</v>
      </c>
      <c r="H1635" s="337">
        <v>3752.2655000000004</v>
      </c>
      <c r="K1635" s="222"/>
    </row>
    <row r="1636" spans="1:11" ht="15" customHeight="1">
      <c r="A1636" s="719" t="s">
        <v>1893</v>
      </c>
      <c r="B1636" s="719"/>
      <c r="C1636" s="719"/>
      <c r="D1636" s="719"/>
      <c r="E1636" s="719"/>
      <c r="F1636" s="719"/>
      <c r="G1636" s="71">
        <f>ROUND(SUM(G1635:G1635),2)</f>
        <v>3752.27</v>
      </c>
      <c r="K1636" s="222"/>
    </row>
    <row r="1637" spans="1:11" ht="27" customHeight="1">
      <c r="A1637" s="72"/>
      <c r="B1637" s="72"/>
      <c r="C1637" s="752"/>
      <c r="D1637" s="753"/>
      <c r="E1637" s="72"/>
      <c r="F1637" s="72"/>
      <c r="G1637" s="72"/>
      <c r="K1637" s="222"/>
    </row>
    <row r="1638" spans="1:11" ht="30.75" customHeight="1">
      <c r="A1638" s="612" t="s">
        <v>3448</v>
      </c>
      <c r="B1638" s="613"/>
      <c r="C1638" s="613"/>
      <c r="D1638" s="613"/>
      <c r="E1638" s="613"/>
      <c r="F1638" s="69" t="s">
        <v>3046</v>
      </c>
      <c r="G1638" s="321" t="s">
        <v>3331</v>
      </c>
      <c r="K1638" s="222"/>
    </row>
    <row r="1639" spans="1:11" ht="28.5">
      <c r="A1639" s="623" t="s">
        <v>366</v>
      </c>
      <c r="B1639" s="624"/>
      <c r="C1639" s="69" t="s">
        <v>3</v>
      </c>
      <c r="D1639" s="69" t="s">
        <v>4</v>
      </c>
      <c r="E1639" s="69" t="s">
        <v>1826</v>
      </c>
      <c r="F1639" s="69" t="s">
        <v>367</v>
      </c>
      <c r="G1639" s="69" t="s">
        <v>368</v>
      </c>
      <c r="K1639" s="222"/>
    </row>
    <row r="1640" spans="1:11" ht="30">
      <c r="A1640" s="20" t="s">
        <v>3334</v>
      </c>
      <c r="B1640" s="70" t="s">
        <v>3449</v>
      </c>
      <c r="C1640" s="21" t="s">
        <v>3046</v>
      </c>
      <c r="D1640" s="21" t="s">
        <v>17</v>
      </c>
      <c r="E1640" s="22">
        <v>1</v>
      </c>
      <c r="F1640" s="22">
        <f>H1640</f>
        <v>3457.069</v>
      </c>
      <c r="G1640" s="22">
        <f>ROUND(F1640*E1640,2)</f>
        <v>3457.07</v>
      </c>
      <c r="H1640" s="337">
        <v>3457.069</v>
      </c>
      <c r="K1640" s="222"/>
    </row>
    <row r="1641" spans="1:11" ht="15" customHeight="1">
      <c r="A1641" s="719" t="s">
        <v>1893</v>
      </c>
      <c r="B1641" s="719"/>
      <c r="C1641" s="719"/>
      <c r="D1641" s="719"/>
      <c r="E1641" s="719"/>
      <c r="F1641" s="719"/>
      <c r="G1641" s="71">
        <f>ROUND(SUM(G1640:G1640),2)</f>
        <v>3457.07</v>
      </c>
      <c r="K1641" s="222"/>
    </row>
    <row r="1642" spans="1:11" ht="24" customHeight="1">
      <c r="A1642" s="72"/>
      <c r="B1642" s="72"/>
      <c r="C1642" s="752"/>
      <c r="D1642" s="753"/>
      <c r="E1642" s="72"/>
      <c r="F1642" s="72"/>
      <c r="G1642" s="72"/>
      <c r="K1642" s="222"/>
    </row>
    <row r="1643" spans="1:11" ht="28.5" customHeight="1">
      <c r="A1643" s="612" t="s">
        <v>3365</v>
      </c>
      <c r="B1643" s="613"/>
      <c r="C1643" s="613"/>
      <c r="D1643" s="613"/>
      <c r="E1643" s="614"/>
      <c r="F1643" s="69" t="s">
        <v>3046</v>
      </c>
      <c r="G1643" s="321" t="s">
        <v>3337</v>
      </c>
      <c r="K1643" s="222"/>
    </row>
    <row r="1644" spans="1:11" ht="28.5">
      <c r="A1644" s="623" t="s">
        <v>366</v>
      </c>
      <c r="B1644" s="624"/>
      <c r="C1644" s="69" t="s">
        <v>3</v>
      </c>
      <c r="D1644" s="69" t="s">
        <v>4</v>
      </c>
      <c r="E1644" s="69" t="s">
        <v>1826</v>
      </c>
      <c r="F1644" s="69" t="s">
        <v>367</v>
      </c>
      <c r="G1644" s="69" t="s">
        <v>368</v>
      </c>
      <c r="K1644" s="222"/>
    </row>
    <row r="1645" spans="1:11" ht="30">
      <c r="A1645" s="20" t="s">
        <v>3338</v>
      </c>
      <c r="B1645" s="261" t="s">
        <v>2621</v>
      </c>
      <c r="C1645" s="21" t="s">
        <v>3046</v>
      </c>
      <c r="D1645" s="21" t="s">
        <v>17</v>
      </c>
      <c r="E1645" s="22">
        <v>1</v>
      </c>
      <c r="F1645" s="22">
        <f>H1645</f>
        <v>3796.3975000000005</v>
      </c>
      <c r="G1645" s="22">
        <f>ROUND(F1645*E1645,2)</f>
        <v>3796.4</v>
      </c>
      <c r="H1645" s="337">
        <v>3796.3975000000005</v>
      </c>
      <c r="K1645" s="222"/>
    </row>
    <row r="1646" spans="1:11" ht="15" customHeight="1">
      <c r="A1646" s="719" t="s">
        <v>1893</v>
      </c>
      <c r="B1646" s="719"/>
      <c r="C1646" s="719"/>
      <c r="D1646" s="719"/>
      <c r="E1646" s="719"/>
      <c r="F1646" s="719"/>
      <c r="G1646" s="71">
        <f>ROUND(SUM(G1645:G1645),2)</f>
        <v>3796.4</v>
      </c>
      <c r="K1646" s="222"/>
    </row>
    <row r="1647" spans="1:11" ht="24.75" customHeight="1">
      <c r="A1647" s="72"/>
      <c r="B1647" s="72"/>
      <c r="C1647" s="752"/>
      <c r="D1647" s="753"/>
      <c r="E1647" s="72"/>
      <c r="F1647" s="72"/>
      <c r="G1647" s="72"/>
      <c r="K1647" s="222"/>
    </row>
    <row r="1648" spans="1:11" ht="29.25" customHeight="1">
      <c r="A1648" s="612" t="s">
        <v>3324</v>
      </c>
      <c r="B1648" s="613"/>
      <c r="C1648" s="613"/>
      <c r="D1648" s="613"/>
      <c r="E1648" s="613"/>
      <c r="F1648" s="69" t="s">
        <v>3046</v>
      </c>
      <c r="G1648" s="321" t="s">
        <v>3327</v>
      </c>
      <c r="K1648" s="222"/>
    </row>
    <row r="1649" spans="1:11" ht="28.5">
      <c r="A1649" s="612" t="s">
        <v>366</v>
      </c>
      <c r="B1649" s="616"/>
      <c r="C1649" s="69" t="s">
        <v>3</v>
      </c>
      <c r="D1649" s="69" t="s">
        <v>4</v>
      </c>
      <c r="E1649" s="69" t="s">
        <v>1826</v>
      </c>
      <c r="F1649" s="69" t="s">
        <v>367</v>
      </c>
      <c r="G1649" s="69" t="s">
        <v>368</v>
      </c>
      <c r="K1649" s="222"/>
    </row>
    <row r="1650" spans="1:11" ht="35.25" customHeight="1">
      <c r="A1650" s="20" t="s">
        <v>3329</v>
      </c>
      <c r="B1650" s="90" t="s">
        <v>3326</v>
      </c>
      <c r="C1650" s="21" t="s">
        <v>3046</v>
      </c>
      <c r="D1650" s="21" t="s">
        <v>17</v>
      </c>
      <c r="E1650" s="22">
        <v>1</v>
      </c>
      <c r="F1650" s="22">
        <f>H1650</f>
        <v>3828.9184999999998</v>
      </c>
      <c r="G1650" s="22">
        <f>ROUND(F1650*E1650,2)</f>
        <v>3828.92</v>
      </c>
      <c r="H1650" s="337">
        <v>3828.9184999999998</v>
      </c>
      <c r="K1650" s="222"/>
    </row>
    <row r="1651" spans="1:11" ht="15" customHeight="1">
      <c r="A1651" s="719" t="s">
        <v>1893</v>
      </c>
      <c r="B1651" s="719"/>
      <c r="C1651" s="719"/>
      <c r="D1651" s="719"/>
      <c r="E1651" s="719"/>
      <c r="F1651" s="719"/>
      <c r="G1651" s="71">
        <f>ROUND(SUM(G1650:G1650),2)</f>
        <v>3828.92</v>
      </c>
      <c r="K1651" s="222"/>
    </row>
    <row r="1652" spans="1:11" ht="22.5" customHeight="1">
      <c r="A1652" s="72"/>
      <c r="B1652" s="72"/>
      <c r="C1652" s="752"/>
      <c r="D1652" s="753"/>
      <c r="E1652" s="72"/>
      <c r="F1652" s="72"/>
      <c r="G1652" s="72"/>
      <c r="K1652" s="222"/>
    </row>
    <row r="1653" spans="1:11" ht="33" customHeight="1">
      <c r="A1653" s="612" t="s">
        <v>3325</v>
      </c>
      <c r="B1653" s="613"/>
      <c r="C1653" s="613"/>
      <c r="D1653" s="613"/>
      <c r="E1653" s="614"/>
      <c r="F1653" s="69" t="s">
        <v>3046</v>
      </c>
      <c r="G1653" s="321" t="s">
        <v>3328</v>
      </c>
      <c r="K1653" s="222"/>
    </row>
    <row r="1654" spans="1:11" ht="28.5">
      <c r="A1654" s="612" t="s">
        <v>366</v>
      </c>
      <c r="B1654" s="616"/>
      <c r="C1654" s="69" t="s">
        <v>3</v>
      </c>
      <c r="D1654" s="69" t="s">
        <v>4</v>
      </c>
      <c r="E1654" s="69" t="s">
        <v>1826</v>
      </c>
      <c r="F1654" s="69" t="s">
        <v>367</v>
      </c>
      <c r="G1654" s="69" t="s">
        <v>368</v>
      </c>
      <c r="K1654" s="222"/>
    </row>
    <row r="1655" spans="1:11" ht="45">
      <c r="A1655" s="20" t="s">
        <v>3330</v>
      </c>
      <c r="B1655" s="91" t="s">
        <v>2622</v>
      </c>
      <c r="C1655" s="21" t="s">
        <v>3046</v>
      </c>
      <c r="D1655" s="21" t="s">
        <v>17</v>
      </c>
      <c r="E1655" s="22">
        <v>1</v>
      </c>
      <c r="F1655" s="22">
        <f>H1655</f>
        <v>2961.672</v>
      </c>
      <c r="G1655" s="22">
        <f>ROUND(F1655*E1655,2)</f>
        <v>2961.67</v>
      </c>
      <c r="H1655" s="337">
        <v>2961.672</v>
      </c>
      <c r="K1655" s="222"/>
    </row>
    <row r="1656" spans="1:11" ht="15" customHeight="1">
      <c r="A1656" s="620" t="s">
        <v>1893</v>
      </c>
      <c r="B1656" s="621"/>
      <c r="C1656" s="621"/>
      <c r="D1656" s="621"/>
      <c r="E1656" s="621"/>
      <c r="F1656" s="622"/>
      <c r="G1656" s="71">
        <f>ROUND(SUM(G1655:G1655),2)</f>
        <v>2961.67</v>
      </c>
      <c r="K1656" s="222"/>
    </row>
    <row r="1657" spans="1:11" ht="24.75" customHeight="1">
      <c r="A1657" s="72"/>
      <c r="B1657" s="72"/>
      <c r="C1657" s="752"/>
      <c r="D1657" s="753"/>
      <c r="E1657" s="72"/>
      <c r="F1657" s="72"/>
      <c r="G1657" s="72"/>
      <c r="K1657" s="222"/>
    </row>
    <row r="1658" spans="1:11" ht="25.5" customHeight="1">
      <c r="A1658" s="612" t="s">
        <v>2514</v>
      </c>
      <c r="B1658" s="613"/>
      <c r="C1658" s="613"/>
      <c r="D1658" s="613"/>
      <c r="E1658" s="614"/>
      <c r="F1658" s="69" t="s">
        <v>1914</v>
      </c>
      <c r="G1658" s="80"/>
      <c r="K1658" s="222"/>
    </row>
    <row r="1659" spans="1:11" ht="28.5">
      <c r="A1659" s="612" t="s">
        <v>366</v>
      </c>
      <c r="B1659" s="616"/>
      <c r="C1659" s="69" t="s">
        <v>3</v>
      </c>
      <c r="D1659" s="69" t="s">
        <v>4</v>
      </c>
      <c r="E1659" s="69" t="s">
        <v>1826</v>
      </c>
      <c r="F1659" s="69" t="s">
        <v>367</v>
      </c>
      <c r="G1659" s="69" t="s">
        <v>368</v>
      </c>
      <c r="K1659" s="222"/>
    </row>
    <row r="1660" spans="1:11" ht="30">
      <c r="A1660" s="20">
        <v>803041</v>
      </c>
      <c r="B1660" s="19" t="s">
        <v>2526</v>
      </c>
      <c r="C1660" s="21" t="s">
        <v>16</v>
      </c>
      <c r="D1660" s="21" t="s">
        <v>17</v>
      </c>
      <c r="E1660" s="22">
        <v>1</v>
      </c>
      <c r="F1660" s="22">
        <v>284.02999999999997</v>
      </c>
      <c r="G1660" s="22">
        <v>284.02999999999997</v>
      </c>
      <c r="H1660" s="337">
        <v>241.42549999999997</v>
      </c>
      <c r="K1660" s="222"/>
    </row>
    <row r="1661" spans="1:11" ht="15" customHeight="1">
      <c r="A1661" s="620" t="s">
        <v>1893</v>
      </c>
      <c r="B1661" s="621"/>
      <c r="C1661" s="621"/>
      <c r="D1661" s="621"/>
      <c r="E1661" s="621"/>
      <c r="F1661" s="622"/>
      <c r="G1661" s="71">
        <f>ROUND(SUM(G1660:G1660),2)</f>
        <v>284.02999999999997</v>
      </c>
      <c r="K1661" s="222"/>
    </row>
    <row r="1662" spans="1:11" ht="22.5" customHeight="1">
      <c r="A1662" s="72"/>
      <c r="B1662" s="72"/>
      <c r="C1662" s="752"/>
      <c r="D1662" s="753"/>
      <c r="E1662" s="72"/>
      <c r="F1662" s="72"/>
      <c r="G1662" s="72"/>
      <c r="K1662" s="222"/>
    </row>
    <row r="1663" spans="1:11" ht="45" customHeight="1">
      <c r="A1663" s="612" t="s">
        <v>3340</v>
      </c>
      <c r="B1663" s="613"/>
      <c r="C1663" s="613"/>
      <c r="D1663" s="613"/>
      <c r="E1663" s="614"/>
      <c r="F1663" s="69" t="s">
        <v>3046</v>
      </c>
      <c r="G1663" s="321" t="s">
        <v>3341</v>
      </c>
      <c r="K1663" s="222"/>
    </row>
    <row r="1664" spans="1:11" ht="28.5">
      <c r="A1664" s="623" t="s">
        <v>364</v>
      </c>
      <c r="B1664" s="624"/>
      <c r="C1664" s="69" t="s">
        <v>3</v>
      </c>
      <c r="D1664" s="69" t="s">
        <v>4</v>
      </c>
      <c r="E1664" s="69" t="s">
        <v>1826</v>
      </c>
      <c r="F1664" s="69" t="s">
        <v>367</v>
      </c>
      <c r="G1664" s="69" t="s">
        <v>368</v>
      </c>
      <c r="K1664" s="222"/>
    </row>
    <row r="1665" spans="1:11" ht="30">
      <c r="A1665" s="76" t="s">
        <v>3339</v>
      </c>
      <c r="B1665" s="77" t="s">
        <v>609</v>
      </c>
      <c r="C1665" s="21" t="s">
        <v>3046</v>
      </c>
      <c r="D1665" s="78" t="s">
        <v>17</v>
      </c>
      <c r="E1665" s="73">
        <v>1</v>
      </c>
      <c r="F1665" s="73">
        <v>323.89</v>
      </c>
      <c r="G1665" s="73">
        <v>323.89</v>
      </c>
      <c r="H1665" s="337">
        <v>275.30649999999997</v>
      </c>
      <c r="K1665" s="222"/>
    </row>
    <row r="1666" spans="1:11" ht="30">
      <c r="A1666" s="20">
        <v>100308</v>
      </c>
      <c r="B1666" s="70" t="s">
        <v>607</v>
      </c>
      <c r="C1666" s="21" t="s">
        <v>12</v>
      </c>
      <c r="D1666" s="21" t="s">
        <v>19</v>
      </c>
      <c r="E1666" s="22">
        <v>1</v>
      </c>
      <c r="F1666" s="22">
        <f>H1666</f>
        <v>15.070500000000001</v>
      </c>
      <c r="G1666" s="22">
        <f>ROUND(F1666*E1666,2)</f>
        <v>15.07</v>
      </c>
      <c r="H1666" s="337">
        <v>15.070500000000001</v>
      </c>
      <c r="I1666" s="23" t="e">
        <f>IF(A1666&lt;&gt;0,VLOOKUP(A1666,#REF!,2,FALSE),"")</f>
        <v>#REF!</v>
      </c>
      <c r="K1666" s="222"/>
    </row>
    <row r="1667" spans="1:11" ht="30">
      <c r="A1667" s="20">
        <v>88250</v>
      </c>
      <c r="B1667" s="70" t="s">
        <v>608</v>
      </c>
      <c r="C1667" s="21" t="s">
        <v>12</v>
      </c>
      <c r="D1667" s="21" t="s">
        <v>19</v>
      </c>
      <c r="E1667" s="22">
        <v>1</v>
      </c>
      <c r="F1667" s="22">
        <f>H1667</f>
        <v>13.566000000000001</v>
      </c>
      <c r="G1667" s="22">
        <f>ROUND(F1667*E1667,2)</f>
        <v>13.57</v>
      </c>
      <c r="H1667" s="337">
        <v>13.566000000000001</v>
      </c>
      <c r="I1667" s="23" t="e">
        <f>IF(A1667&lt;&gt;0,VLOOKUP(A1667,#REF!,2,FALSE),"")</f>
        <v>#REF!</v>
      </c>
      <c r="K1667" s="222"/>
    </row>
    <row r="1668" spans="1:11" ht="15" customHeight="1">
      <c r="A1668" s="620" t="s">
        <v>1893</v>
      </c>
      <c r="B1668" s="621"/>
      <c r="C1668" s="621"/>
      <c r="D1668" s="621"/>
      <c r="E1668" s="621"/>
      <c r="F1668" s="622"/>
      <c r="G1668" s="71">
        <f>ROUND(SUM(G1665:G1667),2)</f>
        <v>352.53</v>
      </c>
      <c r="K1668" s="222"/>
    </row>
    <row r="1669" spans="1:11" ht="21" customHeight="1">
      <c r="A1669" s="72"/>
      <c r="B1669" s="72"/>
      <c r="C1669" s="752"/>
      <c r="D1669" s="753"/>
      <c r="E1669" s="72"/>
      <c r="F1669" s="72"/>
      <c r="G1669" s="72"/>
      <c r="K1669" s="222"/>
    </row>
    <row r="1670" spans="1:11" ht="29.25" customHeight="1">
      <c r="A1670" s="612" t="s">
        <v>2515</v>
      </c>
      <c r="B1670" s="613"/>
      <c r="C1670" s="613"/>
      <c r="D1670" s="613"/>
      <c r="E1670" s="613"/>
      <c r="F1670" s="69" t="s">
        <v>70</v>
      </c>
      <c r="G1670" s="80"/>
      <c r="K1670" s="222"/>
    </row>
    <row r="1671" spans="1:11" ht="28.5">
      <c r="A1671" s="623" t="s">
        <v>364</v>
      </c>
      <c r="B1671" s="624"/>
      <c r="C1671" s="69" t="s">
        <v>3</v>
      </c>
      <c r="D1671" s="69" t="s">
        <v>4</v>
      </c>
      <c r="E1671" s="69" t="s">
        <v>1826</v>
      </c>
      <c r="F1671" s="69" t="s">
        <v>367</v>
      </c>
      <c r="G1671" s="69" t="s">
        <v>368</v>
      </c>
      <c r="K1671" s="222"/>
    </row>
    <row r="1672" spans="1:11" s="23" customFormat="1">
      <c r="A1672" s="21" t="s">
        <v>610</v>
      </c>
      <c r="B1672" s="70" t="s">
        <v>611</v>
      </c>
      <c r="C1672" s="21" t="s">
        <v>70</v>
      </c>
      <c r="D1672" s="21" t="s">
        <v>52</v>
      </c>
      <c r="E1672" s="22">
        <v>1.5</v>
      </c>
      <c r="F1672" s="22">
        <f t="shared" ref="F1672:F1679" si="96">H1672</f>
        <v>2.5499999999999998</v>
      </c>
      <c r="G1672" s="22">
        <f t="shared" ref="G1672:G1679" si="97">ROUND(F1672*E1672,2)</f>
        <v>3.83</v>
      </c>
      <c r="H1672" s="346">
        <v>2.5499999999999998</v>
      </c>
      <c r="J1672" s="346"/>
      <c r="K1672" s="222"/>
    </row>
    <row r="1673" spans="1:11" s="23" customFormat="1">
      <c r="A1673" s="92">
        <v>25862</v>
      </c>
      <c r="B1673" s="70" t="s">
        <v>612</v>
      </c>
      <c r="C1673" s="21" t="s">
        <v>12</v>
      </c>
      <c r="D1673" s="21" t="s">
        <v>26</v>
      </c>
      <c r="E1673" s="22">
        <v>9.8699999999999996E-2</v>
      </c>
      <c r="F1673" s="22">
        <f t="shared" si="96"/>
        <v>14.297000000000001</v>
      </c>
      <c r="G1673" s="22">
        <f t="shared" si="97"/>
        <v>1.41</v>
      </c>
      <c r="H1673" s="346">
        <v>14.297000000000001</v>
      </c>
      <c r="I1673" s="23" t="e">
        <f>IF(A1673&lt;&gt;0,VLOOKUP(A1673,#REF!,2,FALSE),"")</f>
        <v>#REF!</v>
      </c>
      <c r="J1673" s="346"/>
      <c r="K1673" s="222"/>
    </row>
    <row r="1674" spans="1:11" s="23" customFormat="1">
      <c r="A1674" s="92">
        <v>39897</v>
      </c>
      <c r="B1674" s="70" t="s">
        <v>613</v>
      </c>
      <c r="C1674" s="21" t="s">
        <v>12</v>
      </c>
      <c r="D1674" s="21" t="s">
        <v>17</v>
      </c>
      <c r="E1674" s="22">
        <v>1.2999999999999999E-3</v>
      </c>
      <c r="F1674" s="22">
        <f t="shared" si="96"/>
        <v>44.0045</v>
      </c>
      <c r="G1674" s="22">
        <f t="shared" si="97"/>
        <v>0.06</v>
      </c>
      <c r="H1674" s="346">
        <v>44.0045</v>
      </c>
      <c r="I1674" s="23" t="e">
        <f>IF(A1674&lt;&gt;0,VLOOKUP(A1674,#REF!,2,FALSE),"")</f>
        <v>#REF!</v>
      </c>
      <c r="J1674" s="346"/>
      <c r="K1674" s="222"/>
    </row>
    <row r="1675" spans="1:11" s="23" customFormat="1">
      <c r="A1675" s="21" t="s">
        <v>614</v>
      </c>
      <c r="B1675" s="70" t="s">
        <v>615</v>
      </c>
      <c r="C1675" s="21" t="s">
        <v>70</v>
      </c>
      <c r="D1675" s="21" t="s">
        <v>45</v>
      </c>
      <c r="E1675" s="22">
        <v>9.4000000000000004E-3</v>
      </c>
      <c r="F1675" s="22">
        <f t="shared" si="96"/>
        <v>70.32050000000001</v>
      </c>
      <c r="G1675" s="22">
        <f t="shared" si="97"/>
        <v>0.66</v>
      </c>
      <c r="H1675" s="346">
        <v>70.32050000000001</v>
      </c>
      <c r="J1675" s="346"/>
      <c r="K1675" s="222"/>
    </row>
    <row r="1676" spans="1:11" s="38" customFormat="1" ht="27.75" customHeight="1">
      <c r="A1676" s="20">
        <v>7470</v>
      </c>
      <c r="B1676" s="70" t="s">
        <v>2516</v>
      </c>
      <c r="C1676" s="21" t="s">
        <v>44</v>
      </c>
      <c r="D1676" s="21" t="s">
        <v>52</v>
      </c>
      <c r="E1676" s="22">
        <v>1.1000000000000001</v>
      </c>
      <c r="F1676" s="22">
        <f t="shared" si="96"/>
        <v>47.625500000000002</v>
      </c>
      <c r="G1676" s="22">
        <f t="shared" si="97"/>
        <v>52.39</v>
      </c>
      <c r="H1676" s="336">
        <v>47.625500000000002</v>
      </c>
      <c r="I1676" s="38" t="e">
        <f>IF(A1676&lt;&gt;0,VLOOKUP(A1676,#REF!,2,FALSE),"")</f>
        <v>#REF!</v>
      </c>
      <c r="J1676" s="336"/>
      <c r="K1676" s="222"/>
    </row>
    <row r="1677" spans="1:11" ht="30">
      <c r="A1677" s="20">
        <v>88267</v>
      </c>
      <c r="B1677" s="70" t="s">
        <v>472</v>
      </c>
      <c r="C1677" s="21" t="s">
        <v>12</v>
      </c>
      <c r="D1677" s="21" t="s">
        <v>19</v>
      </c>
      <c r="E1677" s="22">
        <v>0.48</v>
      </c>
      <c r="F1677" s="22">
        <f t="shared" si="96"/>
        <v>14.7135</v>
      </c>
      <c r="G1677" s="22">
        <f t="shared" si="97"/>
        <v>7.06</v>
      </c>
      <c r="H1677" s="337">
        <v>14.7135</v>
      </c>
      <c r="I1677" s="23" t="e">
        <f>IF(A1677&lt;&gt;0,VLOOKUP(A1677,#REF!,2,FALSE),"")</f>
        <v>#REF!</v>
      </c>
      <c r="K1677" s="222"/>
    </row>
    <row r="1678" spans="1:11" ht="45">
      <c r="A1678" s="20">
        <v>88248</v>
      </c>
      <c r="B1678" s="70" t="s">
        <v>473</v>
      </c>
      <c r="C1678" s="21" t="s">
        <v>12</v>
      </c>
      <c r="D1678" s="21" t="s">
        <v>19</v>
      </c>
      <c r="E1678" s="22">
        <v>0.48</v>
      </c>
      <c r="F1678" s="22">
        <f t="shared" si="96"/>
        <v>11.483499999999999</v>
      </c>
      <c r="G1678" s="22">
        <f t="shared" si="97"/>
        <v>5.51</v>
      </c>
      <c r="H1678" s="337">
        <v>11.483499999999999</v>
      </c>
      <c r="I1678" s="23" t="e">
        <f>IF(A1678&lt;&gt;0,VLOOKUP(A1678,#REF!,2,FALSE),"")</f>
        <v>#REF!</v>
      </c>
      <c r="K1678" s="222"/>
    </row>
    <row r="1679" spans="1:11" s="38" customFormat="1" ht="33" customHeight="1">
      <c r="A1679" s="20">
        <v>7583</v>
      </c>
      <c r="B1679" s="70" t="s">
        <v>616</v>
      </c>
      <c r="C1679" s="21" t="s">
        <v>44</v>
      </c>
      <c r="D1679" s="21" t="s">
        <v>52</v>
      </c>
      <c r="E1679" s="22">
        <v>1</v>
      </c>
      <c r="F1679" s="22">
        <f t="shared" si="96"/>
        <v>2.992</v>
      </c>
      <c r="G1679" s="22">
        <f t="shared" si="97"/>
        <v>2.99</v>
      </c>
      <c r="H1679" s="336">
        <v>2.992</v>
      </c>
      <c r="I1679" s="38" t="e">
        <f>IF(A1679&lt;&gt;0,VLOOKUP(A1679,#REF!,2,FALSE),"")</f>
        <v>#REF!</v>
      </c>
      <c r="J1679" s="336"/>
      <c r="K1679" s="222"/>
    </row>
    <row r="1680" spans="1:11" ht="15" customHeight="1">
      <c r="A1680" s="620" t="s">
        <v>1893</v>
      </c>
      <c r="B1680" s="621"/>
      <c r="C1680" s="621"/>
      <c r="D1680" s="621"/>
      <c r="E1680" s="621"/>
      <c r="F1680" s="622"/>
      <c r="G1680" s="71">
        <f>ROUND(SUM(G1672:G1679),2)</f>
        <v>73.91</v>
      </c>
      <c r="K1680" s="222"/>
    </row>
    <row r="1681" spans="1:11" ht="21.75" customHeight="1">
      <c r="A1681" s="72"/>
      <c r="B1681" s="72"/>
      <c r="C1681" s="752"/>
      <c r="D1681" s="753"/>
      <c r="E1681" s="72"/>
      <c r="F1681" s="72"/>
      <c r="G1681" s="72"/>
      <c r="K1681" s="222"/>
    </row>
    <row r="1682" spans="1:11" ht="33" customHeight="1">
      <c r="A1682" s="612" t="s">
        <v>2519</v>
      </c>
      <c r="B1682" s="613"/>
      <c r="C1682" s="613"/>
      <c r="D1682" s="613"/>
      <c r="E1682" s="614"/>
      <c r="F1682" s="69" t="s">
        <v>70</v>
      </c>
      <c r="G1682" s="80"/>
      <c r="K1682" s="222"/>
    </row>
    <row r="1683" spans="1:11" ht="28.5">
      <c r="A1683" s="623" t="s">
        <v>364</v>
      </c>
      <c r="B1683" s="624"/>
      <c r="C1683" s="69" t="s">
        <v>3</v>
      </c>
      <c r="D1683" s="69" t="s">
        <v>4</v>
      </c>
      <c r="E1683" s="69" t="s">
        <v>1826</v>
      </c>
      <c r="F1683" s="69" t="s">
        <v>367</v>
      </c>
      <c r="G1683" s="69" t="s">
        <v>368</v>
      </c>
      <c r="K1683" s="222"/>
    </row>
    <row r="1684" spans="1:11" s="23" customFormat="1">
      <c r="A1684" s="21" t="s">
        <v>610</v>
      </c>
      <c r="B1684" s="70" t="s">
        <v>611</v>
      </c>
      <c r="C1684" s="21" t="s">
        <v>70</v>
      </c>
      <c r="D1684" s="21" t="s">
        <v>52</v>
      </c>
      <c r="E1684" s="22">
        <v>1.5</v>
      </c>
      <c r="F1684" s="22">
        <f t="shared" ref="F1684:F1691" si="98">H1684</f>
        <v>2.5499999999999998</v>
      </c>
      <c r="G1684" s="22">
        <f t="shared" ref="G1684:G1691" si="99">ROUND(F1684*E1684,2)</f>
        <v>3.83</v>
      </c>
      <c r="H1684" s="346">
        <v>2.5499999999999998</v>
      </c>
      <c r="J1684" s="346"/>
      <c r="K1684" s="222"/>
    </row>
    <row r="1685" spans="1:11">
      <c r="A1685" s="92">
        <v>25862</v>
      </c>
      <c r="B1685" s="70" t="s">
        <v>612</v>
      </c>
      <c r="C1685" s="21" t="s">
        <v>12</v>
      </c>
      <c r="D1685" s="21" t="s">
        <v>26</v>
      </c>
      <c r="E1685" s="22">
        <v>7.6799999999999993E-2</v>
      </c>
      <c r="F1685" s="22">
        <f t="shared" si="98"/>
        <v>14.297000000000001</v>
      </c>
      <c r="G1685" s="22">
        <f t="shared" si="99"/>
        <v>1.1000000000000001</v>
      </c>
      <c r="H1685" s="337">
        <v>14.297000000000001</v>
      </c>
      <c r="I1685" s="23" t="e">
        <f>IF(A1685&lt;&gt;0,VLOOKUP(A1685,#REF!,2,FALSE),"")</f>
        <v>#REF!</v>
      </c>
      <c r="K1685" s="222"/>
    </row>
    <row r="1686" spans="1:11">
      <c r="A1686" s="92">
        <v>39897</v>
      </c>
      <c r="B1686" s="70" t="s">
        <v>613</v>
      </c>
      <c r="C1686" s="21" t="s">
        <v>12</v>
      </c>
      <c r="D1686" s="21" t="s">
        <v>17</v>
      </c>
      <c r="E1686" s="22">
        <v>1E-3</v>
      </c>
      <c r="F1686" s="22">
        <f t="shared" si="98"/>
        <v>44.0045</v>
      </c>
      <c r="G1686" s="22">
        <f t="shared" si="99"/>
        <v>0.04</v>
      </c>
      <c r="H1686" s="337">
        <v>44.0045</v>
      </c>
      <c r="I1686" s="23" t="e">
        <f>IF(A1686&lt;&gt;0,VLOOKUP(A1686,#REF!,2,FALSE),"")</f>
        <v>#REF!</v>
      </c>
      <c r="K1686" s="222"/>
    </row>
    <row r="1687" spans="1:11" s="23" customFormat="1">
      <c r="A1687" s="21" t="s">
        <v>614</v>
      </c>
      <c r="B1687" s="70" t="s">
        <v>615</v>
      </c>
      <c r="C1687" s="21" t="s">
        <v>70</v>
      </c>
      <c r="D1687" s="21" t="s">
        <v>45</v>
      </c>
      <c r="E1687" s="22">
        <v>7.3000000000000001E-3</v>
      </c>
      <c r="F1687" s="22">
        <f t="shared" si="98"/>
        <v>70.32050000000001</v>
      </c>
      <c r="G1687" s="22">
        <f t="shared" si="99"/>
        <v>0.51</v>
      </c>
      <c r="H1687" s="346">
        <v>70.32050000000001</v>
      </c>
      <c r="J1687" s="346"/>
      <c r="K1687" s="222"/>
    </row>
    <row r="1688" spans="1:11" s="38" customFormat="1">
      <c r="A1688" s="20">
        <v>7468</v>
      </c>
      <c r="B1688" s="70" t="s">
        <v>2521</v>
      </c>
      <c r="C1688" s="21" t="s">
        <v>44</v>
      </c>
      <c r="D1688" s="21" t="s">
        <v>52</v>
      </c>
      <c r="E1688" s="22">
        <v>1.1000000000000001</v>
      </c>
      <c r="F1688" s="22">
        <f t="shared" si="98"/>
        <v>52.835999999999999</v>
      </c>
      <c r="G1688" s="22">
        <f t="shared" si="99"/>
        <v>58.12</v>
      </c>
      <c r="H1688" s="336">
        <v>52.835999999999999</v>
      </c>
      <c r="I1688" s="38" t="e">
        <f>IF(A1688&lt;&gt;0,VLOOKUP(A1688,#REF!,2,FALSE),"")</f>
        <v>#REF!</v>
      </c>
      <c r="J1688" s="336"/>
      <c r="K1688" s="222"/>
    </row>
    <row r="1689" spans="1:11" ht="30">
      <c r="A1689" s="20">
        <v>88267</v>
      </c>
      <c r="B1689" s="70" t="s">
        <v>472</v>
      </c>
      <c r="C1689" s="21" t="s">
        <v>12</v>
      </c>
      <c r="D1689" s="21" t="s">
        <v>19</v>
      </c>
      <c r="E1689" s="22">
        <v>0.4</v>
      </c>
      <c r="F1689" s="22">
        <f t="shared" si="98"/>
        <v>14.7135</v>
      </c>
      <c r="G1689" s="22">
        <f t="shared" si="99"/>
        <v>5.89</v>
      </c>
      <c r="H1689" s="337">
        <v>14.7135</v>
      </c>
      <c r="I1689" s="23" t="e">
        <f>IF(A1689&lt;&gt;0,VLOOKUP(A1689,#REF!,2,FALSE),"")</f>
        <v>#REF!</v>
      </c>
      <c r="K1689" s="222"/>
    </row>
    <row r="1690" spans="1:11" ht="45">
      <c r="A1690" s="20">
        <v>88248</v>
      </c>
      <c r="B1690" s="70" t="s">
        <v>473</v>
      </c>
      <c r="C1690" s="21" t="s">
        <v>12</v>
      </c>
      <c r="D1690" s="21" t="s">
        <v>19</v>
      </c>
      <c r="E1690" s="22">
        <v>0.4</v>
      </c>
      <c r="F1690" s="22">
        <f t="shared" si="98"/>
        <v>11.483499999999999</v>
      </c>
      <c r="G1690" s="22">
        <f t="shared" si="99"/>
        <v>4.59</v>
      </c>
      <c r="H1690" s="337">
        <v>11.483499999999999</v>
      </c>
      <c r="I1690" s="23" t="e">
        <f>IF(A1690&lt;&gt;0,VLOOKUP(A1690,#REF!,2,FALSE),"")</f>
        <v>#REF!</v>
      </c>
      <c r="K1690" s="222"/>
    </row>
    <row r="1691" spans="1:11" s="38" customFormat="1" ht="30">
      <c r="A1691" s="20">
        <v>7581</v>
      </c>
      <c r="B1691" s="70" t="s">
        <v>617</v>
      </c>
      <c r="C1691" s="21" t="s">
        <v>44</v>
      </c>
      <c r="D1691" s="21" t="s">
        <v>52</v>
      </c>
      <c r="E1691" s="22">
        <v>1.1000000000000001</v>
      </c>
      <c r="F1691" s="22">
        <f t="shared" si="98"/>
        <v>1.768</v>
      </c>
      <c r="G1691" s="22">
        <f t="shared" si="99"/>
        <v>1.94</v>
      </c>
      <c r="H1691" s="336">
        <v>1.768</v>
      </c>
      <c r="I1691" s="38" t="e">
        <f>IF(A1691&lt;&gt;0,VLOOKUP(A1691,#REF!,2,FALSE),"")</f>
        <v>#REF!</v>
      </c>
      <c r="J1691" s="336"/>
      <c r="K1691" s="222"/>
    </row>
    <row r="1692" spans="1:11" ht="15" customHeight="1">
      <c r="A1692" s="620" t="s">
        <v>1893</v>
      </c>
      <c r="B1692" s="621"/>
      <c r="C1692" s="621"/>
      <c r="D1692" s="621"/>
      <c r="E1692" s="621"/>
      <c r="F1692" s="622"/>
      <c r="G1692" s="71">
        <f>ROUND(SUM(G1684:G1691),2)</f>
        <v>76.02</v>
      </c>
      <c r="K1692" s="222"/>
    </row>
    <row r="1693" spans="1:11" ht="23.25" customHeight="1">
      <c r="A1693" s="72"/>
      <c r="B1693" s="72"/>
      <c r="C1693" s="752"/>
      <c r="D1693" s="753"/>
      <c r="E1693" s="72"/>
      <c r="F1693" s="72"/>
      <c r="G1693" s="72"/>
      <c r="K1693" s="222"/>
    </row>
    <row r="1694" spans="1:11" ht="31.5" customHeight="1">
      <c r="A1694" s="612" t="s">
        <v>2520</v>
      </c>
      <c r="B1694" s="613"/>
      <c r="C1694" s="613"/>
      <c r="D1694" s="613"/>
      <c r="E1694" s="614"/>
      <c r="F1694" s="69" t="s">
        <v>70</v>
      </c>
      <c r="G1694" s="80"/>
      <c r="K1694" s="222"/>
    </row>
    <row r="1695" spans="1:11" ht="28.5">
      <c r="A1695" s="623" t="s">
        <v>364</v>
      </c>
      <c r="B1695" s="624"/>
      <c r="C1695" s="69" t="s">
        <v>3</v>
      </c>
      <c r="D1695" s="69" t="s">
        <v>4</v>
      </c>
      <c r="E1695" s="69" t="s">
        <v>1826</v>
      </c>
      <c r="F1695" s="69" t="s">
        <v>367</v>
      </c>
      <c r="G1695" s="69" t="s">
        <v>368</v>
      </c>
      <c r="K1695" s="222"/>
    </row>
    <row r="1696" spans="1:11" s="23" customFormat="1">
      <c r="A1696" s="21" t="s">
        <v>610</v>
      </c>
      <c r="B1696" s="70" t="s">
        <v>611</v>
      </c>
      <c r="C1696" s="21" t="s">
        <v>70</v>
      </c>
      <c r="D1696" s="21" t="s">
        <v>52</v>
      </c>
      <c r="E1696" s="22">
        <v>1.5</v>
      </c>
      <c r="F1696" s="22">
        <f t="shared" ref="F1696:F1703" si="100">H1696</f>
        <v>2.5499999999999998</v>
      </c>
      <c r="G1696" s="22">
        <f t="shared" ref="G1696:G1703" si="101">ROUND(F1696*E1696,2)</f>
        <v>3.83</v>
      </c>
      <c r="H1696" s="346">
        <v>2.5499999999999998</v>
      </c>
      <c r="J1696" s="346"/>
      <c r="K1696" s="222"/>
    </row>
    <row r="1697" spans="1:11">
      <c r="A1697" s="92">
        <v>25862</v>
      </c>
      <c r="B1697" s="70" t="s">
        <v>612</v>
      </c>
      <c r="C1697" s="21" t="s">
        <v>12</v>
      </c>
      <c r="D1697" s="21" t="s">
        <v>26</v>
      </c>
      <c r="E1697" s="22">
        <v>8.7800000000000003E-2</v>
      </c>
      <c r="F1697" s="22">
        <f t="shared" si="100"/>
        <v>14.297000000000001</v>
      </c>
      <c r="G1697" s="22">
        <f t="shared" si="101"/>
        <v>1.26</v>
      </c>
      <c r="H1697" s="337">
        <v>14.297000000000001</v>
      </c>
      <c r="I1697" s="23" t="e">
        <f>IF(A1697&lt;&gt;0,VLOOKUP(A1697,#REF!,2,FALSE),"")</f>
        <v>#REF!</v>
      </c>
      <c r="K1697" s="222"/>
    </row>
    <row r="1698" spans="1:11">
      <c r="A1698" s="92">
        <v>39897</v>
      </c>
      <c r="B1698" s="70" t="s">
        <v>613</v>
      </c>
      <c r="C1698" s="21" t="s">
        <v>12</v>
      </c>
      <c r="D1698" s="21" t="s">
        <v>17</v>
      </c>
      <c r="E1698" s="22">
        <v>1.1999999999999999E-3</v>
      </c>
      <c r="F1698" s="22">
        <f t="shared" si="100"/>
        <v>44.0045</v>
      </c>
      <c r="G1698" s="22">
        <f t="shared" si="101"/>
        <v>0.05</v>
      </c>
      <c r="H1698" s="337">
        <v>44.0045</v>
      </c>
      <c r="I1698" s="23" t="e">
        <f>IF(A1698&lt;&gt;0,VLOOKUP(A1698,#REF!,2,FALSE),"")</f>
        <v>#REF!</v>
      </c>
      <c r="K1698" s="222"/>
    </row>
    <row r="1699" spans="1:11" s="23" customFormat="1">
      <c r="A1699" s="21" t="s">
        <v>614</v>
      </c>
      <c r="B1699" s="70" t="s">
        <v>615</v>
      </c>
      <c r="C1699" s="21" t="s">
        <v>70</v>
      </c>
      <c r="D1699" s="21" t="s">
        <v>45</v>
      </c>
      <c r="E1699" s="22">
        <v>8.3999999999999995E-3</v>
      </c>
      <c r="F1699" s="22">
        <f t="shared" si="100"/>
        <v>70.32050000000001</v>
      </c>
      <c r="G1699" s="22">
        <f t="shared" si="101"/>
        <v>0.59</v>
      </c>
      <c r="H1699" s="346">
        <v>70.32050000000001</v>
      </c>
      <c r="J1699" s="346"/>
      <c r="K1699" s="222"/>
    </row>
    <row r="1700" spans="1:11" s="38" customFormat="1">
      <c r="A1700" s="20">
        <v>7469</v>
      </c>
      <c r="B1700" s="70" t="s">
        <v>2518</v>
      </c>
      <c r="C1700" s="21" t="s">
        <v>44</v>
      </c>
      <c r="D1700" s="21" t="s">
        <v>52</v>
      </c>
      <c r="E1700" s="22">
        <v>1.1000000000000001</v>
      </c>
      <c r="F1700" s="22">
        <f t="shared" si="100"/>
        <v>41.726500000000001</v>
      </c>
      <c r="G1700" s="22">
        <f t="shared" si="101"/>
        <v>45.9</v>
      </c>
      <c r="H1700" s="336">
        <v>41.726500000000001</v>
      </c>
      <c r="I1700" s="38" t="e">
        <f>IF(A1700&lt;&gt;0,VLOOKUP(A1700,#REF!,2,FALSE),"")</f>
        <v>#REF!</v>
      </c>
      <c r="J1700" s="336"/>
      <c r="K1700" s="222"/>
    </row>
    <row r="1701" spans="1:11" ht="30">
      <c r="A1701" s="20">
        <v>88267</v>
      </c>
      <c r="B1701" s="70" t="s">
        <v>472</v>
      </c>
      <c r="C1701" s="21" t="s">
        <v>12</v>
      </c>
      <c r="D1701" s="21" t="s">
        <v>19</v>
      </c>
      <c r="E1701" s="22">
        <v>0.45</v>
      </c>
      <c r="F1701" s="22">
        <f t="shared" si="100"/>
        <v>14.7135</v>
      </c>
      <c r="G1701" s="22">
        <f t="shared" si="101"/>
        <v>6.62</v>
      </c>
      <c r="H1701" s="337">
        <v>14.7135</v>
      </c>
      <c r="I1701" s="23" t="e">
        <f>IF(A1701&lt;&gt;0,VLOOKUP(A1701,#REF!,2,FALSE),"")</f>
        <v>#REF!</v>
      </c>
      <c r="K1701" s="222"/>
    </row>
    <row r="1702" spans="1:11" ht="45">
      <c r="A1702" s="20">
        <v>88248</v>
      </c>
      <c r="B1702" s="70" t="s">
        <v>473</v>
      </c>
      <c r="C1702" s="21" t="s">
        <v>12</v>
      </c>
      <c r="D1702" s="21" t="s">
        <v>19</v>
      </c>
      <c r="E1702" s="22">
        <v>0.45</v>
      </c>
      <c r="F1702" s="22">
        <f t="shared" si="100"/>
        <v>11.483499999999999</v>
      </c>
      <c r="G1702" s="22">
        <f t="shared" si="101"/>
        <v>5.17</v>
      </c>
      <c r="H1702" s="337">
        <v>11.483499999999999</v>
      </c>
      <c r="I1702" s="23" t="e">
        <f>IF(A1702&lt;&gt;0,VLOOKUP(A1702,#REF!,2,FALSE),"")</f>
        <v>#REF!</v>
      </c>
      <c r="K1702" s="222"/>
    </row>
    <row r="1703" spans="1:11" s="38" customFormat="1" ht="30">
      <c r="A1703" s="20">
        <v>8114</v>
      </c>
      <c r="B1703" s="70" t="s">
        <v>618</v>
      </c>
      <c r="C1703" s="21" t="s">
        <v>44</v>
      </c>
      <c r="D1703" s="21" t="s">
        <v>52</v>
      </c>
      <c r="E1703" s="22">
        <v>1.1000000000000001</v>
      </c>
      <c r="F1703" s="22">
        <f t="shared" si="100"/>
        <v>1.9209999999999998</v>
      </c>
      <c r="G1703" s="22">
        <f t="shared" si="101"/>
        <v>2.11</v>
      </c>
      <c r="H1703" s="336">
        <v>1.9209999999999998</v>
      </c>
      <c r="I1703" s="38" t="e">
        <f>IF(A1703&lt;&gt;0,VLOOKUP(A1703,#REF!,2,FALSE),"")</f>
        <v>#REF!</v>
      </c>
      <c r="J1703" s="336"/>
      <c r="K1703" s="222"/>
    </row>
    <row r="1704" spans="1:11" ht="15" customHeight="1">
      <c r="A1704" s="620" t="s">
        <v>1893</v>
      </c>
      <c r="B1704" s="621"/>
      <c r="C1704" s="621"/>
      <c r="D1704" s="621"/>
      <c r="E1704" s="621"/>
      <c r="F1704" s="622"/>
      <c r="G1704" s="71">
        <f>ROUND(SUM(G1696:G1703),2)</f>
        <v>65.53</v>
      </c>
      <c r="K1704" s="222"/>
    </row>
    <row r="1705" spans="1:11" ht="27" customHeight="1">
      <c r="A1705" s="72"/>
      <c r="B1705" s="72"/>
      <c r="C1705" s="752"/>
      <c r="D1705" s="753"/>
      <c r="E1705" s="72"/>
      <c r="F1705" s="72"/>
      <c r="G1705" s="72"/>
      <c r="K1705" s="222"/>
    </row>
    <row r="1706" spans="1:11" ht="34.5" customHeight="1">
      <c r="A1706" s="612" t="s">
        <v>2579</v>
      </c>
      <c r="B1706" s="613"/>
      <c r="C1706" s="613"/>
      <c r="D1706" s="613"/>
      <c r="E1706" s="613"/>
      <c r="F1706" s="69" t="s">
        <v>1914</v>
      </c>
      <c r="G1706" s="93"/>
      <c r="K1706" s="222"/>
    </row>
    <row r="1707" spans="1:11" ht="28.5">
      <c r="A1707" s="623" t="s">
        <v>1916</v>
      </c>
      <c r="B1707" s="624"/>
      <c r="C1707" s="69" t="s">
        <v>3</v>
      </c>
      <c r="D1707" s="69" t="s">
        <v>4</v>
      </c>
      <c r="E1707" s="69" t="s">
        <v>1826</v>
      </c>
      <c r="F1707" s="69" t="s">
        <v>367</v>
      </c>
      <c r="G1707" s="69" t="s">
        <v>368</v>
      </c>
      <c r="K1707" s="222"/>
    </row>
    <row r="1708" spans="1:11" ht="45">
      <c r="A1708" s="20">
        <v>7319</v>
      </c>
      <c r="B1708" s="70" t="s">
        <v>619</v>
      </c>
      <c r="C1708" s="21" t="s">
        <v>12</v>
      </c>
      <c r="D1708" s="21" t="s">
        <v>381</v>
      </c>
      <c r="E1708" s="22">
        <v>0.4</v>
      </c>
      <c r="F1708" s="22">
        <f>H1708</f>
        <v>9.3330000000000002</v>
      </c>
      <c r="G1708" s="22">
        <f>ROUND(F1708*E1708,2)</f>
        <v>3.73</v>
      </c>
      <c r="H1708" s="337">
        <v>9.3330000000000002</v>
      </c>
      <c r="I1708" s="23" t="e">
        <f>IF(A1708&lt;&gt;0,VLOOKUP(A1708,#REF!,2,FALSE),"")</f>
        <v>#REF!</v>
      </c>
      <c r="K1708" s="222"/>
    </row>
    <row r="1709" spans="1:11">
      <c r="A1709" s="20">
        <v>88316</v>
      </c>
      <c r="B1709" s="70" t="e">
        <f>I1709</f>
        <v>#REF!</v>
      </c>
      <c r="C1709" s="21" t="s">
        <v>12</v>
      </c>
      <c r="D1709" s="21" t="s">
        <v>19</v>
      </c>
      <c r="E1709" s="22">
        <v>0.4</v>
      </c>
      <c r="F1709" s="22">
        <f>H1709</f>
        <v>11.798000000000002</v>
      </c>
      <c r="G1709" s="22">
        <f>ROUND(F1709*E1709,2)</f>
        <v>4.72</v>
      </c>
      <c r="H1709" s="337">
        <v>11.798000000000002</v>
      </c>
      <c r="I1709" s="23" t="e">
        <f>IF(A1709&lt;&gt;0,VLOOKUP(A1709,#REF!,2,FALSE),"")</f>
        <v>#REF!</v>
      </c>
      <c r="K1709" s="222"/>
    </row>
    <row r="1710" spans="1:11" ht="15" customHeight="1">
      <c r="A1710" s="620" t="s">
        <v>1893</v>
      </c>
      <c r="B1710" s="621"/>
      <c r="C1710" s="621"/>
      <c r="D1710" s="621"/>
      <c r="E1710" s="621"/>
      <c r="F1710" s="622"/>
      <c r="G1710" s="71">
        <f>ROUND(SUM(G1708:G1709),2)</f>
        <v>8.4499999999999993</v>
      </c>
      <c r="K1710" s="222"/>
    </row>
    <row r="1711" spans="1:11" ht="27.75" customHeight="1">
      <c r="A1711" s="72"/>
      <c r="B1711" s="72"/>
      <c r="C1711" s="752"/>
      <c r="D1711" s="753"/>
      <c r="E1711" s="72"/>
      <c r="F1711" s="72"/>
      <c r="G1711" s="72"/>
      <c r="K1711" s="222"/>
    </row>
    <row r="1712" spans="1:11" ht="36" customHeight="1">
      <c r="A1712" s="612" t="s">
        <v>2125</v>
      </c>
      <c r="B1712" s="613"/>
      <c r="C1712" s="613"/>
      <c r="D1712" s="613"/>
      <c r="E1712" s="613"/>
      <c r="F1712" s="69" t="s">
        <v>1914</v>
      </c>
      <c r="G1712" s="80"/>
      <c r="K1712" s="222"/>
    </row>
    <row r="1713" spans="1:11" ht="28.5">
      <c r="A1713" s="623" t="s">
        <v>1916</v>
      </c>
      <c r="B1713" s="624"/>
      <c r="C1713" s="69" t="s">
        <v>3</v>
      </c>
      <c r="D1713" s="69" t="s">
        <v>4</v>
      </c>
      <c r="E1713" s="69" t="s">
        <v>1826</v>
      </c>
      <c r="F1713" s="69" t="s">
        <v>367</v>
      </c>
      <c r="G1713" s="69" t="s">
        <v>368</v>
      </c>
      <c r="K1713" s="222"/>
    </row>
    <row r="1714" spans="1:11" ht="45">
      <c r="A1714" s="20">
        <v>123</v>
      </c>
      <c r="B1714" s="70" t="s">
        <v>391</v>
      </c>
      <c r="C1714" s="21" t="s">
        <v>12</v>
      </c>
      <c r="D1714" s="21" t="s">
        <v>45</v>
      </c>
      <c r="E1714" s="22">
        <v>0.37840000000000001</v>
      </c>
      <c r="F1714" s="22">
        <f>H1714</f>
        <v>5.8650000000000002</v>
      </c>
      <c r="G1714" s="22">
        <f>ROUND(F1714*E1714,2)</f>
        <v>2.2200000000000002</v>
      </c>
      <c r="H1714" s="337">
        <v>5.8650000000000002</v>
      </c>
      <c r="I1714" s="23" t="e">
        <f>IF(A1714&lt;&gt;0,VLOOKUP(A1714,#REF!,2,FALSE),"")</f>
        <v>#REF!</v>
      </c>
      <c r="K1714" s="222"/>
    </row>
    <row r="1715" spans="1:11" ht="45">
      <c r="A1715" s="20">
        <v>87298</v>
      </c>
      <c r="B1715" s="70" t="s">
        <v>1796</v>
      </c>
      <c r="C1715" s="21" t="s">
        <v>12</v>
      </c>
      <c r="D1715" s="21" t="s">
        <v>35</v>
      </c>
      <c r="E1715" s="22">
        <v>0.02</v>
      </c>
      <c r="F1715" s="22">
        <f>H1715</f>
        <v>467.32149999999996</v>
      </c>
      <c r="G1715" s="22">
        <f>ROUND(F1715*E1715,2)</f>
        <v>9.35</v>
      </c>
      <c r="H1715" s="337">
        <v>467.32149999999996</v>
      </c>
      <c r="I1715" s="23" t="e">
        <f>IF(A1715&lt;&gt;0,VLOOKUP(A1715,#REF!,2,FALSE),"")</f>
        <v>#REF!</v>
      </c>
      <c r="K1715" s="222"/>
    </row>
    <row r="1716" spans="1:11" ht="30">
      <c r="A1716" s="20">
        <v>88309</v>
      </c>
      <c r="B1716" s="70" t="s">
        <v>390</v>
      </c>
      <c r="C1716" s="21" t="s">
        <v>12</v>
      </c>
      <c r="D1716" s="21" t="s">
        <v>19</v>
      </c>
      <c r="E1716" s="22">
        <v>0.75</v>
      </c>
      <c r="F1716" s="22">
        <f>H1716</f>
        <v>15.121499999999999</v>
      </c>
      <c r="G1716" s="22">
        <f>ROUND(F1716*E1716,2)</f>
        <v>11.34</v>
      </c>
      <c r="H1716" s="337">
        <v>15.121499999999999</v>
      </c>
      <c r="I1716" s="23" t="e">
        <f>IF(A1716&lt;&gt;0,VLOOKUP(A1716,#REF!,2,FALSE),"")</f>
        <v>#REF!</v>
      </c>
      <c r="K1716" s="222"/>
    </row>
    <row r="1717" spans="1:11" ht="30">
      <c r="A1717" s="20">
        <v>88316</v>
      </c>
      <c r="B1717" s="70" t="s">
        <v>377</v>
      </c>
      <c r="C1717" s="21" t="s">
        <v>12</v>
      </c>
      <c r="D1717" s="21" t="s">
        <v>19</v>
      </c>
      <c r="E1717" s="22">
        <v>0.75</v>
      </c>
      <c r="F1717" s="22">
        <f>H1717</f>
        <v>11.798000000000002</v>
      </c>
      <c r="G1717" s="22">
        <f>ROUND(F1717*E1717,2)</f>
        <v>8.85</v>
      </c>
      <c r="H1717" s="337">
        <v>11.798000000000002</v>
      </c>
      <c r="I1717" s="23" t="e">
        <f>IF(A1717&lt;&gt;0,VLOOKUP(A1717,#REF!,2,FALSE),"")</f>
        <v>#REF!</v>
      </c>
      <c r="K1717" s="222"/>
    </row>
    <row r="1718" spans="1:11" ht="15" customHeight="1">
      <c r="A1718" s="620" t="s">
        <v>1893</v>
      </c>
      <c r="B1718" s="621"/>
      <c r="C1718" s="621"/>
      <c r="D1718" s="621"/>
      <c r="E1718" s="621"/>
      <c r="F1718" s="622"/>
      <c r="G1718" s="71">
        <f>ROUND(SUM(G1714:G1717),2)</f>
        <v>31.76</v>
      </c>
      <c r="K1718" s="222"/>
    </row>
    <row r="1719" spans="1:11" ht="28.5" customHeight="1">
      <c r="A1719" s="72"/>
      <c r="B1719" s="72"/>
      <c r="C1719" s="752"/>
      <c r="D1719" s="753"/>
      <c r="E1719" s="72"/>
      <c r="F1719" s="72"/>
      <c r="G1719" s="72"/>
      <c r="K1719" s="222"/>
    </row>
    <row r="1720" spans="1:11" ht="50.25" customHeight="1">
      <c r="A1720" s="612" t="s">
        <v>2580</v>
      </c>
      <c r="B1720" s="613"/>
      <c r="C1720" s="613"/>
      <c r="D1720" s="613"/>
      <c r="E1720" s="613"/>
      <c r="F1720" s="69" t="s">
        <v>1914</v>
      </c>
      <c r="G1720" s="80"/>
      <c r="K1720" s="222"/>
    </row>
    <row r="1721" spans="1:11" ht="28.5">
      <c r="A1721" s="623" t="s">
        <v>1916</v>
      </c>
      <c r="B1721" s="624"/>
      <c r="C1721" s="69" t="s">
        <v>3</v>
      </c>
      <c r="D1721" s="69" t="s">
        <v>4</v>
      </c>
      <c r="E1721" s="69" t="s">
        <v>1826</v>
      </c>
      <c r="F1721" s="69" t="s">
        <v>367</v>
      </c>
      <c r="G1721" s="69" t="s">
        <v>368</v>
      </c>
      <c r="K1721" s="222"/>
    </row>
    <row r="1722" spans="1:11" ht="75">
      <c r="A1722" s="20">
        <v>626</v>
      </c>
      <c r="B1722" s="70" t="s">
        <v>620</v>
      </c>
      <c r="C1722" s="21" t="s">
        <v>12</v>
      </c>
      <c r="D1722" s="21" t="s">
        <v>45</v>
      </c>
      <c r="E1722" s="22">
        <v>0.1108</v>
      </c>
      <c r="F1722" s="22">
        <f>H1722</f>
        <v>14.653999999999998</v>
      </c>
      <c r="G1722" s="22">
        <f>ROUND(F1722*E1722,2)</f>
        <v>1.62</v>
      </c>
      <c r="H1722" s="337">
        <v>14.653999999999998</v>
      </c>
      <c r="I1722" s="23" t="e">
        <f>IF(A1722&lt;&gt;0,VLOOKUP(A1722,#REF!,2,FALSE),"")</f>
        <v>#REF!</v>
      </c>
      <c r="K1722" s="222"/>
    </row>
    <row r="1723" spans="1:11" ht="45">
      <c r="A1723" s="20">
        <v>11621</v>
      </c>
      <c r="B1723" s="70" t="s">
        <v>621</v>
      </c>
      <c r="C1723" s="21" t="s">
        <v>12</v>
      </c>
      <c r="D1723" s="21" t="s">
        <v>26</v>
      </c>
      <c r="E1723" s="22">
        <v>1.1000000000000001</v>
      </c>
      <c r="F1723" s="22">
        <f>H1723</f>
        <v>41.344000000000001</v>
      </c>
      <c r="G1723" s="22">
        <f>ROUND(F1723*E1723,2)</f>
        <v>45.48</v>
      </c>
      <c r="H1723" s="337">
        <v>41.344000000000001</v>
      </c>
      <c r="I1723" s="23" t="e">
        <f>IF(A1723&lt;&gt;0,VLOOKUP(A1723,#REF!,2,FALSE),"")</f>
        <v>#REF!</v>
      </c>
      <c r="K1723" s="222"/>
    </row>
    <row r="1724" spans="1:11" ht="30">
      <c r="A1724" s="20">
        <v>88270</v>
      </c>
      <c r="B1724" s="70" t="s">
        <v>622</v>
      </c>
      <c r="C1724" s="21" t="s">
        <v>12</v>
      </c>
      <c r="D1724" s="21" t="s">
        <v>19</v>
      </c>
      <c r="E1724" s="22">
        <v>1</v>
      </c>
      <c r="F1724" s="22">
        <f>H1724</f>
        <v>15.121499999999999</v>
      </c>
      <c r="G1724" s="22">
        <f>ROUND(F1724*E1724,2)</f>
        <v>15.12</v>
      </c>
      <c r="H1724" s="337">
        <v>15.121499999999999</v>
      </c>
      <c r="I1724" s="23" t="e">
        <f>IF(A1724&lt;&gt;0,VLOOKUP(A1724,#REF!,2,FALSE),"")</f>
        <v>#REF!</v>
      </c>
      <c r="K1724" s="222"/>
    </row>
    <row r="1725" spans="1:11" ht="30">
      <c r="A1725" s="20">
        <v>88316</v>
      </c>
      <c r="B1725" s="70" t="s">
        <v>377</v>
      </c>
      <c r="C1725" s="21" t="s">
        <v>12</v>
      </c>
      <c r="D1725" s="21" t="s">
        <v>19</v>
      </c>
      <c r="E1725" s="22">
        <v>1.18</v>
      </c>
      <c r="F1725" s="22">
        <f>H1725</f>
        <v>11.798000000000002</v>
      </c>
      <c r="G1725" s="22">
        <f>ROUND(F1725*E1725,2)</f>
        <v>13.92</v>
      </c>
      <c r="H1725" s="337">
        <v>11.798000000000002</v>
      </c>
      <c r="I1725" s="23" t="e">
        <f>IF(A1725&lt;&gt;0,VLOOKUP(A1725,#REF!,2,FALSE),"")</f>
        <v>#REF!</v>
      </c>
      <c r="K1725" s="222"/>
    </row>
    <row r="1726" spans="1:11" ht="15" customHeight="1">
      <c r="A1726" s="620" t="s">
        <v>1893</v>
      </c>
      <c r="B1726" s="621"/>
      <c r="C1726" s="621"/>
      <c r="D1726" s="621"/>
      <c r="E1726" s="621"/>
      <c r="F1726" s="622"/>
      <c r="G1726" s="71">
        <f>ROUND(SUM(G1722:G1725),2)</f>
        <v>76.14</v>
      </c>
      <c r="K1726" s="222"/>
    </row>
    <row r="1727" spans="1:11" ht="28.5" customHeight="1">
      <c r="A1727" s="72"/>
      <c r="B1727" s="72"/>
      <c r="C1727" s="752"/>
      <c r="D1727" s="753"/>
      <c r="E1727" s="72"/>
      <c r="F1727" s="72"/>
      <c r="G1727" s="72"/>
      <c r="K1727" s="222"/>
    </row>
    <row r="1728" spans="1:11" ht="22.5" customHeight="1">
      <c r="A1728" s="612" t="s">
        <v>2417</v>
      </c>
      <c r="B1728" s="613"/>
      <c r="C1728" s="613"/>
      <c r="D1728" s="613"/>
      <c r="E1728" s="614"/>
      <c r="F1728" s="69" t="s">
        <v>1914</v>
      </c>
      <c r="G1728" s="80"/>
      <c r="K1728" s="222"/>
    </row>
    <row r="1729" spans="1:11" ht="28.5">
      <c r="A1729" s="623" t="s">
        <v>364</v>
      </c>
      <c r="B1729" s="624"/>
      <c r="C1729" s="69" t="s">
        <v>3</v>
      </c>
      <c r="D1729" s="69" t="s">
        <v>4</v>
      </c>
      <c r="E1729" s="69" t="s">
        <v>1826</v>
      </c>
      <c r="F1729" s="69" t="s">
        <v>367</v>
      </c>
      <c r="G1729" s="69" t="s">
        <v>368</v>
      </c>
      <c r="K1729" s="222"/>
    </row>
    <row r="1730" spans="1:11">
      <c r="A1730" s="20">
        <v>1337</v>
      </c>
      <c r="B1730" s="70" t="s">
        <v>624</v>
      </c>
      <c r="C1730" s="21" t="s">
        <v>89</v>
      </c>
      <c r="D1730" s="21" t="s">
        <v>45</v>
      </c>
      <c r="E1730" s="22">
        <v>4.9400000000000004</v>
      </c>
      <c r="F1730" s="22">
        <f>H1730</f>
        <v>8.9589999999999996</v>
      </c>
      <c r="G1730" s="22">
        <f>ROUND(F1730*E1730,2)</f>
        <v>44.26</v>
      </c>
      <c r="H1730" s="337">
        <v>8.9589999999999996</v>
      </c>
      <c r="I1730" s="23" t="e">
        <f>IF(A1730&lt;&gt;0,VLOOKUP(A1730,#REF!,2,FALSE),"")</f>
        <v>#REF!</v>
      </c>
      <c r="K1730" s="222"/>
    </row>
    <row r="1731" spans="1:11" ht="30">
      <c r="A1731" s="20">
        <v>1319</v>
      </c>
      <c r="B1731" s="70" t="s">
        <v>625</v>
      </c>
      <c r="C1731" s="21" t="s">
        <v>12</v>
      </c>
      <c r="D1731" s="21" t="s">
        <v>45</v>
      </c>
      <c r="E1731" s="22">
        <v>16.312999999999999</v>
      </c>
      <c r="F1731" s="22">
        <f>H1731</f>
        <v>7.1995000000000005</v>
      </c>
      <c r="G1731" s="22">
        <f>ROUND(F1731*E1731,2)</f>
        <v>117.45</v>
      </c>
      <c r="H1731" s="337">
        <v>7.1995000000000005</v>
      </c>
      <c r="I1731" s="23" t="e">
        <f>IF(A1731&lt;&gt;0,VLOOKUP(A1731,#REF!,2,FALSE),"")</f>
        <v>#REF!</v>
      </c>
      <c r="K1731" s="222"/>
    </row>
    <row r="1732" spans="1:11" ht="30">
      <c r="A1732" s="20">
        <v>7691</v>
      </c>
      <c r="B1732" s="70" t="s">
        <v>626</v>
      </c>
      <c r="C1732" s="21" t="s">
        <v>12</v>
      </c>
      <c r="D1732" s="21" t="s">
        <v>52</v>
      </c>
      <c r="E1732" s="22">
        <v>21.315999999999999</v>
      </c>
      <c r="F1732" s="22">
        <f>H1732</f>
        <v>19.158999999999999</v>
      </c>
      <c r="G1732" s="22">
        <f>ROUND(F1732*E1732,2)</f>
        <v>408.39</v>
      </c>
      <c r="H1732" s="337">
        <v>19.158999999999999</v>
      </c>
      <c r="I1732" s="23" t="e">
        <f>IF(A1732&lt;&gt;0,VLOOKUP(A1732,#REF!,2,FALSE),"")</f>
        <v>#REF!</v>
      </c>
      <c r="K1732" s="222"/>
    </row>
    <row r="1733" spans="1:11" ht="30">
      <c r="A1733" s="20">
        <v>88315</v>
      </c>
      <c r="B1733" s="70" t="s">
        <v>420</v>
      </c>
      <c r="C1733" s="21" t="s">
        <v>12</v>
      </c>
      <c r="D1733" s="21" t="s">
        <v>19</v>
      </c>
      <c r="E1733" s="22">
        <v>0.92800000000000005</v>
      </c>
      <c r="F1733" s="22">
        <f>H1733</f>
        <v>15.045</v>
      </c>
      <c r="G1733" s="22">
        <f>ROUND(F1733*E1733,2)</f>
        <v>13.96</v>
      </c>
      <c r="H1733" s="337">
        <v>15.045</v>
      </c>
      <c r="I1733" s="23" t="e">
        <f>IF(A1733&lt;&gt;0,VLOOKUP(A1733,#REF!,2,FALSE),"")</f>
        <v>#REF!</v>
      </c>
      <c r="K1733" s="222"/>
    </row>
    <row r="1734" spans="1:11" ht="30">
      <c r="A1734" s="20">
        <v>88251</v>
      </c>
      <c r="B1734" s="70" t="s">
        <v>445</v>
      </c>
      <c r="C1734" s="21" t="s">
        <v>12</v>
      </c>
      <c r="D1734" s="21" t="s">
        <v>19</v>
      </c>
      <c r="E1734" s="22">
        <v>0.92800000000000005</v>
      </c>
      <c r="F1734" s="22">
        <f>H1734</f>
        <v>12.2485</v>
      </c>
      <c r="G1734" s="22">
        <f>ROUND(F1734*E1734,2)</f>
        <v>11.37</v>
      </c>
      <c r="H1734" s="337">
        <v>12.2485</v>
      </c>
      <c r="I1734" s="23" t="e">
        <f>IF(A1734&lt;&gt;0,VLOOKUP(A1734,#REF!,2,FALSE),"")</f>
        <v>#REF!</v>
      </c>
      <c r="K1734" s="222"/>
    </row>
    <row r="1735" spans="1:11" ht="15" customHeight="1">
      <c r="A1735" s="620" t="s">
        <v>1893</v>
      </c>
      <c r="B1735" s="621"/>
      <c r="C1735" s="621"/>
      <c r="D1735" s="621"/>
      <c r="E1735" s="621"/>
      <c r="F1735" s="622"/>
      <c r="G1735" s="71">
        <f>ROUND(SUM(G1730:G1734),2)</f>
        <v>595.42999999999995</v>
      </c>
      <c r="K1735" s="222"/>
    </row>
    <row r="1736" spans="1:11" ht="24" customHeight="1">
      <c r="A1736" s="72"/>
      <c r="B1736" s="72"/>
      <c r="C1736" s="752"/>
      <c r="D1736" s="753"/>
      <c r="E1736" s="72"/>
      <c r="F1736" s="72"/>
      <c r="G1736" s="72"/>
      <c r="K1736" s="222"/>
    </row>
    <row r="1737" spans="1:11" ht="27.75" customHeight="1">
      <c r="A1737" s="612" t="s">
        <v>2126</v>
      </c>
      <c r="B1737" s="613"/>
      <c r="C1737" s="613"/>
      <c r="D1737" s="613"/>
      <c r="E1737" s="614"/>
      <c r="F1737" s="69" t="s">
        <v>1914</v>
      </c>
      <c r="G1737" s="80"/>
      <c r="K1737" s="222"/>
    </row>
    <row r="1738" spans="1:11" ht="28.5">
      <c r="A1738" s="623" t="s">
        <v>364</v>
      </c>
      <c r="B1738" s="624"/>
      <c r="C1738" s="69" t="s">
        <v>3</v>
      </c>
      <c r="D1738" s="69" t="s">
        <v>4</v>
      </c>
      <c r="E1738" s="69" t="s">
        <v>1826</v>
      </c>
      <c r="F1738" s="69" t="s">
        <v>367</v>
      </c>
      <c r="G1738" s="69" t="s">
        <v>368</v>
      </c>
      <c r="K1738" s="222"/>
    </row>
    <row r="1739" spans="1:11" ht="30">
      <c r="A1739" s="20">
        <v>13284</v>
      </c>
      <c r="B1739" s="70" t="s">
        <v>443</v>
      </c>
      <c r="C1739" s="21" t="s">
        <v>12</v>
      </c>
      <c r="D1739" s="21" t="s">
        <v>45</v>
      </c>
      <c r="E1739" s="22">
        <v>0.4</v>
      </c>
      <c r="F1739" s="22">
        <f>H1739</f>
        <v>0.60349999999999993</v>
      </c>
      <c r="G1739" s="22">
        <f>ROUND(F1739*E1739,2)</f>
        <v>0.24</v>
      </c>
      <c r="H1739" s="337">
        <v>0.60349999999999993</v>
      </c>
      <c r="I1739" s="23" t="e">
        <f>IF(A1739&lt;&gt;0,VLOOKUP(A1739,#REF!,2,FALSE),"")</f>
        <v>#REF!</v>
      </c>
      <c r="K1739" s="222"/>
    </row>
    <row r="1740" spans="1:11" ht="45">
      <c r="A1740" s="20">
        <v>367</v>
      </c>
      <c r="B1740" s="70" t="s">
        <v>444</v>
      </c>
      <c r="C1740" s="21" t="s">
        <v>12</v>
      </c>
      <c r="D1740" s="21" t="s">
        <v>35</v>
      </c>
      <c r="E1740" s="22">
        <v>1E-3</v>
      </c>
      <c r="F1740" s="22">
        <f>H1740</f>
        <v>43.919499999999999</v>
      </c>
      <c r="G1740" s="22">
        <f>ROUND(F1740*E1740,2)</f>
        <v>0.04</v>
      </c>
      <c r="H1740" s="337">
        <v>43.919499999999999</v>
      </c>
      <c r="I1740" s="23" t="e">
        <f>IF(A1740&lt;&gt;0,VLOOKUP(A1740,#REF!,2,FALSE),"")</f>
        <v>#REF!</v>
      </c>
      <c r="K1740" s="222"/>
    </row>
    <row r="1741" spans="1:11" s="38" customFormat="1" ht="30">
      <c r="A1741" s="20">
        <v>10084</v>
      </c>
      <c r="B1741" s="70" t="s">
        <v>627</v>
      </c>
      <c r="C1741" s="21" t="s">
        <v>44</v>
      </c>
      <c r="D1741" s="21" t="s">
        <v>52</v>
      </c>
      <c r="E1741" s="22">
        <v>1</v>
      </c>
      <c r="F1741" s="22">
        <f>H1741</f>
        <v>1281.307</v>
      </c>
      <c r="G1741" s="22">
        <f>ROUND(F1741*E1741,2)</f>
        <v>1281.31</v>
      </c>
      <c r="H1741" s="336">
        <v>1281.307</v>
      </c>
      <c r="I1741" s="38" t="e">
        <f>IF(A1741&lt;&gt;0,VLOOKUP(A1741,#REF!,2,FALSE),"")</f>
        <v>#REF!</v>
      </c>
      <c r="J1741" s="336"/>
      <c r="K1741" s="222"/>
    </row>
    <row r="1742" spans="1:11" ht="30">
      <c r="A1742" s="20">
        <v>88315</v>
      </c>
      <c r="B1742" s="70" t="s">
        <v>420</v>
      </c>
      <c r="C1742" s="21" t="s">
        <v>12</v>
      </c>
      <c r="D1742" s="21" t="s">
        <v>19</v>
      </c>
      <c r="E1742" s="22">
        <v>0.41</v>
      </c>
      <c r="F1742" s="22">
        <f>H1742</f>
        <v>15.045</v>
      </c>
      <c r="G1742" s="22">
        <f>ROUND(F1742*E1742,2)</f>
        <v>6.17</v>
      </c>
      <c r="H1742" s="337">
        <v>15.045</v>
      </c>
      <c r="I1742" s="23" t="e">
        <f>IF(A1742&lt;&gt;0,VLOOKUP(A1742,#REF!,2,FALSE),"")</f>
        <v>#REF!</v>
      </c>
      <c r="K1742" s="222"/>
    </row>
    <row r="1743" spans="1:11" ht="30">
      <c r="A1743" s="20">
        <v>88251</v>
      </c>
      <c r="B1743" s="70" t="s">
        <v>445</v>
      </c>
      <c r="C1743" s="21" t="s">
        <v>12</v>
      </c>
      <c r="D1743" s="21" t="s">
        <v>19</v>
      </c>
      <c r="E1743" s="22">
        <v>0.41</v>
      </c>
      <c r="F1743" s="22">
        <f>H1743</f>
        <v>12.2485</v>
      </c>
      <c r="G1743" s="22">
        <f>ROUND(F1743*E1743,2)</f>
        <v>5.0199999999999996</v>
      </c>
      <c r="H1743" s="337">
        <v>12.2485</v>
      </c>
      <c r="I1743" s="23" t="e">
        <f>IF(A1743&lt;&gt;0,VLOOKUP(A1743,#REF!,2,FALSE),"")</f>
        <v>#REF!</v>
      </c>
      <c r="K1743" s="222"/>
    </row>
    <row r="1744" spans="1:11" ht="15" customHeight="1">
      <c r="A1744" s="620" t="s">
        <v>1893</v>
      </c>
      <c r="B1744" s="621"/>
      <c r="C1744" s="621"/>
      <c r="D1744" s="621"/>
      <c r="E1744" s="621"/>
      <c r="F1744" s="622"/>
      <c r="G1744" s="71">
        <f>ROUND(SUM(G1739:G1743),2)</f>
        <v>1292.78</v>
      </c>
      <c r="K1744" s="222"/>
    </row>
    <row r="1745" spans="1:11">
      <c r="A1745" s="72"/>
      <c r="B1745" s="72"/>
      <c r="C1745" s="752"/>
      <c r="D1745" s="753"/>
      <c r="E1745" s="72"/>
      <c r="F1745" s="72"/>
      <c r="G1745" s="72"/>
      <c r="K1745" s="222"/>
    </row>
    <row r="1746" spans="1:11">
      <c r="A1746" s="72"/>
      <c r="B1746" s="72"/>
      <c r="C1746" s="752"/>
      <c r="D1746" s="753"/>
      <c r="E1746" s="72"/>
      <c r="F1746" s="72"/>
      <c r="G1746" s="72"/>
      <c r="K1746" s="222"/>
    </row>
    <row r="1747" spans="1:11" ht="33.75" customHeight="1">
      <c r="A1747" s="612" t="s">
        <v>2542</v>
      </c>
      <c r="B1747" s="613"/>
      <c r="C1747" s="613"/>
      <c r="D1747" s="613"/>
      <c r="E1747" s="614"/>
      <c r="F1747" s="69" t="s">
        <v>44</v>
      </c>
      <c r="G1747" s="87">
        <v>12041</v>
      </c>
      <c r="K1747" s="222"/>
    </row>
    <row r="1748" spans="1:11" ht="28.5">
      <c r="A1748" s="623" t="s">
        <v>364</v>
      </c>
      <c r="B1748" s="624"/>
      <c r="C1748" s="69" t="s">
        <v>3</v>
      </c>
      <c r="D1748" s="69" t="s">
        <v>4</v>
      </c>
      <c r="E1748" s="69" t="s">
        <v>1826</v>
      </c>
      <c r="F1748" s="69" t="s">
        <v>367</v>
      </c>
      <c r="G1748" s="69" t="s">
        <v>368</v>
      </c>
      <c r="K1748" s="222"/>
    </row>
    <row r="1749" spans="1:11" s="38" customFormat="1">
      <c r="A1749" s="20">
        <v>12896</v>
      </c>
      <c r="B1749" s="70" t="s">
        <v>2651</v>
      </c>
      <c r="C1749" s="21" t="s">
        <v>44</v>
      </c>
      <c r="D1749" s="21" t="s">
        <v>17</v>
      </c>
      <c r="E1749" s="22">
        <v>1</v>
      </c>
      <c r="F1749" s="22">
        <f>H1749</f>
        <v>42.585000000000001</v>
      </c>
      <c r="G1749" s="22">
        <f>ROUND(F1749*E1749,2)</f>
        <v>42.59</v>
      </c>
      <c r="H1749" s="336">
        <v>42.585000000000001</v>
      </c>
      <c r="I1749" s="38" t="e">
        <f>IF(A1749&lt;&gt;0,VLOOKUP(A1749,#REF!,2,FALSE),"")</f>
        <v>#REF!</v>
      </c>
      <c r="J1749" s="336"/>
      <c r="K1749" s="222"/>
    </row>
    <row r="1750" spans="1:11" ht="30">
      <c r="A1750" s="20">
        <v>88309</v>
      </c>
      <c r="B1750" s="70" t="s">
        <v>390</v>
      </c>
      <c r="C1750" s="21" t="s">
        <v>12</v>
      </c>
      <c r="D1750" s="21" t="s">
        <v>19</v>
      </c>
      <c r="E1750" s="22">
        <v>0.25</v>
      </c>
      <c r="F1750" s="22">
        <f>H1750</f>
        <v>15.121499999999999</v>
      </c>
      <c r="G1750" s="22">
        <f>ROUND(F1750*E1750,2)</f>
        <v>3.78</v>
      </c>
      <c r="H1750" s="337">
        <v>15.121499999999999</v>
      </c>
      <c r="I1750" s="23" t="e">
        <f>IF(A1750&lt;&gt;0,VLOOKUP(A1750,#REF!,2,FALSE),"")</f>
        <v>#REF!</v>
      </c>
      <c r="K1750" s="222"/>
    </row>
    <row r="1751" spans="1:11" ht="15" customHeight="1">
      <c r="A1751" s="620" t="s">
        <v>1893</v>
      </c>
      <c r="B1751" s="621"/>
      <c r="C1751" s="621"/>
      <c r="D1751" s="621"/>
      <c r="E1751" s="621"/>
      <c r="F1751" s="622"/>
      <c r="G1751" s="71">
        <f>ROUND(SUM(G1749:G1750),2)</f>
        <v>46.37</v>
      </c>
      <c r="K1751" s="222"/>
    </row>
    <row r="1752" spans="1:11" ht="23.25" customHeight="1">
      <c r="A1752" s="72"/>
      <c r="B1752" s="72"/>
      <c r="C1752" s="752"/>
      <c r="D1752" s="753"/>
      <c r="E1752" s="72"/>
      <c r="F1752" s="72"/>
      <c r="G1752" s="72"/>
      <c r="K1752" s="222"/>
    </row>
    <row r="1753" spans="1:11" ht="27" customHeight="1">
      <c r="A1753" s="612" t="s">
        <v>2578</v>
      </c>
      <c r="B1753" s="613"/>
      <c r="C1753" s="613"/>
      <c r="D1753" s="613"/>
      <c r="E1753" s="614"/>
      <c r="F1753" s="69" t="s">
        <v>1914</v>
      </c>
      <c r="G1753" s="82"/>
      <c r="K1753" s="222"/>
    </row>
    <row r="1754" spans="1:11" ht="28.5">
      <c r="A1754" s="755" t="s">
        <v>364</v>
      </c>
      <c r="B1754" s="756"/>
      <c r="C1754" s="69" t="s">
        <v>3</v>
      </c>
      <c r="D1754" s="69" t="s">
        <v>4</v>
      </c>
      <c r="E1754" s="69" t="s">
        <v>1826</v>
      </c>
      <c r="F1754" s="69" t="s">
        <v>367</v>
      </c>
      <c r="G1754" s="69" t="s">
        <v>368</v>
      </c>
      <c r="K1754" s="222"/>
    </row>
    <row r="1755" spans="1:11" ht="30">
      <c r="A1755" s="20">
        <v>10853</v>
      </c>
      <c r="B1755" s="70" t="s">
        <v>628</v>
      </c>
      <c r="C1755" s="21" t="s">
        <v>12</v>
      </c>
      <c r="D1755" s="21" t="s">
        <v>17</v>
      </c>
      <c r="E1755" s="22">
        <v>1.5</v>
      </c>
      <c r="F1755" s="22">
        <f>H1755</f>
        <v>54.280999999999999</v>
      </c>
      <c r="G1755" s="22">
        <f>ROUND(F1755*E1755,2)</f>
        <v>81.42</v>
      </c>
      <c r="H1755" s="337">
        <v>54.280999999999999</v>
      </c>
      <c r="I1755" s="23" t="e">
        <f>IF(A1755&lt;&gt;0,VLOOKUP(A1755,#REF!,2,FALSE),"")</f>
        <v>#REF!</v>
      </c>
      <c r="K1755" s="222"/>
    </row>
    <row r="1756" spans="1:11" ht="30">
      <c r="A1756" s="20">
        <v>88309</v>
      </c>
      <c r="B1756" s="70" t="s">
        <v>390</v>
      </c>
      <c r="C1756" s="21" t="s">
        <v>12</v>
      </c>
      <c r="D1756" s="21" t="s">
        <v>19</v>
      </c>
      <c r="E1756" s="22">
        <v>0.35</v>
      </c>
      <c r="F1756" s="22">
        <f>H1756</f>
        <v>15.121499999999999</v>
      </c>
      <c r="G1756" s="22">
        <f>ROUND(F1756*E1756,2)</f>
        <v>5.29</v>
      </c>
      <c r="H1756" s="337">
        <v>15.121499999999999</v>
      </c>
      <c r="I1756" s="23" t="e">
        <f>IF(A1756&lt;&gt;0,VLOOKUP(A1756,#REF!,2,FALSE),"")</f>
        <v>#REF!</v>
      </c>
      <c r="K1756" s="222"/>
    </row>
    <row r="1757" spans="1:11" ht="15" customHeight="1">
      <c r="A1757" s="620" t="s">
        <v>1893</v>
      </c>
      <c r="B1757" s="621"/>
      <c r="C1757" s="621"/>
      <c r="D1757" s="621"/>
      <c r="E1757" s="621"/>
      <c r="F1757" s="622"/>
      <c r="G1757" s="71">
        <f>ROUND(SUM(G1755:G1756),2)</f>
        <v>86.71</v>
      </c>
      <c r="K1757" s="222"/>
    </row>
    <row r="1758" spans="1:11" ht="24.75" customHeight="1">
      <c r="A1758" s="72"/>
      <c r="B1758" s="72"/>
      <c r="C1758" s="754"/>
      <c r="D1758" s="754"/>
      <c r="E1758" s="72"/>
      <c r="F1758" s="72"/>
      <c r="G1758" s="72"/>
      <c r="K1758" s="222"/>
    </row>
    <row r="1759" spans="1:11" ht="27.75" customHeight="1">
      <c r="A1759" s="612" t="s">
        <v>2544</v>
      </c>
      <c r="B1759" s="613"/>
      <c r="C1759" s="613"/>
      <c r="D1759" s="613"/>
      <c r="E1759" s="614"/>
      <c r="F1759" s="69" t="s">
        <v>44</v>
      </c>
      <c r="G1759" s="87">
        <v>12047</v>
      </c>
      <c r="K1759" s="222"/>
    </row>
    <row r="1760" spans="1:11" ht="28.5">
      <c r="A1760" s="623" t="s">
        <v>364</v>
      </c>
      <c r="B1760" s="624"/>
      <c r="C1760" s="69" t="s">
        <v>3</v>
      </c>
      <c r="D1760" s="69" t="s">
        <v>4</v>
      </c>
      <c r="E1760" s="69" t="s">
        <v>1826</v>
      </c>
      <c r="F1760" s="69" t="s">
        <v>367</v>
      </c>
      <c r="G1760" s="69" t="s">
        <v>368</v>
      </c>
      <c r="K1760" s="222"/>
    </row>
    <row r="1761" spans="1:11" s="38" customFormat="1">
      <c r="A1761" s="20">
        <v>7646</v>
      </c>
      <c r="B1761" s="70" t="s">
        <v>2650</v>
      </c>
      <c r="C1761" s="21" t="s">
        <v>44</v>
      </c>
      <c r="D1761" s="21" t="s">
        <v>17</v>
      </c>
      <c r="E1761" s="22">
        <v>1</v>
      </c>
      <c r="F1761" s="22">
        <f>H1761</f>
        <v>212.95050000000001</v>
      </c>
      <c r="G1761" s="22">
        <f>ROUND(F1761*E1761,2)</f>
        <v>212.95</v>
      </c>
      <c r="H1761" s="336">
        <v>212.95050000000001</v>
      </c>
      <c r="I1761" s="38" t="e">
        <f>IF(A1761&lt;&gt;0,VLOOKUP(A1761,#REF!,2,FALSE),"")</f>
        <v>#REF!</v>
      </c>
      <c r="J1761" s="336"/>
      <c r="K1761" s="222"/>
    </row>
    <row r="1762" spans="1:11" ht="30">
      <c r="A1762" s="20">
        <v>88309</v>
      </c>
      <c r="B1762" s="70" t="s">
        <v>390</v>
      </c>
      <c r="C1762" s="21" t="s">
        <v>12</v>
      </c>
      <c r="D1762" s="21" t="s">
        <v>19</v>
      </c>
      <c r="E1762" s="22">
        <v>0.8</v>
      </c>
      <c r="F1762" s="22">
        <f>H1762</f>
        <v>15.121499999999999</v>
      </c>
      <c r="G1762" s="22">
        <f>ROUND(F1762*E1762,2)</f>
        <v>12.1</v>
      </c>
      <c r="H1762" s="337">
        <v>15.121499999999999</v>
      </c>
      <c r="I1762" s="23" t="e">
        <f>IF(A1762&lt;&gt;0,VLOOKUP(A1762,#REF!,2,FALSE),"")</f>
        <v>#REF!</v>
      </c>
      <c r="K1762" s="222"/>
    </row>
    <row r="1763" spans="1:11" ht="15" customHeight="1">
      <c r="A1763" s="620" t="s">
        <v>1893</v>
      </c>
      <c r="B1763" s="621"/>
      <c r="C1763" s="621"/>
      <c r="D1763" s="621"/>
      <c r="E1763" s="621"/>
      <c r="F1763" s="622"/>
      <c r="G1763" s="71">
        <f>ROUND(SUM(G1761:G1762),2)</f>
        <v>225.05</v>
      </c>
      <c r="K1763" s="222"/>
    </row>
    <row r="1764" spans="1:11" ht="23.25" customHeight="1">
      <c r="A1764" s="72"/>
      <c r="B1764" s="72"/>
      <c r="C1764" s="752"/>
      <c r="D1764" s="753"/>
      <c r="E1764" s="72"/>
      <c r="F1764" s="72"/>
      <c r="G1764" s="72"/>
      <c r="K1764" s="222"/>
    </row>
    <row r="1765" spans="1:11" ht="15" customHeight="1">
      <c r="A1765" s="612" t="s">
        <v>2419</v>
      </c>
      <c r="B1765" s="613"/>
      <c r="C1765" s="613"/>
      <c r="D1765" s="613"/>
      <c r="E1765" s="614"/>
      <c r="F1765" s="69" t="s">
        <v>44</v>
      </c>
      <c r="G1765" s="80"/>
      <c r="K1765" s="222"/>
    </row>
    <row r="1766" spans="1:11" ht="28.5">
      <c r="A1766" s="623" t="s">
        <v>363</v>
      </c>
      <c r="B1766" s="624"/>
      <c r="C1766" s="624"/>
      <c r="D1766" s="69" t="s">
        <v>4</v>
      </c>
      <c r="E1766" s="69" t="s">
        <v>371</v>
      </c>
      <c r="F1766" s="69" t="s">
        <v>629</v>
      </c>
      <c r="G1766" s="69" t="s">
        <v>630</v>
      </c>
      <c r="K1766" s="222"/>
    </row>
    <row r="1767" spans="1:11" ht="30">
      <c r="A1767" s="20">
        <v>88597</v>
      </c>
      <c r="B1767" s="94" t="s">
        <v>1911</v>
      </c>
      <c r="C1767" s="21" t="s">
        <v>12</v>
      </c>
      <c r="D1767" s="21" t="s">
        <v>19</v>
      </c>
      <c r="E1767" s="95">
        <v>5.8000000000000003E-2</v>
      </c>
      <c r="F1767" s="22">
        <f>H1767</f>
        <v>26.826000000000001</v>
      </c>
      <c r="G1767" s="22">
        <f>ROUND(F1767*E1767,2)</f>
        <v>1.56</v>
      </c>
      <c r="H1767" s="337">
        <v>26.826000000000001</v>
      </c>
      <c r="I1767" s="23" t="e">
        <f>IF(A1767&lt;&gt;0,VLOOKUP(A1767,#REF!,2,FALSE),"")</f>
        <v>#REF!</v>
      </c>
      <c r="K1767" s="222"/>
    </row>
    <row r="1768" spans="1:11" ht="15" customHeight="1">
      <c r="A1768" s="620" t="s">
        <v>1893</v>
      </c>
      <c r="B1768" s="621"/>
      <c r="C1768" s="621"/>
      <c r="D1768" s="621"/>
      <c r="E1768" s="621"/>
      <c r="F1768" s="622"/>
      <c r="G1768" s="71">
        <f>ROUND(SUM(G1767),2)</f>
        <v>1.56</v>
      </c>
      <c r="K1768" s="222"/>
    </row>
    <row r="1769" spans="1:11" ht="26.25" customHeight="1">
      <c r="A1769" s="72"/>
      <c r="B1769" s="72"/>
      <c r="C1769" s="752"/>
      <c r="D1769" s="753"/>
      <c r="E1769" s="72"/>
      <c r="F1769" s="72"/>
      <c r="G1769" s="72"/>
      <c r="K1769" s="222"/>
    </row>
    <row r="1770" spans="1:11" ht="15" customHeight="1">
      <c r="A1770" s="612" t="s">
        <v>2420</v>
      </c>
      <c r="B1770" s="613"/>
      <c r="C1770" s="613"/>
      <c r="D1770" s="613"/>
      <c r="E1770" s="614"/>
      <c r="F1770" s="69" t="s">
        <v>1914</v>
      </c>
      <c r="G1770" s="80"/>
      <c r="K1770" s="222"/>
    </row>
    <row r="1771" spans="1:11" ht="28.5">
      <c r="A1771" s="623" t="s">
        <v>364</v>
      </c>
      <c r="B1771" s="624"/>
      <c r="C1771" s="69" t="s">
        <v>3</v>
      </c>
      <c r="D1771" s="69" t="s">
        <v>4</v>
      </c>
      <c r="E1771" s="69" t="s">
        <v>1826</v>
      </c>
      <c r="F1771" s="69" t="s">
        <v>367</v>
      </c>
      <c r="G1771" s="69" t="s">
        <v>368</v>
      </c>
      <c r="K1771" s="222"/>
    </row>
    <row r="1772" spans="1:11" ht="30">
      <c r="A1772" s="20">
        <v>3</v>
      </c>
      <c r="B1772" s="70" t="s">
        <v>631</v>
      </c>
      <c r="C1772" s="21" t="s">
        <v>12</v>
      </c>
      <c r="D1772" s="21" t="s">
        <v>381</v>
      </c>
      <c r="E1772" s="22">
        <v>0.05</v>
      </c>
      <c r="F1772" s="22">
        <f>H1772</f>
        <v>5.7970000000000006</v>
      </c>
      <c r="G1772" s="22">
        <f>ROUND(F1772*E1772,2)</f>
        <v>0.28999999999999998</v>
      </c>
      <c r="H1772" s="337">
        <v>5.7970000000000006</v>
      </c>
      <c r="I1772" s="23" t="e">
        <f>IF(A1772&lt;&gt;0,VLOOKUP(A1772,#REF!,2,FALSE),"")</f>
        <v>#REF!</v>
      </c>
      <c r="K1772" s="222"/>
    </row>
    <row r="1773" spans="1:11" ht="30">
      <c r="A1773" s="20">
        <v>88316</v>
      </c>
      <c r="B1773" s="70" t="s">
        <v>377</v>
      </c>
      <c r="C1773" s="21" t="s">
        <v>12</v>
      </c>
      <c r="D1773" s="21" t="s">
        <v>19</v>
      </c>
      <c r="E1773" s="22">
        <v>0.14000000000000001</v>
      </c>
      <c r="F1773" s="22">
        <f>H1773</f>
        <v>11.798000000000002</v>
      </c>
      <c r="G1773" s="22">
        <f>ROUND(F1773*E1773,2)</f>
        <v>1.65</v>
      </c>
      <c r="H1773" s="337">
        <v>11.798000000000002</v>
      </c>
      <c r="I1773" s="23" t="e">
        <f>IF(A1773&lt;&gt;0,VLOOKUP(A1773,#REF!,2,FALSE),"")</f>
        <v>#REF!</v>
      </c>
      <c r="K1773" s="222"/>
    </row>
    <row r="1774" spans="1:11" ht="15" customHeight="1">
      <c r="A1774" s="620" t="s">
        <v>1893</v>
      </c>
      <c r="B1774" s="621"/>
      <c r="C1774" s="621"/>
      <c r="D1774" s="621"/>
      <c r="E1774" s="621"/>
      <c r="F1774" s="622"/>
      <c r="G1774" s="71">
        <f>ROUND(SUM(G1772:G1773),2)</f>
        <v>1.94</v>
      </c>
      <c r="K1774" s="222"/>
    </row>
    <row r="1775" spans="1:11" ht="24" customHeight="1">
      <c r="A1775" s="96"/>
      <c r="B1775" s="96"/>
      <c r="C1775" s="96"/>
      <c r="D1775" s="96"/>
      <c r="E1775" s="97"/>
      <c r="F1775" s="98"/>
      <c r="G1775" s="99"/>
      <c r="K1775" s="222"/>
    </row>
    <row r="1776" spans="1:11" ht="36.75" customHeight="1">
      <c r="A1776" s="612" t="s">
        <v>2376</v>
      </c>
      <c r="B1776" s="613"/>
      <c r="C1776" s="613"/>
      <c r="D1776" s="613"/>
      <c r="E1776" s="718"/>
      <c r="F1776" s="67" t="s">
        <v>44</v>
      </c>
      <c r="G1776" s="80"/>
      <c r="K1776" s="222"/>
    </row>
    <row r="1777" spans="1:11" ht="28.5">
      <c r="A1777" s="623" t="s">
        <v>1916</v>
      </c>
      <c r="B1777" s="624"/>
      <c r="C1777" s="69" t="s">
        <v>3</v>
      </c>
      <c r="D1777" s="69" t="s">
        <v>4</v>
      </c>
      <c r="E1777" s="69" t="s">
        <v>1826</v>
      </c>
      <c r="F1777" s="69" t="s">
        <v>367</v>
      </c>
      <c r="G1777" s="69" t="s">
        <v>368</v>
      </c>
      <c r="K1777" s="222"/>
    </row>
    <row r="1778" spans="1:11" s="38" customFormat="1" ht="30">
      <c r="A1778" s="20">
        <v>13569</v>
      </c>
      <c r="B1778" s="70" t="s">
        <v>2668</v>
      </c>
      <c r="C1778" s="21" t="s">
        <v>44</v>
      </c>
      <c r="D1778" s="21" t="s">
        <v>17</v>
      </c>
      <c r="E1778" s="22">
        <v>1</v>
      </c>
      <c r="F1778" s="22">
        <f>H1778</f>
        <v>329.17949999999996</v>
      </c>
      <c r="G1778" s="22">
        <f>ROUND(F1778*E1778,2)</f>
        <v>329.18</v>
      </c>
      <c r="H1778" s="336">
        <v>329.17949999999996</v>
      </c>
      <c r="I1778" s="38" t="e">
        <f>IF(A1778&lt;&gt;0,VLOOKUP(A1778,#REF!,2,FALSE),"")</f>
        <v>#REF!</v>
      </c>
      <c r="J1778" s="336"/>
      <c r="K1778" s="222"/>
    </row>
    <row r="1779" spans="1:11" ht="30">
      <c r="A1779" s="20">
        <v>88264</v>
      </c>
      <c r="B1779" s="70" t="s">
        <v>379</v>
      </c>
      <c r="C1779" s="21" t="s">
        <v>12</v>
      </c>
      <c r="D1779" s="21" t="s">
        <v>19</v>
      </c>
      <c r="E1779" s="22">
        <v>6</v>
      </c>
      <c r="F1779" s="22">
        <f>H1779</f>
        <v>15.249000000000001</v>
      </c>
      <c r="G1779" s="22">
        <f>ROUND(F1779*E1779,2)</f>
        <v>91.49</v>
      </c>
      <c r="H1779" s="337">
        <v>15.249000000000001</v>
      </c>
      <c r="I1779" s="23" t="e">
        <f>IF(A1779&lt;&gt;0,VLOOKUP(A1779,#REF!,2,FALSE),"")</f>
        <v>#REF!</v>
      </c>
      <c r="K1779" s="222"/>
    </row>
    <row r="1780" spans="1:11" ht="30">
      <c r="A1780" s="20">
        <v>88316</v>
      </c>
      <c r="B1780" s="70" t="s">
        <v>377</v>
      </c>
      <c r="C1780" s="21" t="s">
        <v>12</v>
      </c>
      <c r="D1780" s="21" t="s">
        <v>19</v>
      </c>
      <c r="E1780" s="22">
        <v>6</v>
      </c>
      <c r="F1780" s="22">
        <f>H1780</f>
        <v>11.798000000000002</v>
      </c>
      <c r="G1780" s="22">
        <f>ROUND(F1780*E1780,2)</f>
        <v>70.790000000000006</v>
      </c>
      <c r="H1780" s="337">
        <v>11.798000000000002</v>
      </c>
      <c r="I1780" s="23" t="e">
        <f>IF(A1780&lt;&gt;0,VLOOKUP(A1780,#REF!,2,FALSE),"")</f>
        <v>#REF!</v>
      </c>
      <c r="K1780" s="222"/>
    </row>
    <row r="1781" spans="1:11">
      <c r="A1781" s="719" t="s">
        <v>1893</v>
      </c>
      <c r="B1781" s="719"/>
      <c r="C1781" s="719"/>
      <c r="D1781" s="719"/>
      <c r="E1781" s="719"/>
      <c r="F1781" s="719"/>
      <c r="G1781" s="71">
        <f>ROUND(SUM(G1778:G1780),2)</f>
        <v>491.46</v>
      </c>
      <c r="K1781" s="222"/>
    </row>
    <row r="1782" spans="1:11">
      <c r="K1782" s="222"/>
    </row>
    <row r="1783" spans="1:11">
      <c r="K1783" s="222"/>
    </row>
    <row r="1784" spans="1:11" ht="46.5" customHeight="1">
      <c r="A1784" s="612" t="s">
        <v>2378</v>
      </c>
      <c r="B1784" s="613"/>
      <c r="C1784" s="613"/>
      <c r="D1784" s="613"/>
      <c r="E1784" s="718"/>
      <c r="F1784" s="67" t="s">
        <v>44</v>
      </c>
      <c r="G1784" s="80"/>
      <c r="K1784" s="222"/>
    </row>
    <row r="1785" spans="1:11" ht="28.5">
      <c r="A1785" s="623" t="s">
        <v>1916</v>
      </c>
      <c r="B1785" s="624"/>
      <c r="C1785" s="69" t="s">
        <v>3</v>
      </c>
      <c r="D1785" s="69" t="s">
        <v>4</v>
      </c>
      <c r="E1785" s="69" t="s">
        <v>1826</v>
      </c>
      <c r="F1785" s="69" t="s">
        <v>367</v>
      </c>
      <c r="G1785" s="69" t="s">
        <v>368</v>
      </c>
      <c r="K1785" s="222"/>
    </row>
    <row r="1786" spans="1:11" s="38" customFormat="1" ht="45">
      <c r="A1786" s="20">
        <v>11103</v>
      </c>
      <c r="B1786" s="70" t="s">
        <v>2377</v>
      </c>
      <c r="C1786" s="21" t="s">
        <v>44</v>
      </c>
      <c r="D1786" s="21" t="s">
        <v>17</v>
      </c>
      <c r="E1786" s="22">
        <v>1</v>
      </c>
      <c r="F1786" s="22">
        <f>H1786</f>
        <v>7342.1640000000007</v>
      </c>
      <c r="G1786" s="22">
        <f>ROUND(F1786*E1786,2)</f>
        <v>7342.16</v>
      </c>
      <c r="H1786" s="336">
        <v>7342.1640000000007</v>
      </c>
      <c r="I1786" s="38" t="e">
        <f>IF(A1786&lt;&gt;0,VLOOKUP(A1786,#REF!,2,FALSE),"")</f>
        <v>#REF!</v>
      </c>
      <c r="J1786" s="336"/>
      <c r="K1786" s="222"/>
    </row>
    <row r="1787" spans="1:11">
      <c r="A1787" s="719" t="s">
        <v>1893</v>
      </c>
      <c r="B1787" s="719"/>
      <c r="C1787" s="719"/>
      <c r="D1787" s="719"/>
      <c r="E1787" s="719"/>
      <c r="F1787" s="719"/>
      <c r="G1787" s="71">
        <f>ROUND(SUM(G1786:G1786),2)</f>
        <v>7342.16</v>
      </c>
      <c r="K1787" s="222"/>
    </row>
    <row r="1788" spans="1:11">
      <c r="K1788" s="222"/>
    </row>
    <row r="1789" spans="1:11">
      <c r="K1789" s="222"/>
    </row>
    <row r="1790" spans="1:11" ht="39.75" customHeight="1">
      <c r="A1790" s="612" t="s">
        <v>2379</v>
      </c>
      <c r="B1790" s="613"/>
      <c r="C1790" s="613"/>
      <c r="D1790" s="613"/>
      <c r="E1790" s="718"/>
      <c r="F1790" s="67" t="s">
        <v>44</v>
      </c>
      <c r="G1790" s="230"/>
      <c r="K1790" s="222"/>
    </row>
    <row r="1791" spans="1:11" ht="28.5">
      <c r="A1791" s="69" t="s">
        <v>1916</v>
      </c>
      <c r="B1791" s="230"/>
      <c r="C1791" s="69" t="s">
        <v>3</v>
      </c>
      <c r="D1791" s="69" t="s">
        <v>4</v>
      </c>
      <c r="E1791" s="69" t="s">
        <v>1826</v>
      </c>
      <c r="F1791" s="69" t="s">
        <v>367</v>
      </c>
      <c r="G1791" s="69" t="s">
        <v>368</v>
      </c>
      <c r="K1791" s="222"/>
    </row>
    <row r="1792" spans="1:11" ht="30">
      <c r="A1792" s="20">
        <v>370</v>
      </c>
      <c r="B1792" s="70" t="s">
        <v>396</v>
      </c>
      <c r="C1792" s="21" t="s">
        <v>12</v>
      </c>
      <c r="D1792" s="21" t="s">
        <v>35</v>
      </c>
      <c r="E1792" s="83">
        <v>3.0000000000000001E-3</v>
      </c>
      <c r="F1792" s="22">
        <f t="shared" ref="F1792:F1798" si="102">H1792</f>
        <v>42.5</v>
      </c>
      <c r="G1792" s="22">
        <f t="shared" ref="G1792:G1798" si="103">ROUND(F1792*E1792,2)</f>
        <v>0.13</v>
      </c>
      <c r="H1792" s="337">
        <v>42.5</v>
      </c>
      <c r="I1792" s="23" t="e">
        <f>IF(A1792&lt;&gt;0,VLOOKUP(A1792,#REF!,2,FALSE),"")</f>
        <v>#REF!</v>
      </c>
      <c r="K1792" s="222"/>
    </row>
    <row r="1793" spans="1:11" ht="30">
      <c r="A1793" s="20">
        <v>1337</v>
      </c>
      <c r="B1793" s="70" t="s">
        <v>1849</v>
      </c>
      <c r="C1793" s="21" t="s">
        <v>12</v>
      </c>
      <c r="D1793" s="21" t="s">
        <v>45</v>
      </c>
      <c r="E1793" s="22">
        <v>34.9</v>
      </c>
      <c r="F1793" s="22">
        <f>H1793</f>
        <v>8.9589999999999996</v>
      </c>
      <c r="G1793" s="22">
        <f>ROUND(F1793*E1793,2)</f>
        <v>312.67</v>
      </c>
      <c r="H1793" s="337">
        <v>8.9589999999999996</v>
      </c>
      <c r="I1793" s="23" t="e">
        <f>IF(A1793&lt;&gt;0,VLOOKUP(A1793,#REF!,2,FALSE),"")</f>
        <v>#REF!</v>
      </c>
      <c r="K1793" s="222"/>
    </row>
    <row r="1794" spans="1:11">
      <c r="A1794" s="20">
        <v>1379</v>
      </c>
      <c r="B1794" s="70" t="s">
        <v>397</v>
      </c>
      <c r="C1794" s="21" t="s">
        <v>12</v>
      </c>
      <c r="D1794" s="21" t="s">
        <v>45</v>
      </c>
      <c r="E1794" s="22">
        <v>1.17</v>
      </c>
      <c r="F1794" s="22">
        <f t="shared" si="102"/>
        <v>0.60349999999999993</v>
      </c>
      <c r="G1794" s="22">
        <f t="shared" si="103"/>
        <v>0.71</v>
      </c>
      <c r="H1794" s="337">
        <v>0.60349999999999993</v>
      </c>
      <c r="I1794" s="23" t="e">
        <f>IF(A1794&lt;&gt;0,VLOOKUP(A1794,#REF!,2,FALSE),"")</f>
        <v>#REF!</v>
      </c>
      <c r="K1794" s="222"/>
    </row>
    <row r="1795" spans="1:11" s="38" customFormat="1" ht="30">
      <c r="A1795" s="20">
        <v>4898</v>
      </c>
      <c r="B1795" s="70" t="s">
        <v>2380</v>
      </c>
      <c r="C1795" s="21" t="s">
        <v>44</v>
      </c>
      <c r="D1795" s="21" t="s">
        <v>45</v>
      </c>
      <c r="E1795" s="22">
        <v>11.62</v>
      </c>
      <c r="F1795" s="22">
        <f t="shared" si="102"/>
        <v>6.2560000000000002</v>
      </c>
      <c r="G1795" s="22">
        <f t="shared" si="103"/>
        <v>72.69</v>
      </c>
      <c r="H1795" s="336">
        <v>6.2560000000000002</v>
      </c>
      <c r="I1795" s="38" t="e">
        <f>IF(A1795&lt;&gt;0,VLOOKUP(A1795,#REF!,2,FALSE),"")</f>
        <v>#REF!</v>
      </c>
      <c r="J1795" s="336"/>
      <c r="K1795" s="222"/>
    </row>
    <row r="1796" spans="1:11" ht="30">
      <c r="A1796" s="20">
        <v>88317</v>
      </c>
      <c r="B1796" s="70" t="s">
        <v>415</v>
      </c>
      <c r="C1796" s="21" t="s">
        <v>12</v>
      </c>
      <c r="D1796" s="21" t="s">
        <v>19</v>
      </c>
      <c r="E1796" s="22">
        <v>0.6</v>
      </c>
      <c r="F1796" s="22">
        <f>H1796</f>
        <v>15.606</v>
      </c>
      <c r="G1796" s="22">
        <f>ROUND(F1796*E1796,2)</f>
        <v>9.36</v>
      </c>
      <c r="H1796" s="337">
        <v>15.606</v>
      </c>
      <c r="I1796" s="23" t="e">
        <f>IF(A1796&lt;&gt;0,VLOOKUP(A1796,#REF!,2,FALSE),"")</f>
        <v>#REF!</v>
      </c>
      <c r="K1796" s="222"/>
    </row>
    <row r="1797" spans="1:11" ht="30">
      <c r="A1797" s="20">
        <v>88309</v>
      </c>
      <c r="B1797" s="70" t="s">
        <v>390</v>
      </c>
      <c r="C1797" s="21" t="s">
        <v>12</v>
      </c>
      <c r="D1797" s="21" t="s">
        <v>19</v>
      </c>
      <c r="E1797" s="22">
        <v>0.5</v>
      </c>
      <c r="F1797" s="22">
        <f t="shared" si="102"/>
        <v>15.121499999999999</v>
      </c>
      <c r="G1797" s="22">
        <f t="shared" si="103"/>
        <v>7.56</v>
      </c>
      <c r="H1797" s="337">
        <v>15.121499999999999</v>
      </c>
      <c r="I1797" s="23" t="e">
        <f>IF(A1797&lt;&gt;0,VLOOKUP(A1797,#REF!,2,FALSE),"")</f>
        <v>#REF!</v>
      </c>
      <c r="K1797" s="222"/>
    </row>
    <row r="1798" spans="1:11" ht="30">
      <c r="A1798" s="20">
        <v>88316</v>
      </c>
      <c r="B1798" s="70" t="s">
        <v>377</v>
      </c>
      <c r="C1798" s="21" t="s">
        <v>12</v>
      </c>
      <c r="D1798" s="21" t="s">
        <v>19</v>
      </c>
      <c r="E1798" s="22">
        <v>0.4</v>
      </c>
      <c r="F1798" s="22">
        <f t="shared" si="102"/>
        <v>11.798000000000002</v>
      </c>
      <c r="G1798" s="22">
        <f t="shared" si="103"/>
        <v>4.72</v>
      </c>
      <c r="H1798" s="337">
        <v>11.798000000000002</v>
      </c>
      <c r="I1798" s="23" t="e">
        <f>IF(A1798&lt;&gt;0,VLOOKUP(A1798,#REF!,2,FALSE),"")</f>
        <v>#REF!</v>
      </c>
      <c r="K1798" s="222"/>
    </row>
    <row r="1799" spans="1:11">
      <c r="A1799" s="719" t="s">
        <v>1893</v>
      </c>
      <c r="B1799" s="719"/>
      <c r="C1799" s="719"/>
      <c r="D1799" s="719"/>
      <c r="E1799" s="719"/>
      <c r="F1799" s="719"/>
      <c r="G1799" s="71">
        <f>ROUND(SUM(G1792:G1798),2)</f>
        <v>407.84</v>
      </c>
      <c r="K1799" s="222"/>
    </row>
    <row r="1800" spans="1:11">
      <c r="K1800" s="222"/>
    </row>
    <row r="1801" spans="1:11">
      <c r="K1801" s="222"/>
    </row>
    <row r="1802" spans="1:11" ht="51" customHeight="1">
      <c r="A1802" s="612" t="s">
        <v>2383</v>
      </c>
      <c r="B1802" s="613"/>
      <c r="C1802" s="613"/>
      <c r="D1802" s="613"/>
      <c r="E1802" s="718"/>
      <c r="F1802" s="67" t="s">
        <v>44</v>
      </c>
      <c r="G1802" s="80"/>
      <c r="K1802" s="222"/>
    </row>
    <row r="1803" spans="1:11" ht="28.5">
      <c r="A1803" s="69" t="s">
        <v>1916</v>
      </c>
      <c r="B1803" s="230"/>
      <c r="C1803" s="69" t="s">
        <v>3</v>
      </c>
      <c r="D1803" s="69" t="s">
        <v>4</v>
      </c>
      <c r="E1803" s="69" t="s">
        <v>1826</v>
      </c>
      <c r="F1803" s="69" t="s">
        <v>367</v>
      </c>
      <c r="G1803" s="69" t="s">
        <v>368</v>
      </c>
      <c r="K1803" s="222"/>
    </row>
    <row r="1804" spans="1:11" s="38" customFormat="1" ht="60">
      <c r="A1804" s="20">
        <v>12955</v>
      </c>
      <c r="B1804" s="70" t="s">
        <v>2382</v>
      </c>
      <c r="C1804" s="21" t="s">
        <v>44</v>
      </c>
      <c r="D1804" s="21" t="s">
        <v>17</v>
      </c>
      <c r="E1804" s="22">
        <v>1</v>
      </c>
      <c r="F1804" s="22">
        <f>H1804</f>
        <v>5100</v>
      </c>
      <c r="G1804" s="22">
        <f>ROUND(F1804*E1804,2)</f>
        <v>5100</v>
      </c>
      <c r="H1804" s="336">
        <v>5100</v>
      </c>
      <c r="I1804" s="38" t="e">
        <f>IF(A1804&lt;&gt;0,VLOOKUP(A1804,#REF!,2,FALSE),"")</f>
        <v>#REF!</v>
      </c>
      <c r="J1804" s="336"/>
      <c r="K1804" s="222"/>
    </row>
    <row r="1805" spans="1:11">
      <c r="A1805" s="719" t="s">
        <v>1893</v>
      </c>
      <c r="B1805" s="719"/>
      <c r="C1805" s="719"/>
      <c r="D1805" s="719"/>
      <c r="E1805" s="719"/>
      <c r="F1805" s="719"/>
      <c r="G1805" s="71">
        <f>ROUND(SUM(G1804:G1804),2)</f>
        <v>5100</v>
      </c>
      <c r="K1805" s="222"/>
    </row>
    <row r="1806" spans="1:11">
      <c r="K1806" s="222"/>
    </row>
    <row r="1807" spans="1:11">
      <c r="K1807" s="222"/>
    </row>
    <row r="1808" spans="1:11" ht="28.5" customHeight="1">
      <c r="A1808" s="612" t="s">
        <v>2491</v>
      </c>
      <c r="B1808" s="775"/>
      <c r="C1808" s="613"/>
      <c r="D1808" s="613"/>
      <c r="E1808" s="718"/>
      <c r="F1808" s="67" t="s">
        <v>1914</v>
      </c>
      <c r="G1808" s="80" t="s">
        <v>2490</v>
      </c>
      <c r="K1808" s="222"/>
    </row>
    <row r="1809" spans="1:11" ht="28.5">
      <c r="A1809" s="319" t="s">
        <v>1916</v>
      </c>
      <c r="B1809" s="89"/>
      <c r="C1809" s="320" t="s">
        <v>3</v>
      </c>
      <c r="D1809" s="69" t="s">
        <v>4</v>
      </c>
      <c r="E1809" s="69" t="s">
        <v>1826</v>
      </c>
      <c r="F1809" s="69" t="s">
        <v>367</v>
      </c>
      <c r="G1809" s="69" t="s">
        <v>368</v>
      </c>
      <c r="K1809" s="222"/>
    </row>
    <row r="1810" spans="1:11" s="29" customFormat="1">
      <c r="A1810" s="20" t="s">
        <v>1919</v>
      </c>
      <c r="B1810" s="237" t="s">
        <v>2489</v>
      </c>
      <c r="C1810" s="21" t="s">
        <v>2014</v>
      </c>
      <c r="D1810" s="21" t="s">
        <v>17</v>
      </c>
      <c r="E1810" s="22">
        <v>1</v>
      </c>
      <c r="F1810" s="22">
        <f>H1810</f>
        <v>971.08249999999998</v>
      </c>
      <c r="G1810" s="22">
        <f>ROUND(F1810*E1810,2)</f>
        <v>971.08</v>
      </c>
      <c r="H1810" s="348">
        <v>971.08249999999998</v>
      </c>
      <c r="J1810" s="348"/>
      <c r="K1810" s="222"/>
    </row>
    <row r="1811" spans="1:11">
      <c r="A1811" s="719" t="s">
        <v>1893</v>
      </c>
      <c r="B1811" s="719"/>
      <c r="C1811" s="719"/>
      <c r="D1811" s="719"/>
      <c r="E1811" s="719"/>
      <c r="F1811" s="719"/>
      <c r="G1811" s="71">
        <f>ROUND(SUM(G1810:G1810),2)</f>
        <v>971.08</v>
      </c>
      <c r="K1811" s="222"/>
    </row>
    <row r="1812" spans="1:11">
      <c r="K1812" s="222"/>
    </row>
    <row r="1813" spans="1:11">
      <c r="K1813" s="222"/>
    </row>
    <row r="1814" spans="1:11" ht="45.75" customHeight="1">
      <c r="A1814" s="612" t="s">
        <v>2402</v>
      </c>
      <c r="B1814" s="613"/>
      <c r="C1814" s="613"/>
      <c r="D1814" s="613"/>
      <c r="E1814" s="718"/>
      <c r="F1814" s="67" t="s">
        <v>1914</v>
      </c>
      <c r="G1814" s="230"/>
      <c r="K1814" s="222"/>
    </row>
    <row r="1815" spans="1:11" ht="28.5">
      <c r="A1815" s="69" t="s">
        <v>1916</v>
      </c>
      <c r="B1815" s="230"/>
      <c r="C1815" s="69" t="s">
        <v>3</v>
      </c>
      <c r="D1815" s="69" t="s">
        <v>4</v>
      </c>
      <c r="E1815" s="69" t="s">
        <v>1826</v>
      </c>
      <c r="F1815" s="69" t="s">
        <v>367</v>
      </c>
      <c r="G1815" s="69" t="s">
        <v>368</v>
      </c>
      <c r="K1815" s="222"/>
    </row>
    <row r="1816" spans="1:11">
      <c r="A1816" s="20" t="s">
        <v>2394</v>
      </c>
      <c r="B1816" s="70" t="s">
        <v>2385</v>
      </c>
      <c r="C1816" s="20" t="s">
        <v>2014</v>
      </c>
      <c r="D1816" s="21" t="s">
        <v>17</v>
      </c>
      <c r="E1816" s="22">
        <v>1</v>
      </c>
      <c r="F1816" s="22">
        <f t="shared" ref="F1816:F1822" si="104">H1816</f>
        <v>736.26150000000007</v>
      </c>
      <c r="G1816" s="22">
        <f t="shared" ref="G1816:G1822" si="105">ROUND(F1816*E1816,2)</f>
        <v>736.26</v>
      </c>
      <c r="H1816" s="337">
        <v>736.26150000000007</v>
      </c>
      <c r="I1816" s="23"/>
      <c r="K1816" s="222"/>
    </row>
    <row r="1817" spans="1:11">
      <c r="A1817" s="20" t="s">
        <v>2395</v>
      </c>
      <c r="B1817" s="70" t="s">
        <v>2384</v>
      </c>
      <c r="C1817" s="20" t="s">
        <v>2014</v>
      </c>
      <c r="D1817" s="21" t="s">
        <v>17</v>
      </c>
      <c r="E1817" s="22">
        <v>1</v>
      </c>
      <c r="F1817" s="22">
        <f t="shared" si="104"/>
        <v>110.71250000000001</v>
      </c>
      <c r="G1817" s="22">
        <f t="shared" si="105"/>
        <v>110.71</v>
      </c>
      <c r="H1817" s="337">
        <v>110.71250000000001</v>
      </c>
      <c r="I1817" s="23"/>
      <c r="K1817" s="222"/>
    </row>
    <row r="1818" spans="1:11" ht="60">
      <c r="A1818" s="20" t="s">
        <v>2396</v>
      </c>
      <c r="B1818" s="70" t="s">
        <v>2386</v>
      </c>
      <c r="C1818" s="20" t="s">
        <v>2014</v>
      </c>
      <c r="D1818" s="21" t="s">
        <v>17</v>
      </c>
      <c r="E1818" s="22">
        <v>2</v>
      </c>
      <c r="F1818" s="22">
        <f t="shared" si="104"/>
        <v>873.24749999999995</v>
      </c>
      <c r="G1818" s="22">
        <f t="shared" si="105"/>
        <v>1746.5</v>
      </c>
      <c r="H1818" s="337">
        <v>873.24749999999995</v>
      </c>
      <c r="I1818" s="23"/>
      <c r="K1818" s="222"/>
    </row>
    <row r="1819" spans="1:11" ht="30">
      <c r="A1819" s="20" t="s">
        <v>2397</v>
      </c>
      <c r="B1819" s="70" t="s">
        <v>2387</v>
      </c>
      <c r="C1819" s="20" t="s">
        <v>2014</v>
      </c>
      <c r="D1819" s="21" t="s">
        <v>17</v>
      </c>
      <c r="E1819" s="22">
        <v>1</v>
      </c>
      <c r="F1819" s="22">
        <f t="shared" si="104"/>
        <v>401.36149999999998</v>
      </c>
      <c r="G1819" s="22">
        <f t="shared" si="105"/>
        <v>401.36</v>
      </c>
      <c r="H1819" s="337">
        <v>401.36149999999998</v>
      </c>
      <c r="I1819" s="23"/>
      <c r="K1819" s="222"/>
    </row>
    <row r="1820" spans="1:11" ht="30">
      <c r="A1820" s="20" t="s">
        <v>2398</v>
      </c>
      <c r="B1820" s="70" t="s">
        <v>2388</v>
      </c>
      <c r="C1820" s="20" t="s">
        <v>2014</v>
      </c>
      <c r="D1820" s="21" t="s">
        <v>17</v>
      </c>
      <c r="E1820" s="22">
        <v>2</v>
      </c>
      <c r="F1820" s="22">
        <f t="shared" si="104"/>
        <v>36.856000000000002</v>
      </c>
      <c r="G1820" s="22">
        <f t="shared" si="105"/>
        <v>73.709999999999994</v>
      </c>
      <c r="H1820" s="337">
        <v>36.856000000000002</v>
      </c>
      <c r="I1820" s="23"/>
      <c r="K1820" s="222"/>
    </row>
    <row r="1821" spans="1:11">
      <c r="A1821" s="20">
        <v>88266</v>
      </c>
      <c r="B1821" s="70" t="e">
        <f>I1821</f>
        <v>#REF!</v>
      </c>
      <c r="C1821" s="21" t="s">
        <v>12</v>
      </c>
      <c r="D1821" s="21" t="s">
        <v>19</v>
      </c>
      <c r="E1821" s="22">
        <v>1</v>
      </c>
      <c r="F1821" s="22">
        <f>H1821</f>
        <v>25.6785</v>
      </c>
      <c r="G1821" s="22">
        <f>ROUND(F1821*E1821,2)</f>
        <v>25.68</v>
      </c>
      <c r="H1821" s="337">
        <v>25.6785</v>
      </c>
      <c r="I1821" s="23" t="e">
        <f>IF(A1821&lt;&gt;0,VLOOKUP(A1821,#REF!,2,FALSE),"")</f>
        <v>#REF!</v>
      </c>
      <c r="K1821" s="222"/>
    </row>
    <row r="1822" spans="1:11" ht="30">
      <c r="A1822" s="20">
        <v>88264</v>
      </c>
      <c r="B1822" s="70" t="s">
        <v>379</v>
      </c>
      <c r="C1822" s="21" t="s">
        <v>12</v>
      </c>
      <c r="D1822" s="21" t="s">
        <v>19</v>
      </c>
      <c r="E1822" s="22">
        <v>1</v>
      </c>
      <c r="F1822" s="22">
        <f t="shared" si="104"/>
        <v>15.249000000000001</v>
      </c>
      <c r="G1822" s="22">
        <f t="shared" si="105"/>
        <v>15.25</v>
      </c>
      <c r="H1822" s="337">
        <v>15.249000000000001</v>
      </c>
      <c r="I1822" s="23" t="e">
        <f>IF(A1822&lt;&gt;0,VLOOKUP(A1822,#REF!,2,FALSE),"")</f>
        <v>#REF!</v>
      </c>
      <c r="K1822" s="222"/>
    </row>
    <row r="1823" spans="1:11">
      <c r="A1823" s="719" t="s">
        <v>1893</v>
      </c>
      <c r="B1823" s="719"/>
      <c r="C1823" s="719"/>
      <c r="D1823" s="719"/>
      <c r="E1823" s="719"/>
      <c r="F1823" s="719"/>
      <c r="G1823" s="71">
        <f>ROUND(SUM(G1816:G1822),2)</f>
        <v>3109.47</v>
      </c>
      <c r="K1823" s="222"/>
    </row>
    <row r="1824" spans="1:11">
      <c r="K1824" s="222"/>
    </row>
    <row r="1825" spans="1:11">
      <c r="K1825" s="222"/>
    </row>
    <row r="1826" spans="1:11" ht="33" customHeight="1">
      <c r="A1826" s="612" t="s">
        <v>2401</v>
      </c>
      <c r="B1826" s="613"/>
      <c r="C1826" s="613"/>
      <c r="D1826" s="613"/>
      <c r="E1826" s="718"/>
      <c r="F1826" s="67" t="s">
        <v>1914</v>
      </c>
      <c r="G1826" s="230"/>
      <c r="K1826" s="222"/>
    </row>
    <row r="1827" spans="1:11" ht="28.5">
      <c r="A1827" s="69" t="s">
        <v>1916</v>
      </c>
      <c r="B1827" s="230"/>
      <c r="C1827" s="69" t="s">
        <v>3</v>
      </c>
      <c r="D1827" s="69" t="s">
        <v>4</v>
      </c>
      <c r="E1827" s="69" t="s">
        <v>1826</v>
      </c>
      <c r="F1827" s="69" t="s">
        <v>367</v>
      </c>
      <c r="G1827" s="69" t="s">
        <v>368</v>
      </c>
      <c r="K1827" s="222"/>
    </row>
    <row r="1828" spans="1:11" ht="30">
      <c r="A1828" s="20"/>
      <c r="B1828" s="70" t="s">
        <v>2403</v>
      </c>
      <c r="C1828" s="20" t="s">
        <v>2014</v>
      </c>
      <c r="D1828" s="21" t="s">
        <v>17</v>
      </c>
      <c r="E1828" s="22">
        <v>1</v>
      </c>
      <c r="F1828" s="22">
        <f>H1828</f>
        <v>133.23750000000001</v>
      </c>
      <c r="G1828" s="22">
        <f>ROUND(F1828*E1828,2)</f>
        <v>133.24</v>
      </c>
      <c r="H1828" s="337">
        <v>133.23750000000001</v>
      </c>
      <c r="K1828" s="222"/>
    </row>
    <row r="1829" spans="1:11" ht="30">
      <c r="A1829" s="20">
        <v>88264</v>
      </c>
      <c r="B1829" s="70" t="s">
        <v>379</v>
      </c>
      <c r="C1829" s="21" t="s">
        <v>12</v>
      </c>
      <c r="D1829" s="21" t="s">
        <v>19</v>
      </c>
      <c r="E1829" s="22">
        <v>0.2</v>
      </c>
      <c r="F1829" s="22">
        <f>H1829</f>
        <v>15.249000000000001</v>
      </c>
      <c r="G1829" s="22">
        <f>ROUND(F1829*E1829,2)</f>
        <v>3.05</v>
      </c>
      <c r="H1829" s="337">
        <v>15.249000000000001</v>
      </c>
      <c r="I1829" s="23" t="e">
        <f>IF(A1829&lt;&gt;0,VLOOKUP(A1829,#REF!,2,FALSE),"")</f>
        <v>#REF!</v>
      </c>
      <c r="K1829" s="222"/>
    </row>
    <row r="1830" spans="1:11">
      <c r="A1830" s="719" t="s">
        <v>1893</v>
      </c>
      <c r="B1830" s="719"/>
      <c r="C1830" s="719"/>
      <c r="D1830" s="719"/>
      <c r="E1830" s="719"/>
      <c r="F1830" s="719"/>
      <c r="G1830" s="71">
        <f>ROUND(SUM(G1828:G1829),2)</f>
        <v>136.29</v>
      </c>
      <c r="K1830" s="222"/>
    </row>
    <row r="1831" spans="1:11">
      <c r="K1831" s="222"/>
    </row>
    <row r="1832" spans="1:11">
      <c r="K1832" s="222"/>
    </row>
    <row r="1833" spans="1:11" ht="30.75" customHeight="1">
      <c r="A1833" s="612" t="s">
        <v>2404</v>
      </c>
      <c r="B1833" s="613"/>
      <c r="C1833" s="613"/>
      <c r="D1833" s="613"/>
      <c r="E1833" s="718"/>
      <c r="F1833" s="67" t="s">
        <v>1914</v>
      </c>
      <c r="G1833" s="230"/>
      <c r="K1833" s="222"/>
    </row>
    <row r="1834" spans="1:11" ht="28.5">
      <c r="A1834" s="69" t="s">
        <v>1916</v>
      </c>
      <c r="B1834" s="230"/>
      <c r="C1834" s="69" t="s">
        <v>3</v>
      </c>
      <c r="D1834" s="69" t="s">
        <v>4</v>
      </c>
      <c r="E1834" s="69" t="s">
        <v>1826</v>
      </c>
      <c r="F1834" s="69" t="s">
        <v>367</v>
      </c>
      <c r="G1834" s="69" t="s">
        <v>368</v>
      </c>
      <c r="K1834" s="222"/>
    </row>
    <row r="1835" spans="1:11" ht="30">
      <c r="A1835" s="20"/>
      <c r="B1835" s="70" t="s">
        <v>2405</v>
      </c>
      <c r="C1835" s="20" t="s">
        <v>2014</v>
      </c>
      <c r="D1835" s="21" t="s">
        <v>52</v>
      </c>
      <c r="E1835" s="22">
        <v>1</v>
      </c>
      <c r="F1835" s="22">
        <f>H1835</f>
        <v>59.032499999999999</v>
      </c>
      <c r="G1835" s="22">
        <f>ROUND(F1835*E1835,2)</f>
        <v>59.03</v>
      </c>
      <c r="H1835" s="337">
        <v>59.032499999999999</v>
      </c>
      <c r="K1835" s="222"/>
    </row>
    <row r="1836" spans="1:11" ht="30">
      <c r="A1836" s="20">
        <v>88316</v>
      </c>
      <c r="B1836" s="70" t="s">
        <v>377</v>
      </c>
      <c r="C1836" s="21" t="s">
        <v>12</v>
      </c>
      <c r="D1836" s="21" t="s">
        <v>19</v>
      </c>
      <c r="E1836" s="22">
        <v>0.1</v>
      </c>
      <c r="F1836" s="22">
        <f>H1836</f>
        <v>11.798000000000002</v>
      </c>
      <c r="G1836" s="22">
        <f>ROUND(F1836*E1836,2)</f>
        <v>1.18</v>
      </c>
      <c r="H1836" s="337">
        <v>11.798000000000002</v>
      </c>
      <c r="I1836" s="23" t="e">
        <f>IF(A1836&lt;&gt;0,VLOOKUP(A1836,#REF!,2,FALSE),"")</f>
        <v>#REF!</v>
      </c>
      <c r="K1836" s="222"/>
    </row>
    <row r="1837" spans="1:11" ht="30">
      <c r="A1837" s="20">
        <v>88264</v>
      </c>
      <c r="B1837" s="70" t="s">
        <v>379</v>
      </c>
      <c r="C1837" s="21" t="s">
        <v>12</v>
      </c>
      <c r="D1837" s="21" t="s">
        <v>19</v>
      </c>
      <c r="E1837" s="22">
        <v>0.1</v>
      </c>
      <c r="F1837" s="22">
        <f>H1837</f>
        <v>15.249000000000001</v>
      </c>
      <c r="G1837" s="22">
        <f>ROUND(F1837*E1837,2)</f>
        <v>1.52</v>
      </c>
      <c r="H1837" s="337">
        <v>15.249000000000001</v>
      </c>
      <c r="I1837" s="23" t="e">
        <f>IF(A1837&lt;&gt;0,VLOOKUP(A1837,#REF!,2,FALSE),"")</f>
        <v>#REF!</v>
      </c>
      <c r="K1837" s="222"/>
    </row>
    <row r="1838" spans="1:11">
      <c r="A1838" s="719" t="s">
        <v>1893</v>
      </c>
      <c r="B1838" s="719"/>
      <c r="C1838" s="719"/>
      <c r="D1838" s="719"/>
      <c r="E1838" s="719"/>
      <c r="F1838" s="719"/>
      <c r="G1838" s="71">
        <f>ROUND(SUM(G1835:G1837),2)</f>
        <v>61.73</v>
      </c>
      <c r="K1838" s="222"/>
    </row>
    <row r="1839" spans="1:11">
      <c r="K1839" s="222"/>
    </row>
    <row r="1840" spans="1:11">
      <c r="K1840" s="222"/>
    </row>
    <row r="1841" spans="1:11" ht="15" customHeight="1">
      <c r="A1841" s="738" t="s">
        <v>1913</v>
      </c>
      <c r="B1841" s="739"/>
      <c r="C1841" s="739"/>
      <c r="D1841" s="739"/>
      <c r="E1841" s="740"/>
      <c r="F1841" s="326" t="s">
        <v>1914</v>
      </c>
      <c r="G1841" s="326" t="s">
        <v>2037</v>
      </c>
      <c r="I1841" s="24"/>
      <c r="K1841" s="222"/>
    </row>
    <row r="1842" spans="1:11" ht="28.5">
      <c r="A1842" s="69" t="s">
        <v>1916</v>
      </c>
      <c r="B1842" s="230"/>
      <c r="C1842" s="69" t="s">
        <v>3</v>
      </c>
      <c r="D1842" s="69" t="s">
        <v>4</v>
      </c>
      <c r="E1842" s="69" t="s">
        <v>1826</v>
      </c>
      <c r="F1842" s="69" t="s">
        <v>367</v>
      </c>
      <c r="G1842" s="69" t="s">
        <v>368</v>
      </c>
      <c r="I1842" s="25"/>
      <c r="K1842" s="222"/>
    </row>
    <row r="1843" spans="1:11">
      <c r="A1843" s="100" t="s">
        <v>1919</v>
      </c>
      <c r="B1843" s="101" t="s">
        <v>1920</v>
      </c>
      <c r="C1843" s="102" t="s">
        <v>1918</v>
      </c>
      <c r="D1843" s="103" t="s">
        <v>238</v>
      </c>
      <c r="E1843" s="104">
        <v>1</v>
      </c>
      <c r="F1843" s="105">
        <v>233.94</v>
      </c>
      <c r="G1843" s="106">
        <f>ROUND((E1843*F1843),2)</f>
        <v>233.94</v>
      </c>
      <c r="H1843" s="337">
        <v>198.84899999999999</v>
      </c>
      <c r="I1843" s="24"/>
      <c r="K1843" s="222"/>
    </row>
    <row r="1844" spans="1:11">
      <c r="A1844" s="735" t="s">
        <v>1893</v>
      </c>
      <c r="B1844" s="736"/>
      <c r="C1844" s="736"/>
      <c r="D1844" s="736"/>
      <c r="E1844" s="736"/>
      <c r="F1844" s="737"/>
      <c r="G1844" s="107">
        <f>ROUND(SUM(G1843:G1843),2)</f>
        <v>233.94</v>
      </c>
      <c r="I1844" s="26"/>
      <c r="K1844" s="222"/>
    </row>
    <row r="1845" spans="1:11" ht="21" customHeight="1">
      <c r="A1845" s="108"/>
      <c r="B1845" s="108"/>
      <c r="C1845" s="108"/>
      <c r="D1845" s="108"/>
      <c r="E1845" s="108"/>
      <c r="F1845" s="108"/>
      <c r="G1845" s="109"/>
      <c r="I1845" s="26"/>
      <c r="K1845" s="222"/>
    </row>
    <row r="1846" spans="1:11" ht="15" customHeight="1">
      <c r="A1846" s="746" t="s">
        <v>25</v>
      </c>
      <c r="B1846" s="747"/>
      <c r="C1846" s="747"/>
      <c r="D1846" s="747"/>
      <c r="E1846" s="748"/>
      <c r="F1846" s="326" t="s">
        <v>44</v>
      </c>
      <c r="G1846" s="110">
        <v>51</v>
      </c>
      <c r="I1846" s="24"/>
      <c r="K1846" s="222"/>
    </row>
    <row r="1847" spans="1:11" ht="28.5">
      <c r="A1847" s="69" t="s">
        <v>1916</v>
      </c>
      <c r="B1847" s="230"/>
      <c r="C1847" s="69" t="s">
        <v>3</v>
      </c>
      <c r="D1847" s="69" t="s">
        <v>4</v>
      </c>
      <c r="E1847" s="69" t="s">
        <v>1826</v>
      </c>
      <c r="F1847" s="69" t="s">
        <v>367</v>
      </c>
      <c r="G1847" s="69" t="s">
        <v>368</v>
      </c>
      <c r="I1847" s="25"/>
      <c r="K1847" s="222"/>
    </row>
    <row r="1848" spans="1:11" ht="45">
      <c r="A1848" s="111">
        <v>4417</v>
      </c>
      <c r="B1848" s="101" t="s">
        <v>373</v>
      </c>
      <c r="C1848" s="21" t="s">
        <v>12</v>
      </c>
      <c r="D1848" s="111" t="s">
        <v>52</v>
      </c>
      <c r="E1848" s="112">
        <v>1</v>
      </c>
      <c r="F1848" s="113">
        <f t="shared" ref="F1848:F1854" si="106">H1848</f>
        <v>4.6240000000000006</v>
      </c>
      <c r="G1848" s="114">
        <f t="shared" ref="G1848:G1854" si="107">ROUND((E1848*F1848),2)</f>
        <v>4.62</v>
      </c>
      <c r="H1848" s="337">
        <v>4.6240000000000006</v>
      </c>
      <c r="I1848" s="23" t="e">
        <f>IF(A1848&lt;&gt;0,VLOOKUP(A1848,#REF!,2,FALSE),"")</f>
        <v>#REF!</v>
      </c>
      <c r="K1848" s="222"/>
    </row>
    <row r="1849" spans="1:11" ht="45">
      <c r="A1849" s="111">
        <v>4491</v>
      </c>
      <c r="B1849" s="101" t="s">
        <v>1921</v>
      </c>
      <c r="C1849" s="21" t="s">
        <v>12</v>
      </c>
      <c r="D1849" s="111" t="s">
        <v>52</v>
      </c>
      <c r="E1849" s="112">
        <v>4</v>
      </c>
      <c r="F1849" s="113">
        <f t="shared" si="106"/>
        <v>5.4654999999999996</v>
      </c>
      <c r="G1849" s="114">
        <f t="shared" si="107"/>
        <v>21.86</v>
      </c>
      <c r="H1849" s="337">
        <v>5.4654999999999996</v>
      </c>
      <c r="I1849" s="23" t="e">
        <f>IF(A1849&lt;&gt;0,VLOOKUP(A1849,#REF!,2,FALSE),"")</f>
        <v>#REF!</v>
      </c>
      <c r="K1849" s="222"/>
    </row>
    <row r="1850" spans="1:11" ht="45">
      <c r="A1850" s="111">
        <v>4813</v>
      </c>
      <c r="B1850" s="101" t="s">
        <v>374</v>
      </c>
      <c r="C1850" s="21" t="s">
        <v>12</v>
      </c>
      <c r="D1850" s="111" t="s">
        <v>26</v>
      </c>
      <c r="E1850" s="112">
        <v>1</v>
      </c>
      <c r="F1850" s="113">
        <f t="shared" si="106"/>
        <v>191.25</v>
      </c>
      <c r="G1850" s="114">
        <f t="shared" si="107"/>
        <v>191.25</v>
      </c>
      <c r="H1850" s="337">
        <v>191.25</v>
      </c>
      <c r="I1850" s="23" t="e">
        <f>IF(A1850&lt;&gt;0,VLOOKUP(A1850,#REF!,2,FALSE),"")</f>
        <v>#REF!</v>
      </c>
      <c r="K1850" s="222"/>
    </row>
    <row r="1851" spans="1:11" ht="30">
      <c r="A1851" s="111">
        <v>5075</v>
      </c>
      <c r="B1851" s="101" t="s">
        <v>375</v>
      </c>
      <c r="C1851" s="21" t="s">
        <v>12</v>
      </c>
      <c r="D1851" s="111" t="s">
        <v>45</v>
      </c>
      <c r="E1851" s="112">
        <v>0.15</v>
      </c>
      <c r="F1851" s="113">
        <f t="shared" si="106"/>
        <v>15.997</v>
      </c>
      <c r="G1851" s="114">
        <f t="shared" si="107"/>
        <v>2.4</v>
      </c>
      <c r="H1851" s="337">
        <v>15.997</v>
      </c>
      <c r="I1851" s="23" t="e">
        <f>IF(A1851&lt;&gt;0,VLOOKUP(A1851,#REF!,2,FALSE),"")</f>
        <v>#REF!</v>
      </c>
      <c r="K1851" s="222"/>
    </row>
    <row r="1852" spans="1:11" ht="60">
      <c r="A1852" s="111">
        <v>94962</v>
      </c>
      <c r="B1852" s="101" t="s">
        <v>1902</v>
      </c>
      <c r="C1852" s="21" t="s">
        <v>12</v>
      </c>
      <c r="D1852" s="111" t="s">
        <v>35</v>
      </c>
      <c r="E1852" s="112">
        <v>0.01</v>
      </c>
      <c r="F1852" s="113">
        <f t="shared" si="106"/>
        <v>258.9015</v>
      </c>
      <c r="G1852" s="114">
        <f t="shared" si="107"/>
        <v>2.59</v>
      </c>
      <c r="H1852" s="337">
        <v>258.9015</v>
      </c>
      <c r="I1852" s="23" t="e">
        <f>IF(A1852&lt;&gt;0,VLOOKUP(A1852,#REF!,2,FALSE),"")</f>
        <v>#REF!</v>
      </c>
      <c r="K1852" s="222"/>
    </row>
    <row r="1853" spans="1:11" ht="30">
      <c r="A1853" s="111">
        <v>88262</v>
      </c>
      <c r="B1853" s="101" t="s">
        <v>376</v>
      </c>
      <c r="C1853" s="21" t="s">
        <v>12</v>
      </c>
      <c r="D1853" s="103" t="s">
        <v>19</v>
      </c>
      <c r="E1853" s="115">
        <v>1</v>
      </c>
      <c r="F1853" s="113">
        <f t="shared" si="106"/>
        <v>14.96</v>
      </c>
      <c r="G1853" s="114">
        <f t="shared" si="107"/>
        <v>14.96</v>
      </c>
      <c r="H1853" s="337">
        <v>14.96</v>
      </c>
      <c r="I1853" s="23" t="e">
        <f>IF(A1853&lt;&gt;0,VLOOKUP(A1853,#REF!,2,FALSE),"")</f>
        <v>#REF!</v>
      </c>
      <c r="K1853" s="222"/>
    </row>
    <row r="1854" spans="1:11" ht="30">
      <c r="A1854" s="111">
        <v>88316</v>
      </c>
      <c r="B1854" s="101" t="s">
        <v>377</v>
      </c>
      <c r="C1854" s="21" t="s">
        <v>12</v>
      </c>
      <c r="D1854" s="103" t="s">
        <v>19</v>
      </c>
      <c r="E1854" s="115">
        <v>2</v>
      </c>
      <c r="F1854" s="113">
        <f t="shared" si="106"/>
        <v>11.798000000000002</v>
      </c>
      <c r="G1854" s="114">
        <f t="shared" si="107"/>
        <v>23.6</v>
      </c>
      <c r="H1854" s="337">
        <v>11.798000000000002</v>
      </c>
      <c r="I1854" s="23" t="e">
        <f>IF(A1854&lt;&gt;0,VLOOKUP(A1854,#REF!,2,FALSE),"")</f>
        <v>#REF!</v>
      </c>
      <c r="K1854" s="222"/>
    </row>
    <row r="1855" spans="1:11">
      <c r="A1855" s="741" t="s">
        <v>1893</v>
      </c>
      <c r="B1855" s="742"/>
      <c r="C1855" s="742"/>
      <c r="D1855" s="742"/>
      <c r="E1855" s="742"/>
      <c r="F1855" s="743"/>
      <c r="G1855" s="107">
        <f>ROUND(SUM(G1848:G1854),2)</f>
        <v>261.27999999999997</v>
      </c>
      <c r="I1855" s="24"/>
      <c r="K1855" s="222"/>
    </row>
    <row r="1856" spans="1:11" ht="26.25" customHeight="1">
      <c r="K1856" s="222"/>
    </row>
    <row r="1857" spans="1:11" ht="23.25" customHeight="1">
      <c r="A1857" s="738" t="s">
        <v>1924</v>
      </c>
      <c r="B1857" s="739"/>
      <c r="C1857" s="739"/>
      <c r="D1857" s="739"/>
      <c r="E1857" s="740"/>
      <c r="F1857" s="326" t="s">
        <v>44</v>
      </c>
      <c r="G1857" s="116">
        <v>9502</v>
      </c>
      <c r="I1857" s="24"/>
      <c r="K1857" s="222"/>
    </row>
    <row r="1858" spans="1:11" ht="28.5">
      <c r="A1858" s="69" t="s">
        <v>1916</v>
      </c>
      <c r="B1858" s="230"/>
      <c r="C1858" s="69" t="s">
        <v>3</v>
      </c>
      <c r="D1858" s="69" t="s">
        <v>4</v>
      </c>
      <c r="E1858" s="69" t="s">
        <v>1826</v>
      </c>
      <c r="F1858" s="69" t="s">
        <v>367</v>
      </c>
      <c r="G1858" s="69" t="s">
        <v>368</v>
      </c>
      <c r="I1858" s="24"/>
      <c r="K1858" s="222"/>
    </row>
    <row r="1859" spans="1:11">
      <c r="A1859" s="92">
        <v>3143</v>
      </c>
      <c r="B1859" s="101" t="s">
        <v>1923</v>
      </c>
      <c r="C1859" s="21" t="s">
        <v>12</v>
      </c>
      <c r="D1859" s="92" t="s">
        <v>52</v>
      </c>
      <c r="E1859" s="117">
        <v>0.42</v>
      </c>
      <c r="F1859" s="113">
        <f>H1859</f>
        <v>6.9614999999999991</v>
      </c>
      <c r="G1859" s="114">
        <f>ROUND((E1859*F1859),2)</f>
        <v>2.92</v>
      </c>
      <c r="H1859" s="337">
        <v>6.9614999999999991</v>
      </c>
      <c r="I1859" s="23" t="e">
        <f>IF(A1859&lt;&gt;0,VLOOKUP(A1859,#REF!,2,FALSE),"")</f>
        <v>#REF!</v>
      </c>
      <c r="K1859" s="222"/>
    </row>
    <row r="1860" spans="1:11">
      <c r="A1860" s="92">
        <v>38189</v>
      </c>
      <c r="B1860" s="101" t="s">
        <v>1925</v>
      </c>
      <c r="C1860" s="21" t="s">
        <v>12</v>
      </c>
      <c r="D1860" s="92" t="s">
        <v>17</v>
      </c>
      <c r="E1860" s="117">
        <v>1</v>
      </c>
      <c r="F1860" s="113">
        <f>H1860</f>
        <v>180.93950000000001</v>
      </c>
      <c r="G1860" s="114">
        <f>ROUND((E1860*F1860),2)</f>
        <v>180.94</v>
      </c>
      <c r="H1860" s="337">
        <v>180.93950000000001</v>
      </c>
      <c r="I1860" s="23" t="e">
        <f>IF(A1860&lt;&gt;0,VLOOKUP(A1860,#REF!,2,FALSE),"")</f>
        <v>#REF!</v>
      </c>
      <c r="K1860" s="222"/>
    </row>
    <row r="1861" spans="1:11" ht="30">
      <c r="A1861" s="92">
        <v>88267</v>
      </c>
      <c r="B1861" s="101" t="s">
        <v>472</v>
      </c>
      <c r="C1861" s="21" t="s">
        <v>12</v>
      </c>
      <c r="D1861" s="92" t="s">
        <v>19</v>
      </c>
      <c r="E1861" s="117">
        <v>0.5</v>
      </c>
      <c r="F1861" s="113">
        <f>H1861</f>
        <v>14.7135</v>
      </c>
      <c r="G1861" s="114">
        <f>ROUND((E1861*F1861),2)</f>
        <v>7.36</v>
      </c>
      <c r="H1861" s="337">
        <v>14.7135</v>
      </c>
      <c r="I1861" s="23" t="e">
        <f>IF(A1861&lt;&gt;0,VLOOKUP(A1861,#REF!,2,FALSE),"")</f>
        <v>#REF!</v>
      </c>
      <c r="K1861" s="222"/>
    </row>
    <row r="1862" spans="1:11">
      <c r="A1862" s="741" t="s">
        <v>1893</v>
      </c>
      <c r="B1862" s="742"/>
      <c r="C1862" s="742"/>
      <c r="D1862" s="742"/>
      <c r="E1862" s="742"/>
      <c r="F1862" s="743"/>
      <c r="G1862" s="107">
        <f>ROUND(SUM(G1859:G1861),2)</f>
        <v>191.22</v>
      </c>
      <c r="I1862" s="24"/>
      <c r="K1862" s="222"/>
    </row>
    <row r="1863" spans="1:11" ht="24.75" customHeight="1">
      <c r="K1863" s="222"/>
    </row>
    <row r="1864" spans="1:11" ht="15" customHeight="1">
      <c r="A1864" s="746" t="s">
        <v>1926</v>
      </c>
      <c r="B1864" s="747"/>
      <c r="C1864" s="747"/>
      <c r="D1864" s="747"/>
      <c r="E1864" s="748"/>
      <c r="F1864" s="326" t="s">
        <v>44</v>
      </c>
      <c r="G1864" s="110">
        <v>9041</v>
      </c>
      <c r="I1864" s="24"/>
      <c r="K1864" s="222"/>
    </row>
    <row r="1865" spans="1:11" ht="28.5">
      <c r="A1865" s="69" t="s">
        <v>1916</v>
      </c>
      <c r="B1865" s="230"/>
      <c r="C1865" s="69" t="s">
        <v>3</v>
      </c>
      <c r="D1865" s="69" t="s">
        <v>4</v>
      </c>
      <c r="E1865" s="69" t="s">
        <v>1826</v>
      </c>
      <c r="F1865" s="69" t="s">
        <v>367</v>
      </c>
      <c r="G1865" s="69" t="s">
        <v>368</v>
      </c>
      <c r="I1865" s="24"/>
      <c r="K1865" s="222"/>
    </row>
    <row r="1866" spans="1:11" s="38" customFormat="1" ht="30">
      <c r="A1866" s="92">
        <v>9225</v>
      </c>
      <c r="B1866" s="101" t="s">
        <v>1927</v>
      </c>
      <c r="C1866" s="21" t="s">
        <v>44</v>
      </c>
      <c r="D1866" s="92" t="s">
        <v>17</v>
      </c>
      <c r="E1866" s="117">
        <v>1</v>
      </c>
      <c r="F1866" s="118">
        <f>H1866</f>
        <v>89.25</v>
      </c>
      <c r="G1866" s="119">
        <f>ROUND((E1866*F1866),2)</f>
        <v>89.25</v>
      </c>
      <c r="H1866" s="336">
        <v>89.25</v>
      </c>
      <c r="I1866" s="38" t="e">
        <f>IF(A1866&lt;&gt;0,VLOOKUP(A1866,#REF!,2,FALSE),"")</f>
        <v>#REF!</v>
      </c>
      <c r="J1866" s="336"/>
      <c r="K1866" s="222"/>
    </row>
    <row r="1867" spans="1:11" ht="30">
      <c r="A1867" s="92">
        <v>88247</v>
      </c>
      <c r="B1867" s="101" t="s">
        <v>510</v>
      </c>
      <c r="C1867" s="21" t="s">
        <v>12</v>
      </c>
      <c r="D1867" s="92" t="s">
        <v>19</v>
      </c>
      <c r="E1867" s="117">
        <v>0.3</v>
      </c>
      <c r="F1867" s="113">
        <f>H1867</f>
        <v>11.9085</v>
      </c>
      <c r="G1867" s="114">
        <f>ROUND((E1867*F1867),2)</f>
        <v>3.57</v>
      </c>
      <c r="H1867" s="337">
        <v>11.9085</v>
      </c>
      <c r="I1867" s="23" t="e">
        <f>IF(A1867&lt;&gt;0,VLOOKUP(A1867,#REF!,2,FALSE),"")</f>
        <v>#REF!</v>
      </c>
      <c r="K1867" s="222"/>
    </row>
    <row r="1868" spans="1:11" ht="30">
      <c r="A1868" s="92">
        <v>88264</v>
      </c>
      <c r="B1868" s="101" t="s">
        <v>379</v>
      </c>
      <c r="C1868" s="21" t="s">
        <v>12</v>
      </c>
      <c r="D1868" s="92" t="s">
        <v>19</v>
      </c>
      <c r="E1868" s="117">
        <v>0.3</v>
      </c>
      <c r="F1868" s="113">
        <f>H1868</f>
        <v>15.249000000000001</v>
      </c>
      <c r="G1868" s="114">
        <f>ROUND((E1868*F1868),2)</f>
        <v>4.57</v>
      </c>
      <c r="H1868" s="337">
        <v>15.249000000000001</v>
      </c>
      <c r="I1868" s="23" t="e">
        <f>IF(A1868&lt;&gt;0,VLOOKUP(A1868,#REF!,2,FALSE),"")</f>
        <v>#REF!</v>
      </c>
      <c r="K1868" s="222"/>
    </row>
    <row r="1869" spans="1:11">
      <c r="A1869" s="741" t="s">
        <v>1893</v>
      </c>
      <c r="B1869" s="742"/>
      <c r="C1869" s="742"/>
      <c r="D1869" s="742"/>
      <c r="E1869" s="742"/>
      <c r="F1869" s="743"/>
      <c r="G1869" s="120">
        <f>ROUND(SUM(G1866:G1868),2)</f>
        <v>97.39</v>
      </c>
      <c r="I1869" s="24"/>
      <c r="K1869" s="222"/>
    </row>
    <row r="1870" spans="1:11">
      <c r="A1870" s="121"/>
      <c r="B1870" s="122"/>
      <c r="C1870" s="121"/>
      <c r="D1870" s="121"/>
      <c r="E1870" s="121"/>
      <c r="F1870" s="123"/>
      <c r="G1870" s="121"/>
      <c r="I1870" s="24"/>
      <c r="K1870" s="222"/>
    </row>
    <row r="1871" spans="1:11">
      <c r="A1871" s="121"/>
      <c r="B1871" s="122"/>
      <c r="C1871" s="121"/>
      <c r="D1871" s="121"/>
      <c r="E1871" s="121"/>
      <c r="F1871" s="123"/>
      <c r="G1871" s="121"/>
      <c r="I1871" s="24"/>
      <c r="K1871" s="222"/>
    </row>
    <row r="1872" spans="1:11" ht="33" customHeight="1">
      <c r="A1872" s="746" t="s">
        <v>1928</v>
      </c>
      <c r="B1872" s="747"/>
      <c r="C1872" s="747"/>
      <c r="D1872" s="747"/>
      <c r="E1872" s="748"/>
      <c r="F1872" s="326" t="s">
        <v>44</v>
      </c>
      <c r="G1872" s="110">
        <v>7996</v>
      </c>
      <c r="I1872" s="24"/>
      <c r="K1872" s="222"/>
    </row>
    <row r="1873" spans="1:11" ht="28.5">
      <c r="A1873" s="69" t="s">
        <v>1916</v>
      </c>
      <c r="B1873" s="230"/>
      <c r="C1873" s="69" t="s">
        <v>3</v>
      </c>
      <c r="D1873" s="69" t="s">
        <v>4</v>
      </c>
      <c r="E1873" s="69" t="s">
        <v>1826</v>
      </c>
      <c r="F1873" s="69" t="s">
        <v>367</v>
      </c>
      <c r="G1873" s="69" t="s">
        <v>368</v>
      </c>
      <c r="I1873" s="24"/>
      <c r="K1873" s="222"/>
    </row>
    <row r="1874" spans="1:11" s="38" customFormat="1" ht="30">
      <c r="A1874" s="92">
        <v>7943</v>
      </c>
      <c r="B1874" s="101" t="s">
        <v>1929</v>
      </c>
      <c r="C1874" s="21" t="s">
        <v>44</v>
      </c>
      <c r="D1874" s="92" t="s">
        <v>17</v>
      </c>
      <c r="E1874" s="117">
        <v>1</v>
      </c>
      <c r="F1874" s="113">
        <f>H1874</f>
        <v>111.15450000000001</v>
      </c>
      <c r="G1874" s="114">
        <f>ROUND((E1874*F1874),2)</f>
        <v>111.15</v>
      </c>
      <c r="H1874" s="336">
        <v>111.15450000000001</v>
      </c>
      <c r="I1874" s="38" t="e">
        <f>IF(A1874&lt;&gt;0,VLOOKUP(A1874,#REF!,2,FALSE),"")</f>
        <v>#REF!</v>
      </c>
      <c r="J1874" s="336"/>
      <c r="K1874" s="222"/>
    </row>
    <row r="1875" spans="1:11" ht="30">
      <c r="A1875" s="92">
        <v>88247</v>
      </c>
      <c r="B1875" s="101" t="s">
        <v>510</v>
      </c>
      <c r="C1875" s="21" t="s">
        <v>12</v>
      </c>
      <c r="D1875" s="92" t="s">
        <v>19</v>
      </c>
      <c r="E1875" s="117">
        <v>0.6</v>
      </c>
      <c r="F1875" s="113">
        <f>H1875</f>
        <v>11.9085</v>
      </c>
      <c r="G1875" s="114">
        <f>ROUND((E1875*F1875),2)</f>
        <v>7.15</v>
      </c>
      <c r="H1875" s="337">
        <v>11.9085</v>
      </c>
      <c r="I1875" s="23" t="e">
        <f>IF(A1875&lt;&gt;0,VLOOKUP(A1875,#REF!,2,FALSE),"")</f>
        <v>#REF!</v>
      </c>
      <c r="K1875" s="222"/>
    </row>
    <row r="1876" spans="1:11" ht="30">
      <c r="A1876" s="92">
        <v>88264</v>
      </c>
      <c r="B1876" s="101" t="s">
        <v>379</v>
      </c>
      <c r="C1876" s="21" t="s">
        <v>12</v>
      </c>
      <c r="D1876" s="92" t="s">
        <v>19</v>
      </c>
      <c r="E1876" s="117">
        <v>0.6</v>
      </c>
      <c r="F1876" s="113">
        <f>H1876</f>
        <v>15.249000000000001</v>
      </c>
      <c r="G1876" s="114">
        <f>ROUND((E1876*F1876),2)</f>
        <v>9.15</v>
      </c>
      <c r="H1876" s="337">
        <v>15.249000000000001</v>
      </c>
      <c r="I1876" s="23" t="e">
        <f>IF(A1876&lt;&gt;0,VLOOKUP(A1876,#REF!,2,FALSE),"")</f>
        <v>#REF!</v>
      </c>
      <c r="K1876" s="222"/>
    </row>
    <row r="1877" spans="1:11">
      <c r="A1877" s="741" t="s">
        <v>1893</v>
      </c>
      <c r="B1877" s="742"/>
      <c r="C1877" s="742"/>
      <c r="D1877" s="742"/>
      <c r="E1877" s="742"/>
      <c r="F1877" s="743"/>
      <c r="G1877" s="120">
        <f>ROUND(SUM(G1874:G1876),2)</f>
        <v>127.45</v>
      </c>
      <c r="I1877" s="24"/>
      <c r="K1877" s="222"/>
    </row>
    <row r="1878" spans="1:11">
      <c r="A1878" s="121"/>
      <c r="B1878" s="122"/>
      <c r="C1878" s="121"/>
      <c r="D1878" s="121"/>
      <c r="E1878" s="121"/>
      <c r="F1878" s="123"/>
      <c r="G1878" s="121"/>
      <c r="I1878" s="24"/>
      <c r="K1878" s="222"/>
    </row>
    <row r="1879" spans="1:11">
      <c r="A1879" s="121"/>
      <c r="B1879" s="122"/>
      <c r="C1879" s="121"/>
      <c r="D1879" s="121"/>
      <c r="E1879" s="121"/>
      <c r="F1879" s="123"/>
      <c r="G1879" s="121"/>
      <c r="I1879" s="24"/>
      <c r="K1879" s="222"/>
    </row>
    <row r="1880" spans="1:11" ht="27" customHeight="1">
      <c r="A1880" s="738" t="s">
        <v>1930</v>
      </c>
      <c r="B1880" s="739"/>
      <c r="C1880" s="739"/>
      <c r="D1880" s="739"/>
      <c r="E1880" s="740"/>
      <c r="F1880" s="326" t="s">
        <v>44</v>
      </c>
      <c r="G1880" s="110">
        <v>539</v>
      </c>
      <c r="I1880" s="24"/>
      <c r="K1880" s="222"/>
    </row>
    <row r="1881" spans="1:11" ht="28.5">
      <c r="A1881" s="69" t="s">
        <v>1916</v>
      </c>
      <c r="B1881" s="230"/>
      <c r="C1881" s="69" t="s">
        <v>3</v>
      </c>
      <c r="D1881" s="69" t="s">
        <v>4</v>
      </c>
      <c r="E1881" s="69" t="s">
        <v>1826</v>
      </c>
      <c r="F1881" s="69" t="s">
        <v>367</v>
      </c>
      <c r="G1881" s="69" t="s">
        <v>368</v>
      </c>
      <c r="I1881" s="24"/>
      <c r="K1881" s="222"/>
    </row>
    <row r="1882" spans="1:11">
      <c r="A1882" s="92">
        <v>39387</v>
      </c>
      <c r="B1882" s="101" t="s">
        <v>1931</v>
      </c>
      <c r="C1882" s="21" t="s">
        <v>12</v>
      </c>
      <c r="D1882" s="92" t="s">
        <v>17</v>
      </c>
      <c r="E1882" s="117">
        <v>2</v>
      </c>
      <c r="F1882" s="113">
        <f>H1882</f>
        <v>17.765000000000001</v>
      </c>
      <c r="G1882" s="119">
        <f>ROUND((E1882*F1882),2)</f>
        <v>35.53</v>
      </c>
      <c r="H1882" s="337">
        <v>17.765000000000001</v>
      </c>
      <c r="I1882" s="23" t="e">
        <f>IF(A1882&lt;&gt;0,VLOOKUP(A1882,#REF!,2,FALSE),"")</f>
        <v>#REF!</v>
      </c>
      <c r="K1882" s="222"/>
    </row>
    <row r="1883" spans="1:11" s="38" customFormat="1" ht="30">
      <c r="A1883" s="92">
        <v>1366</v>
      </c>
      <c r="B1883" s="101" t="s">
        <v>1932</v>
      </c>
      <c r="C1883" s="21" t="s">
        <v>44</v>
      </c>
      <c r="D1883" s="92" t="s">
        <v>17</v>
      </c>
      <c r="E1883" s="117">
        <v>1</v>
      </c>
      <c r="F1883" s="113">
        <f>H1883</f>
        <v>126.58199999999999</v>
      </c>
      <c r="G1883" s="114">
        <f>ROUND((E1883*F1883),2)</f>
        <v>126.58</v>
      </c>
      <c r="H1883" s="336">
        <v>126.58199999999999</v>
      </c>
      <c r="I1883" s="38" t="e">
        <f>IF(A1883&lt;&gt;0,VLOOKUP(A1883,#REF!,2,FALSE),"")</f>
        <v>#REF!</v>
      </c>
      <c r="J1883" s="336"/>
      <c r="K1883" s="222"/>
    </row>
    <row r="1884" spans="1:11" ht="30">
      <c r="A1884" s="92">
        <v>88247</v>
      </c>
      <c r="B1884" s="101" t="s">
        <v>510</v>
      </c>
      <c r="C1884" s="21" t="s">
        <v>12</v>
      </c>
      <c r="D1884" s="92" t="s">
        <v>19</v>
      </c>
      <c r="E1884" s="117">
        <v>1</v>
      </c>
      <c r="F1884" s="113">
        <f>H1884</f>
        <v>11.9085</v>
      </c>
      <c r="G1884" s="114">
        <f>ROUND((E1884*F1884),2)</f>
        <v>11.91</v>
      </c>
      <c r="H1884" s="337">
        <v>11.9085</v>
      </c>
      <c r="I1884" s="23" t="e">
        <f>IF(A1884&lt;&gt;0,VLOOKUP(A1884,#REF!,2,FALSE),"")</f>
        <v>#REF!</v>
      </c>
      <c r="K1884" s="222"/>
    </row>
    <row r="1885" spans="1:11" ht="30">
      <c r="A1885" s="92">
        <v>88264</v>
      </c>
      <c r="B1885" s="101" t="s">
        <v>379</v>
      </c>
      <c r="C1885" s="21" t="s">
        <v>12</v>
      </c>
      <c r="D1885" s="92" t="s">
        <v>19</v>
      </c>
      <c r="E1885" s="117">
        <v>1</v>
      </c>
      <c r="F1885" s="113">
        <f>H1885</f>
        <v>15.249000000000001</v>
      </c>
      <c r="G1885" s="114">
        <f>ROUND((E1885*F1885),2)</f>
        <v>15.25</v>
      </c>
      <c r="H1885" s="337">
        <v>15.249000000000001</v>
      </c>
      <c r="I1885" s="23" t="e">
        <f>IF(A1885&lt;&gt;0,VLOOKUP(A1885,#REF!,2,FALSE),"")</f>
        <v>#REF!</v>
      </c>
      <c r="K1885" s="222"/>
    </row>
    <row r="1886" spans="1:11">
      <c r="A1886" s="735" t="s">
        <v>1893</v>
      </c>
      <c r="B1886" s="736"/>
      <c r="C1886" s="736"/>
      <c r="D1886" s="736"/>
      <c r="E1886" s="736"/>
      <c r="F1886" s="737"/>
      <c r="G1886" s="120">
        <f>ROUND(SUM(G1882:G1885),2)</f>
        <v>189.27</v>
      </c>
      <c r="I1886" s="24"/>
      <c r="K1886" s="222"/>
    </row>
    <row r="1887" spans="1:11" ht="30.75" customHeight="1">
      <c r="K1887" s="222"/>
    </row>
    <row r="1888" spans="1:11" ht="48" customHeight="1">
      <c r="A1888" s="746" t="s">
        <v>1933</v>
      </c>
      <c r="B1888" s="747"/>
      <c r="C1888" s="747"/>
      <c r="D1888" s="747"/>
      <c r="E1888" s="748"/>
      <c r="F1888" s="326" t="s">
        <v>44</v>
      </c>
      <c r="G1888" s="110">
        <v>12233</v>
      </c>
      <c r="I1888" s="24"/>
      <c r="K1888" s="222"/>
    </row>
    <row r="1889" spans="1:11" ht="28.5">
      <c r="A1889" s="69" t="s">
        <v>1916</v>
      </c>
      <c r="B1889" s="230"/>
      <c r="C1889" s="69" t="s">
        <v>3</v>
      </c>
      <c r="D1889" s="69" t="s">
        <v>4</v>
      </c>
      <c r="E1889" s="69" t="s">
        <v>1826</v>
      </c>
      <c r="F1889" s="69" t="s">
        <v>367</v>
      </c>
      <c r="G1889" s="69" t="s">
        <v>368</v>
      </c>
      <c r="I1889" s="24"/>
      <c r="K1889" s="222"/>
    </row>
    <row r="1890" spans="1:11" s="38" customFormat="1" ht="60">
      <c r="A1890" s="92">
        <v>8261</v>
      </c>
      <c r="B1890" s="101" t="s">
        <v>1934</v>
      </c>
      <c r="C1890" s="21" t="s">
        <v>44</v>
      </c>
      <c r="D1890" s="92" t="s">
        <v>17</v>
      </c>
      <c r="E1890" s="124">
        <v>1</v>
      </c>
      <c r="F1890" s="118">
        <f>H1890</f>
        <v>595</v>
      </c>
      <c r="G1890" s="119">
        <f>ROUND((E1890*F1890),2)</f>
        <v>595</v>
      </c>
      <c r="H1890" s="336">
        <v>595</v>
      </c>
      <c r="I1890" s="38" t="e">
        <f>IF(A1890&lt;&gt;0,VLOOKUP(A1890,#REF!,2,FALSE),"")</f>
        <v>#REF!</v>
      </c>
      <c r="J1890" s="336"/>
      <c r="K1890" s="222"/>
    </row>
    <row r="1891" spans="1:11" ht="75">
      <c r="A1891" s="92">
        <v>87296</v>
      </c>
      <c r="B1891" s="101" t="s">
        <v>1935</v>
      </c>
      <c r="C1891" s="21" t="s">
        <v>12</v>
      </c>
      <c r="D1891" s="92" t="s">
        <v>1936</v>
      </c>
      <c r="E1891" s="124">
        <v>2.4E-2</v>
      </c>
      <c r="F1891" s="113">
        <f>H1891</f>
        <v>333.54850000000005</v>
      </c>
      <c r="G1891" s="114">
        <f>ROUND((E1891*F1891),2)</f>
        <v>8.01</v>
      </c>
      <c r="H1891" s="337">
        <v>333.54850000000005</v>
      </c>
      <c r="I1891" s="23" t="e">
        <f>IF(A1891&lt;&gt;0,VLOOKUP(A1891,#REF!,2,FALSE),"")</f>
        <v>#REF!</v>
      </c>
      <c r="K1891" s="222"/>
    </row>
    <row r="1892" spans="1:11" ht="30">
      <c r="A1892" s="92">
        <v>88316</v>
      </c>
      <c r="B1892" s="101" t="s">
        <v>377</v>
      </c>
      <c r="C1892" s="21" t="s">
        <v>12</v>
      </c>
      <c r="D1892" s="92" t="s">
        <v>19</v>
      </c>
      <c r="E1892" s="117">
        <v>5.2</v>
      </c>
      <c r="F1892" s="113">
        <f>H1892</f>
        <v>11.798000000000002</v>
      </c>
      <c r="G1892" s="114">
        <f>ROUND((E1892*F1892),2)</f>
        <v>61.35</v>
      </c>
      <c r="H1892" s="337">
        <v>11.798000000000002</v>
      </c>
      <c r="I1892" s="23" t="e">
        <f>IF(A1892&lt;&gt;0,VLOOKUP(A1892,#REF!,2,FALSE),"")</f>
        <v>#REF!</v>
      </c>
      <c r="K1892" s="222"/>
    </row>
    <row r="1893" spans="1:11" ht="30">
      <c r="A1893" s="92">
        <v>88309</v>
      </c>
      <c r="B1893" s="101" t="s">
        <v>390</v>
      </c>
      <c r="C1893" s="21" t="s">
        <v>12</v>
      </c>
      <c r="D1893" s="92" t="s">
        <v>19</v>
      </c>
      <c r="E1893" s="125">
        <v>3.5</v>
      </c>
      <c r="F1893" s="113">
        <f>H1893</f>
        <v>15.121499999999999</v>
      </c>
      <c r="G1893" s="114">
        <f>ROUND((E1893*F1893),2)</f>
        <v>52.93</v>
      </c>
      <c r="H1893" s="337">
        <v>15.121499999999999</v>
      </c>
      <c r="I1893" s="23" t="e">
        <f>IF(A1893&lt;&gt;0,VLOOKUP(A1893,#REF!,2,FALSE),"")</f>
        <v>#REF!</v>
      </c>
      <c r="K1893" s="222"/>
    </row>
    <row r="1894" spans="1:11" ht="30">
      <c r="A1894" s="92">
        <v>88264</v>
      </c>
      <c r="B1894" s="101" t="s">
        <v>379</v>
      </c>
      <c r="C1894" s="21" t="s">
        <v>12</v>
      </c>
      <c r="D1894" s="92" t="s">
        <v>19</v>
      </c>
      <c r="E1894" s="117">
        <v>14</v>
      </c>
      <c r="F1894" s="113">
        <f>H1894</f>
        <v>15.249000000000001</v>
      </c>
      <c r="G1894" s="114">
        <f>ROUND((E1894*F1894),2)</f>
        <v>213.49</v>
      </c>
      <c r="H1894" s="337">
        <v>15.249000000000001</v>
      </c>
      <c r="I1894" s="23" t="e">
        <f>IF(A1894&lt;&gt;0,VLOOKUP(A1894,#REF!,2,FALSE),"")</f>
        <v>#REF!</v>
      </c>
      <c r="K1894" s="222"/>
    </row>
    <row r="1895" spans="1:11">
      <c r="A1895" s="741" t="s">
        <v>1893</v>
      </c>
      <c r="B1895" s="742"/>
      <c r="C1895" s="742"/>
      <c r="D1895" s="742"/>
      <c r="E1895" s="742"/>
      <c r="F1895" s="743"/>
      <c r="G1895" s="120">
        <f>ROUND(SUM(G1890:G1894),2)</f>
        <v>930.78</v>
      </c>
      <c r="I1895" s="24"/>
      <c r="K1895" s="222"/>
    </row>
    <row r="1896" spans="1:11" ht="28.5" customHeight="1">
      <c r="K1896" s="222"/>
    </row>
    <row r="1897" spans="1:11" ht="15" customHeight="1">
      <c r="A1897" s="746" t="s">
        <v>1937</v>
      </c>
      <c r="B1897" s="747"/>
      <c r="C1897" s="747"/>
      <c r="D1897" s="747"/>
      <c r="E1897" s="748"/>
      <c r="F1897" s="326" t="s">
        <v>44</v>
      </c>
      <c r="G1897" s="110">
        <v>780</v>
      </c>
      <c r="I1897" s="24"/>
      <c r="K1897" s="222"/>
    </row>
    <row r="1898" spans="1:11" ht="28.5">
      <c r="A1898" s="69" t="s">
        <v>1916</v>
      </c>
      <c r="B1898" s="230"/>
      <c r="C1898" s="69" t="s">
        <v>3</v>
      </c>
      <c r="D1898" s="69" t="s">
        <v>4</v>
      </c>
      <c r="E1898" s="69" t="s">
        <v>1826</v>
      </c>
      <c r="F1898" s="69" t="s">
        <v>367</v>
      </c>
      <c r="G1898" s="69" t="s">
        <v>368</v>
      </c>
      <c r="I1898" s="24"/>
      <c r="K1898" s="222"/>
    </row>
    <row r="1899" spans="1:11" s="38" customFormat="1" ht="30">
      <c r="A1899" s="92">
        <v>9101</v>
      </c>
      <c r="B1899" s="101" t="s">
        <v>1938</v>
      </c>
      <c r="C1899" s="21" t="s">
        <v>44</v>
      </c>
      <c r="D1899" s="92" t="s">
        <v>17</v>
      </c>
      <c r="E1899" s="124">
        <v>1</v>
      </c>
      <c r="F1899" s="118">
        <f>H1899</f>
        <v>36.549999999999997</v>
      </c>
      <c r="G1899" s="119">
        <f>ROUND((E1899*F1899),2)</f>
        <v>36.549999999999997</v>
      </c>
      <c r="H1899" s="336">
        <v>36.549999999999997</v>
      </c>
      <c r="I1899" s="38" t="e">
        <f>IF(A1899&lt;&gt;0,VLOOKUP(A1899,#REF!,2,FALSE),"")</f>
        <v>#REF!</v>
      </c>
      <c r="J1899" s="336"/>
      <c r="K1899" s="222"/>
    </row>
    <row r="1900" spans="1:11" ht="30">
      <c r="A1900" s="92">
        <v>1872</v>
      </c>
      <c r="B1900" s="101" t="s">
        <v>1939</v>
      </c>
      <c r="C1900" s="21" t="s">
        <v>12</v>
      </c>
      <c r="D1900" s="92" t="s">
        <v>17</v>
      </c>
      <c r="E1900" s="124">
        <v>1</v>
      </c>
      <c r="F1900" s="113">
        <f>H1900</f>
        <v>1.7510000000000001</v>
      </c>
      <c r="G1900" s="114">
        <f>ROUND((E1900*F1900),2)</f>
        <v>1.75</v>
      </c>
      <c r="H1900" s="337">
        <v>1.7510000000000001</v>
      </c>
      <c r="I1900" s="23" t="e">
        <f>IF(A1900&lt;&gt;0,VLOOKUP(A1900,#REF!,2,FALSE),"")</f>
        <v>#REF!</v>
      </c>
      <c r="K1900" s="222"/>
    </row>
    <row r="1901" spans="1:11" ht="30">
      <c r="A1901" s="92">
        <v>88316</v>
      </c>
      <c r="B1901" s="101" t="s">
        <v>377</v>
      </c>
      <c r="C1901" s="21" t="s">
        <v>12</v>
      </c>
      <c r="D1901" s="92" t="s">
        <v>19</v>
      </c>
      <c r="E1901" s="117">
        <v>0.7</v>
      </c>
      <c r="F1901" s="113">
        <f>H1901</f>
        <v>11.798000000000002</v>
      </c>
      <c r="G1901" s="114">
        <f>ROUND((E1901*F1901),2)</f>
        <v>8.26</v>
      </c>
      <c r="H1901" s="337">
        <v>11.798000000000002</v>
      </c>
      <c r="I1901" s="23" t="e">
        <f>IF(A1901&lt;&gt;0,VLOOKUP(A1901,#REF!,2,FALSE),"")</f>
        <v>#REF!</v>
      </c>
      <c r="K1901" s="222"/>
    </row>
    <row r="1902" spans="1:11" ht="30">
      <c r="A1902" s="92">
        <v>88264</v>
      </c>
      <c r="B1902" s="101" t="s">
        <v>379</v>
      </c>
      <c r="C1902" s="21" t="s">
        <v>12</v>
      </c>
      <c r="D1902" s="92" t="s">
        <v>19</v>
      </c>
      <c r="E1902" s="117">
        <v>0.7</v>
      </c>
      <c r="F1902" s="113">
        <f>H1902</f>
        <v>15.249000000000001</v>
      </c>
      <c r="G1902" s="114">
        <f>ROUND((E1902*F1902),2)</f>
        <v>10.67</v>
      </c>
      <c r="H1902" s="337">
        <v>15.249000000000001</v>
      </c>
      <c r="I1902" s="23" t="e">
        <f>IF(A1902&lt;&gt;0,VLOOKUP(A1902,#REF!,2,FALSE),"")</f>
        <v>#REF!</v>
      </c>
      <c r="K1902" s="222"/>
    </row>
    <row r="1903" spans="1:11">
      <c r="A1903" s="741" t="s">
        <v>1893</v>
      </c>
      <c r="B1903" s="742"/>
      <c r="C1903" s="742"/>
      <c r="D1903" s="742"/>
      <c r="E1903" s="742"/>
      <c r="F1903" s="743"/>
      <c r="G1903" s="120">
        <f>ROUND(SUM(G1899:G1902),2)</f>
        <v>57.23</v>
      </c>
      <c r="I1903" s="24"/>
      <c r="K1903" s="222"/>
    </row>
    <row r="1904" spans="1:11" ht="23.25" customHeight="1">
      <c r="K1904" s="222"/>
    </row>
    <row r="1905" spans="1:11" ht="39.75" customHeight="1">
      <c r="A1905" s="746" t="s">
        <v>335</v>
      </c>
      <c r="B1905" s="747"/>
      <c r="C1905" s="747"/>
      <c r="D1905" s="747"/>
      <c r="E1905" s="748"/>
      <c r="F1905" s="326" t="s">
        <v>1922</v>
      </c>
      <c r="G1905" s="116" t="s">
        <v>1940</v>
      </c>
      <c r="I1905" s="24"/>
      <c r="K1905" s="222"/>
    </row>
    <row r="1906" spans="1:11" ht="28.5">
      <c r="A1906" s="69" t="s">
        <v>1916</v>
      </c>
      <c r="B1906" s="230"/>
      <c r="C1906" s="69" t="s">
        <v>3</v>
      </c>
      <c r="D1906" s="69" t="s">
        <v>4</v>
      </c>
      <c r="E1906" s="69" t="s">
        <v>1826</v>
      </c>
      <c r="F1906" s="69" t="s">
        <v>367</v>
      </c>
      <c r="G1906" s="69" t="s">
        <v>368</v>
      </c>
      <c r="I1906" s="24"/>
      <c r="K1906" s="222"/>
    </row>
    <row r="1907" spans="1:11" s="23" customFormat="1">
      <c r="A1907" s="92" t="s">
        <v>610</v>
      </c>
      <c r="B1907" s="238" t="s">
        <v>611</v>
      </c>
      <c r="C1907" s="21" t="s">
        <v>70</v>
      </c>
      <c r="D1907" s="92" t="s">
        <v>52</v>
      </c>
      <c r="E1907" s="126">
        <v>1.5</v>
      </c>
      <c r="F1907" s="113">
        <f t="shared" ref="F1907:F1914" si="108">H1907</f>
        <v>2.5499999999999998</v>
      </c>
      <c r="G1907" s="114">
        <f t="shared" ref="G1907:G1914" si="109">ROUND((E1907*F1907),2)</f>
        <v>3.83</v>
      </c>
      <c r="H1907" s="346">
        <v>2.5499999999999998</v>
      </c>
      <c r="I1907" s="223"/>
      <c r="J1907" s="346"/>
      <c r="K1907" s="222"/>
    </row>
    <row r="1908" spans="1:11">
      <c r="A1908" s="92">
        <v>25862</v>
      </c>
      <c r="B1908" s="101" t="s">
        <v>612</v>
      </c>
      <c r="C1908" s="21" t="s">
        <v>12</v>
      </c>
      <c r="D1908" s="92" t="s">
        <v>26</v>
      </c>
      <c r="E1908" s="126">
        <v>6.5799999999999997E-2</v>
      </c>
      <c r="F1908" s="113">
        <f t="shared" si="108"/>
        <v>14.297000000000001</v>
      </c>
      <c r="G1908" s="114">
        <f t="shared" si="109"/>
        <v>0.94</v>
      </c>
      <c r="H1908" s="337">
        <v>14.297000000000001</v>
      </c>
      <c r="I1908" s="23" t="e">
        <f>IF(A1908&lt;&gt;0,VLOOKUP(A1908,#REF!,2,FALSE),"")</f>
        <v>#REF!</v>
      </c>
      <c r="K1908" s="222"/>
    </row>
    <row r="1909" spans="1:11">
      <c r="A1909" s="92">
        <v>39897</v>
      </c>
      <c r="B1909" s="101" t="e">
        <f>I1909</f>
        <v>#REF!</v>
      </c>
      <c r="C1909" s="21" t="s">
        <v>12</v>
      </c>
      <c r="D1909" s="92" t="s">
        <v>17</v>
      </c>
      <c r="E1909" s="126">
        <v>8.9999999999999998E-4</v>
      </c>
      <c r="F1909" s="113">
        <f t="shared" si="108"/>
        <v>44.0045</v>
      </c>
      <c r="G1909" s="114">
        <f t="shared" si="109"/>
        <v>0.04</v>
      </c>
      <c r="H1909" s="337">
        <v>44.0045</v>
      </c>
      <c r="I1909" s="23" t="e">
        <f>IF(A1909&lt;&gt;0,VLOOKUP(A1909,#REF!,2,FALSE),"")</f>
        <v>#REF!</v>
      </c>
      <c r="K1909" s="222"/>
    </row>
    <row r="1910" spans="1:11" s="23" customFormat="1">
      <c r="A1910" s="92" t="s">
        <v>614</v>
      </c>
      <c r="B1910" s="101" t="s">
        <v>615</v>
      </c>
      <c r="C1910" s="21" t="s">
        <v>70</v>
      </c>
      <c r="D1910" s="92" t="s">
        <v>45</v>
      </c>
      <c r="E1910" s="126">
        <v>6.3E-3</v>
      </c>
      <c r="F1910" s="113">
        <f t="shared" si="108"/>
        <v>70.32050000000001</v>
      </c>
      <c r="G1910" s="114">
        <f t="shared" si="109"/>
        <v>0.44</v>
      </c>
      <c r="H1910" s="346">
        <v>70.32050000000001</v>
      </c>
      <c r="I1910" s="223"/>
      <c r="J1910" s="346"/>
      <c r="K1910" s="222"/>
    </row>
    <row r="1911" spans="1:11">
      <c r="A1911" s="92">
        <v>39666</v>
      </c>
      <c r="B1911" s="101" t="e">
        <f>I1911</f>
        <v>#REF!</v>
      </c>
      <c r="C1911" s="21" t="s">
        <v>12</v>
      </c>
      <c r="D1911" s="92" t="s">
        <v>52</v>
      </c>
      <c r="E1911" s="126">
        <v>1.1000000000000001</v>
      </c>
      <c r="F1911" s="113">
        <f t="shared" si="108"/>
        <v>50.32</v>
      </c>
      <c r="G1911" s="114">
        <f t="shared" si="109"/>
        <v>55.35</v>
      </c>
      <c r="H1911" s="337">
        <v>50.32</v>
      </c>
      <c r="I1911" s="23" t="e">
        <f>IF(A1911&lt;&gt;0,VLOOKUP(A1911,#REF!,2,FALSE),"")</f>
        <v>#REF!</v>
      </c>
      <c r="K1911" s="222"/>
    </row>
    <row r="1912" spans="1:11" s="38" customFormat="1" ht="30">
      <c r="A1912" s="92">
        <v>8535</v>
      </c>
      <c r="B1912" s="101" t="s">
        <v>2524</v>
      </c>
      <c r="C1912" s="21" t="s">
        <v>44</v>
      </c>
      <c r="D1912" s="92" t="s">
        <v>52</v>
      </c>
      <c r="E1912" s="126">
        <v>1.1000000000000001</v>
      </c>
      <c r="F1912" s="113">
        <f t="shared" si="108"/>
        <v>1.3685</v>
      </c>
      <c r="G1912" s="114">
        <f t="shared" si="109"/>
        <v>1.51</v>
      </c>
      <c r="H1912" s="336">
        <v>1.3685</v>
      </c>
      <c r="I1912" s="38" t="e">
        <f>IF(A1912&lt;&gt;0,VLOOKUP(A1912,#REF!,2,FALSE),"")</f>
        <v>#REF!</v>
      </c>
      <c r="J1912" s="336"/>
      <c r="K1912" s="222"/>
    </row>
    <row r="1913" spans="1:11" ht="45">
      <c r="A1913" s="92">
        <v>88248</v>
      </c>
      <c r="B1913" s="101" t="s">
        <v>473</v>
      </c>
      <c r="C1913" s="21" t="s">
        <v>12</v>
      </c>
      <c r="D1913" s="92" t="s">
        <v>19</v>
      </c>
      <c r="E1913" s="92">
        <v>0.36</v>
      </c>
      <c r="F1913" s="113">
        <f t="shared" si="108"/>
        <v>11.483499999999999</v>
      </c>
      <c r="G1913" s="114">
        <f t="shared" si="109"/>
        <v>4.13</v>
      </c>
      <c r="H1913" s="337">
        <v>11.483499999999999</v>
      </c>
      <c r="I1913" s="23" t="e">
        <f>IF(A1913&lt;&gt;0,VLOOKUP(A1913,#REF!,2,FALSE),"")</f>
        <v>#REF!</v>
      </c>
      <c r="K1913" s="222"/>
    </row>
    <row r="1914" spans="1:11" ht="30">
      <c r="A1914" s="92">
        <v>88267</v>
      </c>
      <c r="B1914" s="101" t="s">
        <v>472</v>
      </c>
      <c r="C1914" s="21" t="s">
        <v>12</v>
      </c>
      <c r="D1914" s="92" t="s">
        <v>19</v>
      </c>
      <c r="E1914" s="92">
        <v>0.36</v>
      </c>
      <c r="F1914" s="113">
        <f t="shared" si="108"/>
        <v>14.7135</v>
      </c>
      <c r="G1914" s="114">
        <f t="shared" si="109"/>
        <v>5.3</v>
      </c>
      <c r="H1914" s="337">
        <v>14.7135</v>
      </c>
      <c r="I1914" s="23" t="e">
        <f>IF(A1914&lt;&gt;0,VLOOKUP(A1914,#REF!,2,FALSE),"")</f>
        <v>#REF!</v>
      </c>
      <c r="K1914" s="222"/>
    </row>
    <row r="1915" spans="1:11">
      <c r="A1915" s="741" t="s">
        <v>1893</v>
      </c>
      <c r="B1915" s="742"/>
      <c r="C1915" s="742"/>
      <c r="D1915" s="742"/>
      <c r="E1915" s="742"/>
      <c r="F1915" s="743"/>
      <c r="G1915" s="107">
        <f>ROUND(SUM(G1907:G1914),2)</f>
        <v>71.540000000000006</v>
      </c>
      <c r="I1915" s="24"/>
      <c r="K1915" s="222"/>
    </row>
    <row r="1916" spans="1:11" ht="24.75" customHeight="1">
      <c r="K1916" s="222"/>
    </row>
    <row r="1917" spans="1:11" ht="15" customHeight="1">
      <c r="A1917" s="738" t="s">
        <v>3043</v>
      </c>
      <c r="B1917" s="739"/>
      <c r="C1917" s="739"/>
      <c r="D1917" s="739"/>
      <c r="E1917" s="740"/>
      <c r="F1917" s="326" t="s">
        <v>44</v>
      </c>
      <c r="G1917" s="116">
        <v>10694</v>
      </c>
      <c r="I1917" s="24"/>
      <c r="K1917" s="222"/>
    </row>
    <row r="1918" spans="1:11" ht="28.5">
      <c r="A1918" s="69" t="s">
        <v>1916</v>
      </c>
      <c r="B1918" s="230"/>
      <c r="C1918" s="69" t="s">
        <v>3</v>
      </c>
      <c r="D1918" s="69" t="s">
        <v>4</v>
      </c>
      <c r="E1918" s="69" t="s">
        <v>1826</v>
      </c>
      <c r="F1918" s="69" t="s">
        <v>367</v>
      </c>
      <c r="G1918" s="69" t="s">
        <v>368</v>
      </c>
      <c r="I1918" s="24"/>
      <c r="K1918" s="222"/>
    </row>
    <row r="1919" spans="1:11" s="38" customFormat="1" ht="30">
      <c r="A1919" s="92">
        <v>11379</v>
      </c>
      <c r="B1919" s="101" t="s">
        <v>3043</v>
      </c>
      <c r="C1919" s="21" t="s">
        <v>44</v>
      </c>
      <c r="D1919" s="92" t="s">
        <v>17</v>
      </c>
      <c r="E1919" s="117">
        <v>1</v>
      </c>
      <c r="F1919" s="113">
        <f>H1919</f>
        <v>18.470500000000001</v>
      </c>
      <c r="G1919" s="239">
        <f>ROUND((E1919*F1919),2)</f>
        <v>18.47</v>
      </c>
      <c r="H1919" s="336">
        <v>18.470500000000001</v>
      </c>
      <c r="I1919" s="38" t="e">
        <f>IF(A1919&lt;&gt;0,VLOOKUP(A1919,#REF!,2,FALSE),"")</f>
        <v>#REF!</v>
      </c>
      <c r="J1919" s="336"/>
      <c r="K1919" s="222"/>
    </row>
    <row r="1920" spans="1:11" ht="30">
      <c r="A1920" s="92">
        <v>88264</v>
      </c>
      <c r="B1920" s="101" t="s">
        <v>379</v>
      </c>
      <c r="C1920" s="21" t="s">
        <v>12</v>
      </c>
      <c r="D1920" s="92" t="s">
        <v>19</v>
      </c>
      <c r="E1920" s="117">
        <v>0.08</v>
      </c>
      <c r="F1920" s="113">
        <f>H1920</f>
        <v>15.249000000000001</v>
      </c>
      <c r="G1920" s="114">
        <f>ROUND((E1920*F1920),2)</f>
        <v>1.22</v>
      </c>
      <c r="H1920" s="337">
        <v>15.249000000000001</v>
      </c>
      <c r="I1920" s="23" t="e">
        <f>IF(A1920&lt;&gt;0,VLOOKUP(A1920,#REF!,2,FALSE),"")</f>
        <v>#REF!</v>
      </c>
      <c r="K1920" s="222"/>
    </row>
    <row r="1921" spans="1:11">
      <c r="A1921" s="735" t="s">
        <v>1893</v>
      </c>
      <c r="B1921" s="736"/>
      <c r="C1921" s="736"/>
      <c r="D1921" s="736"/>
      <c r="E1921" s="736"/>
      <c r="F1921" s="737"/>
      <c r="G1921" s="128">
        <f>ROUND(SUM(G1919:G1920),2)</f>
        <v>19.690000000000001</v>
      </c>
      <c r="I1921" s="24"/>
      <c r="K1921" s="222"/>
    </row>
    <row r="1922" spans="1:11" ht="24" customHeight="1">
      <c r="A1922" s="121"/>
      <c r="B1922" s="122"/>
      <c r="C1922" s="121"/>
      <c r="D1922" s="121"/>
      <c r="E1922" s="121"/>
      <c r="F1922" s="123"/>
      <c r="G1922" s="121"/>
      <c r="I1922" s="24"/>
      <c r="K1922" s="222"/>
    </row>
    <row r="1923" spans="1:11" s="38" customFormat="1" ht="15" customHeight="1">
      <c r="A1923" s="738" t="s">
        <v>1942</v>
      </c>
      <c r="B1923" s="739"/>
      <c r="C1923" s="739"/>
      <c r="D1923" s="739"/>
      <c r="E1923" s="740"/>
      <c r="F1923" s="326" t="s">
        <v>44</v>
      </c>
      <c r="G1923" s="116">
        <v>416</v>
      </c>
      <c r="H1923" s="336"/>
      <c r="I1923" s="156"/>
      <c r="J1923" s="336"/>
      <c r="K1923" s="222"/>
    </row>
    <row r="1924" spans="1:11" s="38" customFormat="1" ht="28.5">
      <c r="A1924" s="69" t="s">
        <v>1916</v>
      </c>
      <c r="B1924" s="230"/>
      <c r="C1924" s="69" t="s">
        <v>3</v>
      </c>
      <c r="D1924" s="69" t="s">
        <v>4</v>
      </c>
      <c r="E1924" s="69" t="s">
        <v>1826</v>
      </c>
      <c r="F1924" s="69" t="s">
        <v>367</v>
      </c>
      <c r="G1924" s="69" t="s">
        <v>368</v>
      </c>
      <c r="H1924" s="336"/>
      <c r="I1924" s="156"/>
      <c r="J1924" s="336"/>
      <c r="K1924" s="222"/>
    </row>
    <row r="1925" spans="1:11" s="38" customFormat="1" ht="45">
      <c r="A1925" s="92">
        <v>11891</v>
      </c>
      <c r="B1925" s="101" t="s">
        <v>1943</v>
      </c>
      <c r="C1925" s="21" t="s">
        <v>12</v>
      </c>
      <c r="D1925" s="92" t="s">
        <v>1944</v>
      </c>
      <c r="E1925" s="92">
        <v>1.05</v>
      </c>
      <c r="F1925" s="113">
        <f>H1925</f>
        <v>4.0374999999999996</v>
      </c>
      <c r="G1925" s="114">
        <f>ROUND((E1925*F1925),2)</f>
        <v>4.24</v>
      </c>
      <c r="H1925" s="336">
        <v>4.0374999999999996</v>
      </c>
      <c r="I1925" s="38" t="e">
        <f>IF(A1925&lt;&gt;0,VLOOKUP(A1925,#REF!,2,FALSE),"")</f>
        <v>#REF!</v>
      </c>
      <c r="J1925" s="336"/>
      <c r="K1925" s="222"/>
    </row>
    <row r="1926" spans="1:11" s="38" customFormat="1" ht="30">
      <c r="A1926" s="92">
        <v>88247</v>
      </c>
      <c r="B1926" s="101" t="s">
        <v>510</v>
      </c>
      <c r="C1926" s="21" t="s">
        <v>12</v>
      </c>
      <c r="D1926" s="92" t="s">
        <v>19</v>
      </c>
      <c r="E1926" s="92">
        <v>0.12</v>
      </c>
      <c r="F1926" s="113">
        <f>H1926</f>
        <v>11.9085</v>
      </c>
      <c r="G1926" s="114">
        <f>ROUND((E1926*F1926),2)</f>
        <v>1.43</v>
      </c>
      <c r="H1926" s="336">
        <v>11.9085</v>
      </c>
      <c r="I1926" s="38" t="e">
        <f>IF(A1926&lt;&gt;0,VLOOKUP(A1926,#REF!,2,FALSE),"")</f>
        <v>#REF!</v>
      </c>
      <c r="J1926" s="336"/>
      <c r="K1926" s="222"/>
    </row>
    <row r="1927" spans="1:11" s="38" customFormat="1" ht="30">
      <c r="A1927" s="92">
        <v>88264</v>
      </c>
      <c r="B1927" s="101" t="s">
        <v>379</v>
      </c>
      <c r="C1927" s="21" t="s">
        <v>12</v>
      </c>
      <c r="D1927" s="92" t="s">
        <v>19</v>
      </c>
      <c r="E1927" s="92">
        <v>0.12</v>
      </c>
      <c r="F1927" s="113">
        <f>H1927</f>
        <v>15.249000000000001</v>
      </c>
      <c r="G1927" s="114">
        <f>ROUND((E1927*F1927),2)</f>
        <v>1.83</v>
      </c>
      <c r="H1927" s="336">
        <v>15.249000000000001</v>
      </c>
      <c r="I1927" s="38" t="e">
        <f>IF(A1927&lt;&gt;0,VLOOKUP(A1927,#REF!,2,FALSE),"")</f>
        <v>#REF!</v>
      </c>
      <c r="J1927" s="336"/>
      <c r="K1927" s="222"/>
    </row>
    <row r="1928" spans="1:11" s="38" customFormat="1">
      <c r="A1928" s="735" t="s">
        <v>1893</v>
      </c>
      <c r="B1928" s="736"/>
      <c r="C1928" s="736"/>
      <c r="D1928" s="736"/>
      <c r="E1928" s="736"/>
      <c r="F1928" s="737"/>
      <c r="G1928" s="107">
        <f>ROUND(SUM(G1925:G1927),2)</f>
        <v>7.5</v>
      </c>
      <c r="H1928" s="336"/>
      <c r="I1928" s="156"/>
      <c r="J1928" s="336"/>
      <c r="K1928" s="222"/>
    </row>
    <row r="1929" spans="1:11" ht="26.25" customHeight="1">
      <c r="A1929" s="121"/>
      <c r="B1929" s="122"/>
      <c r="C1929" s="121"/>
      <c r="D1929" s="121"/>
      <c r="E1929" s="121"/>
      <c r="F1929" s="123"/>
      <c r="G1929" s="121"/>
      <c r="I1929" s="24"/>
      <c r="K1929" s="222"/>
    </row>
    <row r="1930" spans="1:11" s="38" customFormat="1" ht="15" customHeight="1">
      <c r="A1930" s="738" t="s">
        <v>1945</v>
      </c>
      <c r="B1930" s="739"/>
      <c r="C1930" s="739"/>
      <c r="D1930" s="739"/>
      <c r="E1930" s="740"/>
      <c r="F1930" s="326" t="s">
        <v>44</v>
      </c>
      <c r="G1930" s="116">
        <v>11419</v>
      </c>
      <c r="H1930" s="336"/>
      <c r="I1930" s="156"/>
      <c r="J1930" s="336"/>
      <c r="K1930" s="222"/>
    </row>
    <row r="1931" spans="1:11" s="38" customFormat="1" ht="28.5">
      <c r="A1931" s="69" t="s">
        <v>1916</v>
      </c>
      <c r="B1931" s="230"/>
      <c r="C1931" s="69" t="s">
        <v>3</v>
      </c>
      <c r="D1931" s="69" t="s">
        <v>4</v>
      </c>
      <c r="E1931" s="69" t="s">
        <v>1826</v>
      </c>
      <c r="F1931" s="69" t="s">
        <v>367</v>
      </c>
      <c r="G1931" s="69" t="s">
        <v>368</v>
      </c>
      <c r="H1931" s="336"/>
      <c r="I1931" s="156"/>
      <c r="J1931" s="336"/>
      <c r="K1931" s="222"/>
    </row>
    <row r="1932" spans="1:11" s="38" customFormat="1">
      <c r="A1932" s="92">
        <v>6766</v>
      </c>
      <c r="B1932" s="164" t="s">
        <v>1946</v>
      </c>
      <c r="C1932" s="21" t="s">
        <v>44</v>
      </c>
      <c r="D1932" s="92" t="s">
        <v>17</v>
      </c>
      <c r="E1932" s="117">
        <v>1</v>
      </c>
      <c r="F1932" s="240">
        <v>21.15</v>
      </c>
      <c r="G1932" s="114">
        <f>ROUND((E1932*F1932),2)</f>
        <v>21.15</v>
      </c>
      <c r="H1932" s="336">
        <v>17.977499999999999</v>
      </c>
      <c r="I1932" s="38" t="e">
        <f>IF(A1932&lt;&gt;0,VLOOKUP(A1932,#REF!,2,FALSE),"")</f>
        <v>#REF!</v>
      </c>
      <c r="J1932" s="336"/>
      <c r="K1932" s="222"/>
    </row>
    <row r="1933" spans="1:11" s="38" customFormat="1">
      <c r="A1933" s="741" t="s">
        <v>1893</v>
      </c>
      <c r="B1933" s="742"/>
      <c r="C1933" s="742"/>
      <c r="D1933" s="742"/>
      <c r="E1933" s="742"/>
      <c r="F1933" s="743"/>
      <c r="G1933" s="107">
        <f>ROUND(SUM(G1932:G1932),2)</f>
        <v>21.15</v>
      </c>
      <c r="H1933" s="336"/>
      <c r="I1933" s="156"/>
      <c r="J1933" s="336"/>
      <c r="K1933" s="222"/>
    </row>
    <row r="1934" spans="1:11" ht="27.75" customHeight="1">
      <c r="A1934" s="121"/>
      <c r="B1934" s="122"/>
      <c r="C1934" s="121"/>
      <c r="D1934" s="121"/>
      <c r="E1934" s="121"/>
      <c r="F1934" s="123"/>
      <c r="G1934" s="121"/>
      <c r="I1934" s="24"/>
      <c r="K1934" s="222"/>
    </row>
    <row r="1935" spans="1:11" s="38" customFormat="1" ht="15" customHeight="1">
      <c r="A1935" s="738" t="s">
        <v>1947</v>
      </c>
      <c r="B1935" s="739"/>
      <c r="C1935" s="739"/>
      <c r="D1935" s="739"/>
      <c r="E1935" s="740"/>
      <c r="F1935" s="326" t="s">
        <v>44</v>
      </c>
      <c r="G1935" s="116">
        <v>8681</v>
      </c>
      <c r="H1935" s="336"/>
      <c r="I1935" s="156"/>
      <c r="J1935" s="336"/>
      <c r="K1935" s="222"/>
    </row>
    <row r="1936" spans="1:11" s="38" customFormat="1" ht="28.5">
      <c r="A1936" s="69" t="s">
        <v>1916</v>
      </c>
      <c r="B1936" s="230"/>
      <c r="C1936" s="69" t="s">
        <v>3</v>
      </c>
      <c r="D1936" s="69" t="s">
        <v>4</v>
      </c>
      <c r="E1936" s="69" t="s">
        <v>1826</v>
      </c>
      <c r="F1936" s="69" t="s">
        <v>367</v>
      </c>
      <c r="G1936" s="69" t="s">
        <v>368</v>
      </c>
      <c r="H1936" s="336"/>
      <c r="I1936" s="156"/>
      <c r="J1936" s="336"/>
      <c r="K1936" s="222"/>
    </row>
    <row r="1937" spans="1:11" s="38" customFormat="1" ht="30">
      <c r="A1937" s="92">
        <v>8943</v>
      </c>
      <c r="B1937" s="101" t="s">
        <v>1948</v>
      </c>
      <c r="C1937" s="21" t="s">
        <v>44</v>
      </c>
      <c r="D1937" s="92" t="s">
        <v>238</v>
      </c>
      <c r="E1937" s="117">
        <v>1</v>
      </c>
      <c r="F1937" s="113">
        <f>H1937</f>
        <v>312.71499999999997</v>
      </c>
      <c r="G1937" s="114">
        <f>ROUND((E1937*F1937),2)</f>
        <v>312.72000000000003</v>
      </c>
      <c r="H1937" s="336">
        <v>312.71499999999997</v>
      </c>
      <c r="I1937" s="38" t="e">
        <f>IF(A1937&lt;&gt;0,VLOOKUP(A1937,#REF!,2,FALSE),"")</f>
        <v>#REF!</v>
      </c>
      <c r="J1937" s="336"/>
      <c r="K1937" s="222"/>
    </row>
    <row r="1938" spans="1:11" s="38" customFormat="1" ht="30">
      <c r="A1938" s="92">
        <v>88316</v>
      </c>
      <c r="B1938" s="101" t="s">
        <v>377</v>
      </c>
      <c r="C1938" s="21" t="s">
        <v>12</v>
      </c>
      <c r="D1938" s="92" t="s">
        <v>19</v>
      </c>
      <c r="E1938" s="117">
        <v>2</v>
      </c>
      <c r="F1938" s="113">
        <f>H1938</f>
        <v>11.798000000000002</v>
      </c>
      <c r="G1938" s="114">
        <f>ROUND((E1938*F1938),2)</f>
        <v>23.6</v>
      </c>
      <c r="H1938" s="336">
        <v>11.798000000000002</v>
      </c>
      <c r="I1938" s="38" t="e">
        <f>IF(A1938&lt;&gt;0,VLOOKUP(A1938,#REF!,2,FALSE),"")</f>
        <v>#REF!</v>
      </c>
      <c r="J1938" s="336"/>
      <c r="K1938" s="222"/>
    </row>
    <row r="1939" spans="1:11" s="38" customFormat="1" ht="30">
      <c r="A1939" s="92">
        <v>88266</v>
      </c>
      <c r="B1939" s="101" t="s">
        <v>570</v>
      </c>
      <c r="C1939" s="21" t="s">
        <v>12</v>
      </c>
      <c r="D1939" s="92" t="s">
        <v>19</v>
      </c>
      <c r="E1939" s="117">
        <v>2</v>
      </c>
      <c r="F1939" s="113">
        <f>H1939</f>
        <v>25.6785</v>
      </c>
      <c r="G1939" s="114">
        <f>ROUND((E1939*F1939),2)</f>
        <v>51.36</v>
      </c>
      <c r="H1939" s="336">
        <v>25.6785</v>
      </c>
      <c r="I1939" s="38" t="e">
        <f>IF(A1939&lt;&gt;0,VLOOKUP(A1939,#REF!,2,FALSE),"")</f>
        <v>#REF!</v>
      </c>
      <c r="J1939" s="336"/>
      <c r="K1939" s="222"/>
    </row>
    <row r="1940" spans="1:11" s="38" customFormat="1">
      <c r="A1940" s="741" t="s">
        <v>1893</v>
      </c>
      <c r="B1940" s="742"/>
      <c r="C1940" s="742"/>
      <c r="D1940" s="742"/>
      <c r="E1940" s="742"/>
      <c r="F1940" s="743"/>
      <c r="G1940" s="107">
        <f>ROUND(SUM(G1937:G1939),2)</f>
        <v>387.68</v>
      </c>
      <c r="H1940" s="336"/>
      <c r="I1940" s="156"/>
      <c r="J1940" s="336"/>
      <c r="K1940" s="222"/>
    </row>
    <row r="1941" spans="1:11" ht="27.75" customHeight="1">
      <c r="A1941" s="121"/>
      <c r="B1941" s="122"/>
      <c r="C1941" s="121"/>
      <c r="D1941" s="121"/>
      <c r="E1941" s="121"/>
      <c r="F1941" s="123"/>
      <c r="G1941" s="121"/>
      <c r="I1941" s="24"/>
      <c r="K1941" s="222"/>
    </row>
    <row r="1942" spans="1:11" s="38" customFormat="1" ht="19.5" customHeight="1">
      <c r="A1942" s="738" t="s">
        <v>1949</v>
      </c>
      <c r="B1942" s="739"/>
      <c r="C1942" s="739"/>
      <c r="D1942" s="739"/>
      <c r="E1942" s="740"/>
      <c r="F1942" s="326" t="s">
        <v>44</v>
      </c>
      <c r="G1942" s="116">
        <v>4439</v>
      </c>
      <c r="H1942" s="336"/>
      <c r="I1942" s="156"/>
      <c r="J1942" s="336"/>
      <c r="K1942" s="222"/>
    </row>
    <row r="1943" spans="1:11" s="38" customFormat="1" ht="28.5">
      <c r="A1943" s="69" t="s">
        <v>1916</v>
      </c>
      <c r="B1943" s="230"/>
      <c r="C1943" s="69" t="s">
        <v>3</v>
      </c>
      <c r="D1943" s="69" t="s">
        <v>4</v>
      </c>
      <c r="E1943" s="69" t="s">
        <v>1826</v>
      </c>
      <c r="F1943" s="69" t="s">
        <v>367</v>
      </c>
      <c r="G1943" s="69" t="s">
        <v>368</v>
      </c>
      <c r="H1943" s="336"/>
      <c r="I1943" s="156"/>
      <c r="J1943" s="336"/>
      <c r="K1943" s="222"/>
    </row>
    <row r="1944" spans="1:11" s="38" customFormat="1" ht="30">
      <c r="A1944" s="92">
        <v>3963</v>
      </c>
      <c r="B1944" s="101" t="s">
        <v>1950</v>
      </c>
      <c r="C1944" s="21" t="s">
        <v>44</v>
      </c>
      <c r="D1944" s="92" t="s">
        <v>238</v>
      </c>
      <c r="E1944" s="117">
        <v>1</v>
      </c>
      <c r="F1944" s="113">
        <f>H1944</f>
        <v>17.628999999999998</v>
      </c>
      <c r="G1944" s="114">
        <f>ROUND((E1944*F1944),2)</f>
        <v>17.63</v>
      </c>
      <c r="H1944" s="336">
        <v>17.628999999999998</v>
      </c>
      <c r="I1944" s="38" t="e">
        <f>IF(A1944&lt;&gt;0,VLOOKUP(A1944,#REF!,2,FALSE),"")</f>
        <v>#REF!</v>
      </c>
      <c r="J1944" s="336"/>
      <c r="K1944" s="222"/>
    </row>
    <row r="1945" spans="1:11" s="38" customFormat="1" ht="30">
      <c r="A1945" s="111">
        <v>88316</v>
      </c>
      <c r="B1945" s="101" t="s">
        <v>377</v>
      </c>
      <c r="C1945" s="21" t="s">
        <v>12</v>
      </c>
      <c r="D1945" s="103" t="s">
        <v>19</v>
      </c>
      <c r="E1945" s="104">
        <v>2</v>
      </c>
      <c r="F1945" s="113">
        <f>H1945</f>
        <v>11.798000000000002</v>
      </c>
      <c r="G1945" s="114">
        <f>ROUND((E1945*F1945),2)</f>
        <v>23.6</v>
      </c>
      <c r="H1945" s="336">
        <v>11.798000000000002</v>
      </c>
      <c r="I1945" s="38" t="e">
        <f>IF(A1945&lt;&gt;0,VLOOKUP(A1945,#REF!,2,FALSE),"")</f>
        <v>#REF!</v>
      </c>
      <c r="J1945" s="336"/>
      <c r="K1945" s="222"/>
    </row>
    <row r="1946" spans="1:11" s="38" customFormat="1">
      <c r="A1946" s="111">
        <v>88264</v>
      </c>
      <c r="B1946" s="101" t="e">
        <f>I1946</f>
        <v>#REF!</v>
      </c>
      <c r="C1946" s="21" t="s">
        <v>12</v>
      </c>
      <c r="D1946" s="92" t="s">
        <v>19</v>
      </c>
      <c r="E1946" s="104">
        <v>2</v>
      </c>
      <c r="F1946" s="113">
        <f>H1946</f>
        <v>15.249000000000001</v>
      </c>
      <c r="G1946" s="114">
        <f>ROUND((E1946*F1946),2)</f>
        <v>30.5</v>
      </c>
      <c r="H1946" s="336">
        <v>15.249000000000001</v>
      </c>
      <c r="I1946" s="38" t="e">
        <f>IF(A1946&lt;&gt;0,VLOOKUP(A1946,#REF!,2,FALSE),"")</f>
        <v>#REF!</v>
      </c>
      <c r="J1946" s="336"/>
      <c r="K1946" s="222"/>
    </row>
    <row r="1947" spans="1:11" s="38" customFormat="1">
      <c r="A1947" s="735" t="s">
        <v>1893</v>
      </c>
      <c r="B1947" s="736"/>
      <c r="C1947" s="736"/>
      <c r="D1947" s="736"/>
      <c r="E1947" s="736"/>
      <c r="F1947" s="737"/>
      <c r="G1947" s="107">
        <f>ROUND(SUM(G1944:G1946),2)</f>
        <v>71.73</v>
      </c>
      <c r="H1947" s="336"/>
      <c r="I1947" s="156"/>
      <c r="J1947" s="336"/>
      <c r="K1947" s="222"/>
    </row>
    <row r="1948" spans="1:11" ht="32.25" customHeight="1">
      <c r="A1948" s="121"/>
      <c r="B1948" s="122"/>
      <c r="C1948" s="121"/>
      <c r="D1948" s="121"/>
      <c r="E1948" s="121"/>
      <c r="F1948" s="123"/>
      <c r="G1948" s="121"/>
      <c r="I1948" s="24"/>
      <c r="K1948" s="222"/>
    </row>
    <row r="1949" spans="1:11" s="38" customFormat="1" ht="15" customHeight="1">
      <c r="A1949" s="738" t="s">
        <v>1951</v>
      </c>
      <c r="B1949" s="739"/>
      <c r="C1949" s="739"/>
      <c r="D1949" s="739"/>
      <c r="E1949" s="740"/>
      <c r="F1949" s="326" t="s">
        <v>44</v>
      </c>
      <c r="G1949" s="116">
        <v>13247</v>
      </c>
      <c r="H1949" s="336"/>
      <c r="I1949" s="156"/>
      <c r="J1949" s="336"/>
      <c r="K1949" s="222"/>
    </row>
    <row r="1950" spans="1:11" s="38" customFormat="1" ht="28.5">
      <c r="A1950" s="69" t="s">
        <v>1916</v>
      </c>
      <c r="B1950" s="230"/>
      <c r="C1950" s="69" t="s">
        <v>3</v>
      </c>
      <c r="D1950" s="69" t="s">
        <v>4</v>
      </c>
      <c r="E1950" s="69" t="s">
        <v>1826</v>
      </c>
      <c r="F1950" s="69" t="s">
        <v>367</v>
      </c>
      <c r="G1950" s="69" t="s">
        <v>368</v>
      </c>
      <c r="H1950" s="336"/>
      <c r="I1950" s="156"/>
      <c r="J1950" s="336"/>
      <c r="K1950" s="222"/>
    </row>
    <row r="1951" spans="1:11" s="38" customFormat="1" ht="30">
      <c r="A1951" s="92">
        <v>13247</v>
      </c>
      <c r="B1951" s="101" t="s">
        <v>1952</v>
      </c>
      <c r="C1951" s="21" t="s">
        <v>44</v>
      </c>
      <c r="D1951" s="92" t="s">
        <v>238</v>
      </c>
      <c r="E1951" s="117">
        <v>1</v>
      </c>
      <c r="F1951" s="113">
        <f>H1951</f>
        <v>719.63549999999998</v>
      </c>
      <c r="G1951" s="114">
        <f>ROUND((E1951*F1951),2)</f>
        <v>719.64</v>
      </c>
      <c r="H1951" s="336">
        <v>719.63549999999998</v>
      </c>
      <c r="I1951" s="38" t="e">
        <f>IF(A1951&lt;&gt;0,VLOOKUP(A1951,#REF!,2,FALSE),"")</f>
        <v>#REF!</v>
      </c>
      <c r="J1951" s="336"/>
      <c r="K1951" s="222"/>
    </row>
    <row r="1952" spans="1:11" s="38" customFormat="1" ht="30">
      <c r="A1952" s="92">
        <v>88243</v>
      </c>
      <c r="B1952" s="101" t="s">
        <v>416</v>
      </c>
      <c r="C1952" s="21" t="s">
        <v>12</v>
      </c>
      <c r="D1952" s="92" t="s">
        <v>19</v>
      </c>
      <c r="E1952" s="104">
        <v>1</v>
      </c>
      <c r="F1952" s="113">
        <f>H1952</f>
        <v>14.075999999999999</v>
      </c>
      <c r="G1952" s="114">
        <f>ROUND((E1952*F1952),2)</f>
        <v>14.08</v>
      </c>
      <c r="H1952" s="336">
        <v>14.075999999999999</v>
      </c>
      <c r="I1952" s="38" t="e">
        <f>IF(A1952&lt;&gt;0,VLOOKUP(A1952,#REF!,2,FALSE),"")</f>
        <v>#REF!</v>
      </c>
      <c r="J1952" s="336"/>
      <c r="K1952" s="222"/>
    </row>
    <row r="1953" spans="1:11" s="38" customFormat="1" ht="30">
      <c r="A1953" s="92">
        <v>88266</v>
      </c>
      <c r="B1953" s="101" t="s">
        <v>570</v>
      </c>
      <c r="C1953" s="21" t="s">
        <v>12</v>
      </c>
      <c r="D1953" s="92" t="s">
        <v>19</v>
      </c>
      <c r="E1953" s="104">
        <v>1</v>
      </c>
      <c r="F1953" s="113">
        <f>H1953</f>
        <v>25.6785</v>
      </c>
      <c r="G1953" s="114">
        <f>ROUND((E1953*F1953),2)</f>
        <v>25.68</v>
      </c>
      <c r="H1953" s="336">
        <v>25.6785</v>
      </c>
      <c r="I1953" s="38" t="e">
        <f>IF(A1953&lt;&gt;0,VLOOKUP(A1953,#REF!,2,FALSE),"")</f>
        <v>#REF!</v>
      </c>
      <c r="J1953" s="336"/>
      <c r="K1953" s="222"/>
    </row>
    <row r="1954" spans="1:11" s="38" customFormat="1">
      <c r="A1954" s="741" t="s">
        <v>1893</v>
      </c>
      <c r="B1954" s="742"/>
      <c r="C1954" s="742"/>
      <c r="D1954" s="742"/>
      <c r="E1954" s="742"/>
      <c r="F1954" s="743"/>
      <c r="G1954" s="107">
        <f>ROUND(SUM(G1951:G1953),2)</f>
        <v>759.4</v>
      </c>
      <c r="H1954" s="336"/>
      <c r="I1954" s="156"/>
      <c r="J1954" s="336"/>
      <c r="K1954" s="222"/>
    </row>
    <row r="1955" spans="1:11" ht="29.25" customHeight="1">
      <c r="A1955" s="121"/>
      <c r="B1955" s="122"/>
      <c r="C1955" s="121"/>
      <c r="D1955" s="121"/>
      <c r="E1955" s="121"/>
      <c r="F1955" s="123"/>
      <c r="G1955" s="121"/>
      <c r="I1955" s="24"/>
      <c r="K1955" s="222"/>
    </row>
    <row r="1956" spans="1:11" s="38" customFormat="1" ht="15" customHeight="1">
      <c r="A1956" s="738" t="s">
        <v>1953</v>
      </c>
      <c r="B1956" s="739"/>
      <c r="C1956" s="739"/>
      <c r="D1956" s="739"/>
      <c r="E1956" s="740"/>
      <c r="F1956" s="326" t="s">
        <v>44</v>
      </c>
      <c r="G1956" s="116">
        <v>4350</v>
      </c>
      <c r="H1956" s="336"/>
      <c r="I1956" s="156"/>
      <c r="J1956" s="336"/>
      <c r="K1956" s="222"/>
    </row>
    <row r="1957" spans="1:11" s="38" customFormat="1" ht="28.5">
      <c r="A1957" s="69" t="s">
        <v>1916</v>
      </c>
      <c r="B1957" s="230"/>
      <c r="C1957" s="69" t="s">
        <v>3</v>
      </c>
      <c r="D1957" s="69" t="s">
        <v>4</v>
      </c>
      <c r="E1957" s="69" t="s">
        <v>1826</v>
      </c>
      <c r="F1957" s="69" t="s">
        <v>367</v>
      </c>
      <c r="G1957" s="69" t="s">
        <v>368</v>
      </c>
      <c r="H1957" s="336"/>
      <c r="I1957" s="156"/>
      <c r="J1957" s="336"/>
      <c r="K1957" s="222"/>
    </row>
    <row r="1958" spans="1:11" s="38" customFormat="1">
      <c r="A1958" s="92">
        <v>4350</v>
      </c>
      <c r="B1958" s="101" t="s">
        <v>1954</v>
      </c>
      <c r="C1958" s="21" t="s">
        <v>44</v>
      </c>
      <c r="D1958" s="92" t="s">
        <v>238</v>
      </c>
      <c r="E1958" s="117">
        <v>1</v>
      </c>
      <c r="F1958" s="118">
        <f>H1958</f>
        <v>1480.7849999999999</v>
      </c>
      <c r="G1958" s="114">
        <f>ROUND((E1958*F1958),2)</f>
        <v>1480.79</v>
      </c>
      <c r="H1958" s="336">
        <v>1480.7849999999999</v>
      </c>
      <c r="I1958" s="38" t="e">
        <f>IF(A1958&lt;&gt;0,VLOOKUP(A1958,#REF!,2,FALSE),"")</f>
        <v>#REF!</v>
      </c>
      <c r="J1958" s="336"/>
      <c r="K1958" s="222"/>
    </row>
    <row r="1959" spans="1:11" s="38" customFormat="1" ht="30">
      <c r="A1959" s="92">
        <v>88266</v>
      </c>
      <c r="B1959" s="101" t="s">
        <v>570</v>
      </c>
      <c r="C1959" s="21" t="s">
        <v>12</v>
      </c>
      <c r="D1959" s="92" t="s">
        <v>19</v>
      </c>
      <c r="E1959" s="104">
        <v>1</v>
      </c>
      <c r="F1959" s="113">
        <f>H1959</f>
        <v>25.6785</v>
      </c>
      <c r="G1959" s="114">
        <f>ROUND((E1959*F1959),2)</f>
        <v>25.68</v>
      </c>
      <c r="H1959" s="336">
        <v>25.6785</v>
      </c>
      <c r="I1959" s="38" t="e">
        <f>IF(A1959&lt;&gt;0,VLOOKUP(A1959,#REF!,2,FALSE),"")</f>
        <v>#REF!</v>
      </c>
      <c r="J1959" s="336"/>
      <c r="K1959" s="222"/>
    </row>
    <row r="1960" spans="1:11" s="38" customFormat="1">
      <c r="A1960" s="741" t="s">
        <v>1893</v>
      </c>
      <c r="B1960" s="742"/>
      <c r="C1960" s="742"/>
      <c r="D1960" s="742"/>
      <c r="E1960" s="742"/>
      <c r="F1960" s="743"/>
      <c r="G1960" s="107">
        <f>ROUND(SUM(G1958:G1959),2)</f>
        <v>1506.47</v>
      </c>
      <c r="H1960" s="336"/>
      <c r="I1960" s="156"/>
      <c r="J1960" s="336"/>
      <c r="K1960" s="222"/>
    </row>
    <row r="1961" spans="1:11" ht="30.75" customHeight="1">
      <c r="A1961" s="121"/>
      <c r="B1961" s="122"/>
      <c r="C1961" s="121"/>
      <c r="D1961" s="121"/>
      <c r="E1961" s="121"/>
      <c r="F1961" s="123"/>
      <c r="G1961" s="121"/>
      <c r="I1961" s="24"/>
      <c r="K1961" s="222"/>
    </row>
    <row r="1962" spans="1:11" s="38" customFormat="1" ht="15" customHeight="1">
      <c r="A1962" s="738" t="s">
        <v>587</v>
      </c>
      <c r="B1962" s="739"/>
      <c r="C1962" s="739"/>
      <c r="D1962" s="739"/>
      <c r="E1962" s="740"/>
      <c r="F1962" s="326" t="s">
        <v>44</v>
      </c>
      <c r="G1962" s="116">
        <v>11752</v>
      </c>
      <c r="H1962" s="336"/>
      <c r="I1962" s="156"/>
      <c r="J1962" s="336"/>
      <c r="K1962" s="222"/>
    </row>
    <row r="1963" spans="1:11" s="38" customFormat="1" ht="28.5">
      <c r="A1963" s="69" t="s">
        <v>1916</v>
      </c>
      <c r="B1963" s="230"/>
      <c r="C1963" s="69" t="s">
        <v>3</v>
      </c>
      <c r="D1963" s="69" t="s">
        <v>4</v>
      </c>
      <c r="E1963" s="69" t="s">
        <v>1826</v>
      </c>
      <c r="F1963" s="69" t="s">
        <v>367</v>
      </c>
      <c r="G1963" s="69" t="s">
        <v>368</v>
      </c>
      <c r="H1963" s="336"/>
      <c r="I1963" s="156"/>
      <c r="J1963" s="336"/>
      <c r="K1963" s="222"/>
    </row>
    <row r="1964" spans="1:11" s="38" customFormat="1">
      <c r="A1964" s="92">
        <v>12617</v>
      </c>
      <c r="B1964" s="101" t="s">
        <v>1955</v>
      </c>
      <c r="C1964" s="21" t="s">
        <v>44</v>
      </c>
      <c r="D1964" s="92" t="s">
        <v>52</v>
      </c>
      <c r="E1964" s="117">
        <v>1.02</v>
      </c>
      <c r="F1964" s="113">
        <f>H1964</f>
        <v>4.5049999999999999</v>
      </c>
      <c r="G1964" s="114">
        <f>ROUND((E1964*F1964),2)</f>
        <v>4.5999999999999996</v>
      </c>
      <c r="H1964" s="336">
        <v>4.5049999999999999</v>
      </c>
      <c r="I1964" s="38" t="e">
        <f>IF(A1964&lt;&gt;0,VLOOKUP(A1964,#REF!,2,FALSE),"")</f>
        <v>#REF!</v>
      </c>
      <c r="J1964" s="336"/>
      <c r="K1964" s="222"/>
    </row>
    <row r="1965" spans="1:11" s="38" customFormat="1" ht="30">
      <c r="A1965" s="92">
        <v>88316</v>
      </c>
      <c r="B1965" s="101" t="s">
        <v>377</v>
      </c>
      <c r="C1965" s="21" t="s">
        <v>12</v>
      </c>
      <c r="D1965" s="92" t="s">
        <v>19</v>
      </c>
      <c r="E1965" s="117">
        <v>0.13</v>
      </c>
      <c r="F1965" s="113">
        <f>H1965</f>
        <v>11.798000000000002</v>
      </c>
      <c r="G1965" s="114">
        <f>ROUND((E1965*F1965),2)</f>
        <v>1.53</v>
      </c>
      <c r="H1965" s="336">
        <v>11.798000000000002</v>
      </c>
      <c r="I1965" s="38" t="e">
        <f>IF(A1965&lt;&gt;0,VLOOKUP(A1965,#REF!,2,FALSE),"")</f>
        <v>#REF!</v>
      </c>
      <c r="J1965" s="336"/>
      <c r="K1965" s="222"/>
    </row>
    <row r="1966" spans="1:11" s="38" customFormat="1">
      <c r="A1966" s="92">
        <v>88264</v>
      </c>
      <c r="B1966" s="101" t="e">
        <f>I1966</f>
        <v>#REF!</v>
      </c>
      <c r="C1966" s="21" t="s">
        <v>12</v>
      </c>
      <c r="D1966" s="92" t="s">
        <v>19</v>
      </c>
      <c r="E1966" s="117">
        <v>0.13</v>
      </c>
      <c r="F1966" s="113">
        <f>H1966</f>
        <v>15.249000000000001</v>
      </c>
      <c r="G1966" s="114">
        <f>ROUND((E1966*F1966),2)</f>
        <v>1.98</v>
      </c>
      <c r="H1966" s="336">
        <v>15.249000000000001</v>
      </c>
      <c r="I1966" s="38" t="e">
        <f>IF(A1966&lt;&gt;0,VLOOKUP(A1966,#REF!,2,FALSE),"")</f>
        <v>#REF!</v>
      </c>
      <c r="J1966" s="336"/>
      <c r="K1966" s="222"/>
    </row>
    <row r="1967" spans="1:11" s="38" customFormat="1">
      <c r="A1967" s="735" t="s">
        <v>1893</v>
      </c>
      <c r="B1967" s="736"/>
      <c r="C1967" s="736"/>
      <c r="D1967" s="736"/>
      <c r="E1967" s="736"/>
      <c r="F1967" s="737"/>
      <c r="G1967" s="107">
        <f>ROUND(SUM(G1964:G1966),2)</f>
        <v>8.11</v>
      </c>
      <c r="H1967" s="336"/>
      <c r="I1967" s="156"/>
      <c r="J1967" s="336"/>
      <c r="K1967" s="222"/>
    </row>
    <row r="1968" spans="1:11" ht="24.75" customHeight="1">
      <c r="K1968" s="222"/>
    </row>
    <row r="1969" spans="1:11" s="38" customFormat="1" ht="15" customHeight="1">
      <c r="A1969" s="738" t="s">
        <v>1960</v>
      </c>
      <c r="B1969" s="739"/>
      <c r="C1969" s="739"/>
      <c r="D1969" s="739"/>
      <c r="E1969" s="740"/>
      <c r="F1969" s="326" t="s">
        <v>44</v>
      </c>
      <c r="G1969" s="110">
        <v>758</v>
      </c>
      <c r="H1969" s="336"/>
      <c r="I1969" s="156"/>
      <c r="J1969" s="336"/>
      <c r="K1969" s="222"/>
    </row>
    <row r="1970" spans="1:11" s="38" customFormat="1" ht="28.5">
      <c r="A1970" s="69" t="s">
        <v>1916</v>
      </c>
      <c r="B1970" s="230"/>
      <c r="C1970" s="69" t="s">
        <v>3</v>
      </c>
      <c r="D1970" s="69" t="s">
        <v>4</v>
      </c>
      <c r="E1970" s="69" t="s">
        <v>1826</v>
      </c>
      <c r="F1970" s="69" t="s">
        <v>367</v>
      </c>
      <c r="G1970" s="69" t="s">
        <v>368</v>
      </c>
      <c r="H1970" s="336"/>
      <c r="I1970" s="156"/>
      <c r="J1970" s="336"/>
      <c r="K1970" s="222"/>
    </row>
    <row r="1971" spans="1:11" s="38" customFormat="1">
      <c r="A1971" s="92">
        <v>39603</v>
      </c>
      <c r="B1971" s="101" t="s">
        <v>1961</v>
      </c>
      <c r="C1971" s="21" t="s">
        <v>12</v>
      </c>
      <c r="D1971" s="92" t="s">
        <v>17</v>
      </c>
      <c r="E1971" s="124">
        <v>1</v>
      </c>
      <c r="F1971" s="113">
        <f>H1971</f>
        <v>1.7510000000000001</v>
      </c>
      <c r="G1971" s="114">
        <f>ROUND((E1971*F1971),2)</f>
        <v>1.75</v>
      </c>
      <c r="H1971" s="336">
        <v>1.7510000000000001</v>
      </c>
      <c r="I1971" s="38" t="e">
        <f>IF(A1971&lt;&gt;0,VLOOKUP(A1971,#REF!,2,FALSE),"")</f>
        <v>#REF!</v>
      </c>
      <c r="J1971" s="336"/>
      <c r="K1971" s="222"/>
    </row>
    <row r="1972" spans="1:11" s="38" customFormat="1" ht="30">
      <c r="A1972" s="92">
        <v>88264</v>
      </c>
      <c r="B1972" s="101" t="s">
        <v>379</v>
      </c>
      <c r="C1972" s="21" t="s">
        <v>12</v>
      </c>
      <c r="D1972" s="92" t="s">
        <v>19</v>
      </c>
      <c r="E1972" s="124">
        <v>0.1</v>
      </c>
      <c r="F1972" s="113">
        <f>H1972</f>
        <v>15.249000000000001</v>
      </c>
      <c r="G1972" s="114">
        <f>ROUND((E1972*F1972),2)</f>
        <v>1.52</v>
      </c>
      <c r="H1972" s="336">
        <v>15.249000000000001</v>
      </c>
      <c r="I1972" s="38" t="e">
        <f>IF(A1972&lt;&gt;0,VLOOKUP(A1972,#REF!,2,FALSE),"")</f>
        <v>#REF!</v>
      </c>
      <c r="J1972" s="336"/>
      <c r="K1972" s="222"/>
    </row>
    <row r="1973" spans="1:11" s="38" customFormat="1" ht="30">
      <c r="A1973" s="92">
        <v>88316</v>
      </c>
      <c r="B1973" s="101" t="s">
        <v>377</v>
      </c>
      <c r="C1973" s="21" t="s">
        <v>12</v>
      </c>
      <c r="D1973" s="92" t="s">
        <v>19</v>
      </c>
      <c r="E1973" s="124">
        <v>0.1</v>
      </c>
      <c r="F1973" s="113">
        <f>H1973</f>
        <v>11.798000000000002</v>
      </c>
      <c r="G1973" s="114">
        <f>ROUND((E1973*F1973),2)</f>
        <v>1.18</v>
      </c>
      <c r="H1973" s="336">
        <v>11.798000000000002</v>
      </c>
      <c r="I1973" s="38" t="e">
        <f>IF(A1973&lt;&gt;0,VLOOKUP(A1973,#REF!,2,FALSE),"")</f>
        <v>#REF!</v>
      </c>
      <c r="J1973" s="336"/>
      <c r="K1973" s="222"/>
    </row>
    <row r="1974" spans="1:11" s="38" customFormat="1">
      <c r="A1974" s="741" t="s">
        <v>1893</v>
      </c>
      <c r="B1974" s="742"/>
      <c r="C1974" s="742"/>
      <c r="D1974" s="742"/>
      <c r="E1974" s="742"/>
      <c r="F1974" s="743"/>
      <c r="G1974" s="107">
        <f>ROUND(SUM(G1971:G1973),2)</f>
        <v>4.45</v>
      </c>
      <c r="H1974" s="336"/>
      <c r="I1974" s="156"/>
      <c r="J1974" s="336"/>
      <c r="K1974" s="222"/>
    </row>
    <row r="1975" spans="1:11" ht="29.25" customHeight="1">
      <c r="A1975" s="121"/>
      <c r="B1975" s="122"/>
      <c r="C1975" s="121"/>
      <c r="D1975" s="121"/>
      <c r="E1975" s="121"/>
      <c r="F1975" s="123"/>
      <c r="G1975" s="121"/>
      <c r="I1975" s="24"/>
      <c r="K1975" s="222"/>
    </row>
    <row r="1976" spans="1:11" s="38" customFormat="1" ht="23.25" customHeight="1">
      <c r="A1976" s="738" t="s">
        <v>1962</v>
      </c>
      <c r="B1976" s="739"/>
      <c r="C1976" s="739"/>
      <c r="D1976" s="739"/>
      <c r="E1976" s="740"/>
      <c r="F1976" s="326" t="s">
        <v>44</v>
      </c>
      <c r="G1976" s="116">
        <v>11234</v>
      </c>
      <c r="H1976" s="336"/>
      <c r="I1976" s="156"/>
      <c r="J1976" s="336"/>
      <c r="K1976" s="222"/>
    </row>
    <row r="1977" spans="1:11" s="38" customFormat="1" ht="28.5">
      <c r="A1977" s="69" t="s">
        <v>1916</v>
      </c>
      <c r="B1977" s="230"/>
      <c r="C1977" s="69" t="s">
        <v>3</v>
      </c>
      <c r="D1977" s="69" t="s">
        <v>4</v>
      </c>
      <c r="E1977" s="69" t="s">
        <v>1826</v>
      </c>
      <c r="F1977" s="69" t="s">
        <v>367</v>
      </c>
      <c r="G1977" s="69" t="s">
        <v>368</v>
      </c>
      <c r="H1977" s="336"/>
      <c r="I1977" s="156"/>
      <c r="J1977" s="336"/>
      <c r="K1977" s="222"/>
    </row>
    <row r="1978" spans="1:11" s="38" customFormat="1">
      <c r="A1978" s="92">
        <v>12113</v>
      </c>
      <c r="B1978" s="101" t="s">
        <v>1963</v>
      </c>
      <c r="C1978" s="21" t="s">
        <v>44</v>
      </c>
      <c r="D1978" s="92" t="s">
        <v>238</v>
      </c>
      <c r="E1978" s="117">
        <v>2</v>
      </c>
      <c r="F1978" s="118">
        <f>H1978</f>
        <v>30.175000000000001</v>
      </c>
      <c r="G1978" s="114">
        <f>ROUND((E1978*F1978),2)</f>
        <v>60.35</v>
      </c>
      <c r="H1978" s="336">
        <v>30.175000000000001</v>
      </c>
      <c r="I1978" s="38" t="e">
        <f>IF(A1978&lt;&gt;0,VLOOKUP(A1978,#REF!,2,FALSE),"")</f>
        <v>#REF!</v>
      </c>
      <c r="J1978" s="336"/>
      <c r="K1978" s="222"/>
    </row>
    <row r="1979" spans="1:11" s="38" customFormat="1" ht="30">
      <c r="A1979" s="92">
        <v>1872</v>
      </c>
      <c r="B1979" s="101" t="s">
        <v>1939</v>
      </c>
      <c r="C1979" s="21" t="s">
        <v>12</v>
      </c>
      <c r="D1979" s="92" t="s">
        <v>238</v>
      </c>
      <c r="E1979" s="117">
        <v>1</v>
      </c>
      <c r="F1979" s="118">
        <f>H1979</f>
        <v>1.7510000000000001</v>
      </c>
      <c r="G1979" s="114">
        <f>ROUND((E1979*F1979),2)</f>
        <v>1.75</v>
      </c>
      <c r="H1979" s="336">
        <v>1.7510000000000001</v>
      </c>
      <c r="I1979" s="38" t="e">
        <f>IF(A1979&lt;&gt;0,VLOOKUP(A1979,#REF!,2,FALSE),"")</f>
        <v>#REF!</v>
      </c>
      <c r="J1979" s="336"/>
      <c r="K1979" s="222"/>
    </row>
    <row r="1980" spans="1:11" s="38" customFormat="1">
      <c r="A1980" s="92">
        <v>12114</v>
      </c>
      <c r="B1980" s="101" t="s">
        <v>1964</v>
      </c>
      <c r="C1980" s="21" t="s">
        <v>44</v>
      </c>
      <c r="D1980" s="92" t="s">
        <v>238</v>
      </c>
      <c r="E1980" s="117">
        <v>1</v>
      </c>
      <c r="F1980" s="118">
        <f>H1980</f>
        <v>1.9125000000000001</v>
      </c>
      <c r="G1980" s="114">
        <f>ROUND((E1980*F1980),2)</f>
        <v>1.91</v>
      </c>
      <c r="H1980" s="336">
        <v>1.9125000000000001</v>
      </c>
      <c r="I1980" s="38" t="e">
        <f>IF(A1980&lt;&gt;0,VLOOKUP(A1980,#REF!,2,FALSE),"")</f>
        <v>#REF!</v>
      </c>
      <c r="J1980" s="336"/>
      <c r="K1980" s="222"/>
    </row>
    <row r="1981" spans="1:11" s="38" customFormat="1" ht="30">
      <c r="A1981" s="92">
        <v>88316</v>
      </c>
      <c r="B1981" s="101" t="s">
        <v>377</v>
      </c>
      <c r="C1981" s="21" t="s">
        <v>12</v>
      </c>
      <c r="D1981" s="92" t="s">
        <v>19</v>
      </c>
      <c r="E1981" s="117">
        <v>0.4</v>
      </c>
      <c r="F1981" s="113">
        <f>H1981</f>
        <v>11.798000000000002</v>
      </c>
      <c r="G1981" s="114">
        <f>ROUND((E1981*F1981),2)</f>
        <v>4.72</v>
      </c>
      <c r="H1981" s="336">
        <v>11.798000000000002</v>
      </c>
      <c r="I1981" s="38" t="e">
        <f>IF(A1981&lt;&gt;0,VLOOKUP(A1981,#REF!,2,FALSE),"")</f>
        <v>#REF!</v>
      </c>
      <c r="J1981" s="336"/>
      <c r="K1981" s="222"/>
    </row>
    <row r="1982" spans="1:11" s="38" customFormat="1">
      <c r="A1982" s="92">
        <v>88264</v>
      </c>
      <c r="B1982" s="101" t="e">
        <f>I1982</f>
        <v>#REF!</v>
      </c>
      <c r="C1982" s="21" t="s">
        <v>12</v>
      </c>
      <c r="D1982" s="92" t="s">
        <v>19</v>
      </c>
      <c r="E1982" s="117">
        <v>0.8</v>
      </c>
      <c r="F1982" s="113">
        <f>H1982</f>
        <v>15.249000000000001</v>
      </c>
      <c r="G1982" s="114">
        <f>ROUND((E1982*F1982),2)</f>
        <v>12.2</v>
      </c>
      <c r="H1982" s="336">
        <v>15.249000000000001</v>
      </c>
      <c r="I1982" s="38" t="e">
        <f>IF(A1982&lt;&gt;0,VLOOKUP(A1982,#REF!,2,FALSE),"")</f>
        <v>#REF!</v>
      </c>
      <c r="J1982" s="336"/>
      <c r="K1982" s="222"/>
    </row>
    <row r="1983" spans="1:11" s="38" customFormat="1">
      <c r="A1983" s="741" t="s">
        <v>1893</v>
      </c>
      <c r="B1983" s="742"/>
      <c r="C1983" s="742"/>
      <c r="D1983" s="742"/>
      <c r="E1983" s="742"/>
      <c r="F1983" s="743"/>
      <c r="G1983" s="107">
        <f>ROUND(SUM(G1978:G1982),2)</f>
        <v>80.930000000000007</v>
      </c>
      <c r="H1983" s="336"/>
      <c r="I1983" s="156"/>
      <c r="J1983" s="336"/>
      <c r="K1983" s="222"/>
    </row>
    <row r="1984" spans="1:11" ht="27.75" customHeight="1">
      <c r="A1984" s="121"/>
      <c r="B1984" s="122"/>
      <c r="C1984" s="121"/>
      <c r="D1984" s="121"/>
      <c r="E1984" s="121"/>
      <c r="F1984" s="123"/>
      <c r="G1984" s="121"/>
      <c r="I1984" s="24"/>
      <c r="K1984" s="222"/>
    </row>
    <row r="1985" spans="1:11" s="38" customFormat="1" ht="15" customHeight="1">
      <c r="A1985" s="738" t="s">
        <v>1965</v>
      </c>
      <c r="B1985" s="739"/>
      <c r="C1985" s="739"/>
      <c r="D1985" s="739"/>
      <c r="E1985" s="740"/>
      <c r="F1985" s="326" t="s">
        <v>44</v>
      </c>
      <c r="G1985" s="116">
        <v>11214</v>
      </c>
      <c r="H1985" s="336"/>
      <c r="I1985" s="156"/>
      <c r="J1985" s="336"/>
      <c r="K1985" s="222"/>
    </row>
    <row r="1986" spans="1:11" s="38" customFormat="1" ht="28.5">
      <c r="A1986" s="69" t="s">
        <v>1916</v>
      </c>
      <c r="B1986" s="230"/>
      <c r="C1986" s="69" t="s">
        <v>3</v>
      </c>
      <c r="D1986" s="69" t="s">
        <v>4</v>
      </c>
      <c r="E1986" s="69" t="s">
        <v>1826</v>
      </c>
      <c r="F1986" s="69" t="s">
        <v>367</v>
      </c>
      <c r="G1986" s="69" t="s">
        <v>368</v>
      </c>
      <c r="H1986" s="336"/>
      <c r="I1986" s="156"/>
      <c r="J1986" s="336"/>
      <c r="K1986" s="222"/>
    </row>
    <row r="1987" spans="1:11" s="38" customFormat="1">
      <c r="A1987" s="92">
        <v>12099</v>
      </c>
      <c r="B1987" s="101" t="s">
        <v>1966</v>
      </c>
      <c r="C1987" s="21" t="s">
        <v>44</v>
      </c>
      <c r="D1987" s="92" t="s">
        <v>238</v>
      </c>
      <c r="E1987" s="117">
        <v>1</v>
      </c>
      <c r="F1987" s="118">
        <f>H1987</f>
        <v>26.494500000000002</v>
      </c>
      <c r="G1987" s="114">
        <f>ROUND((E1987*F1987),2)</f>
        <v>26.49</v>
      </c>
      <c r="H1987" s="336">
        <v>26.494500000000002</v>
      </c>
      <c r="I1987" s="38" t="e">
        <f>IF(A1987&lt;&gt;0,VLOOKUP(A1987,#REF!,2,FALSE),"")</f>
        <v>#REF!</v>
      </c>
      <c r="J1987" s="336"/>
      <c r="K1987" s="222"/>
    </row>
    <row r="1988" spans="1:11" s="38" customFormat="1" ht="30">
      <c r="A1988" s="92">
        <v>1872</v>
      </c>
      <c r="B1988" s="101" t="s">
        <v>1939</v>
      </c>
      <c r="C1988" s="21" t="s">
        <v>12</v>
      </c>
      <c r="D1988" s="92" t="s">
        <v>238</v>
      </c>
      <c r="E1988" s="117">
        <v>1</v>
      </c>
      <c r="F1988" s="118">
        <f>H1988</f>
        <v>1.7510000000000001</v>
      </c>
      <c r="G1988" s="114">
        <f>ROUND((E1988*F1988),2)</f>
        <v>1.75</v>
      </c>
      <c r="H1988" s="336">
        <v>1.7510000000000001</v>
      </c>
      <c r="I1988" s="38" t="e">
        <f>IF(A1988&lt;&gt;0,VLOOKUP(A1988,#REF!,2,FALSE),"")</f>
        <v>#REF!</v>
      </c>
      <c r="J1988" s="336"/>
      <c r="K1988" s="222"/>
    </row>
    <row r="1989" spans="1:11" s="38" customFormat="1" ht="30">
      <c r="A1989" s="92">
        <v>88316</v>
      </c>
      <c r="B1989" s="101" t="s">
        <v>377</v>
      </c>
      <c r="C1989" s="21" t="s">
        <v>12</v>
      </c>
      <c r="D1989" s="92" t="s">
        <v>19</v>
      </c>
      <c r="E1989" s="117">
        <v>0.7</v>
      </c>
      <c r="F1989" s="113">
        <f>H1989</f>
        <v>11.798000000000002</v>
      </c>
      <c r="G1989" s="114">
        <f>ROUND((E1989*F1989),2)</f>
        <v>8.26</v>
      </c>
      <c r="H1989" s="336">
        <v>11.798000000000002</v>
      </c>
      <c r="I1989" s="38" t="e">
        <f>IF(A1989&lt;&gt;0,VLOOKUP(A1989,#REF!,2,FALSE),"")</f>
        <v>#REF!</v>
      </c>
      <c r="J1989" s="336"/>
      <c r="K1989" s="222"/>
    </row>
    <row r="1990" spans="1:11" s="38" customFormat="1">
      <c r="A1990" s="92">
        <v>88264</v>
      </c>
      <c r="B1990" s="101" t="e">
        <f>I1990</f>
        <v>#REF!</v>
      </c>
      <c r="C1990" s="21" t="s">
        <v>12</v>
      </c>
      <c r="D1990" s="92" t="s">
        <v>19</v>
      </c>
      <c r="E1990" s="117">
        <v>0.7</v>
      </c>
      <c r="F1990" s="113">
        <f>H1990</f>
        <v>15.249000000000001</v>
      </c>
      <c r="G1990" s="114">
        <f>ROUND((E1990*F1990),2)</f>
        <v>10.67</v>
      </c>
      <c r="H1990" s="336">
        <v>15.249000000000001</v>
      </c>
      <c r="I1990" s="38" t="e">
        <f>IF(A1990&lt;&gt;0,VLOOKUP(A1990,#REF!,2,FALSE),"")</f>
        <v>#REF!</v>
      </c>
      <c r="J1990" s="336"/>
      <c r="K1990" s="222"/>
    </row>
    <row r="1991" spans="1:11" s="38" customFormat="1">
      <c r="A1991" s="741" t="s">
        <v>1893</v>
      </c>
      <c r="B1991" s="742"/>
      <c r="C1991" s="742"/>
      <c r="D1991" s="742"/>
      <c r="E1991" s="742"/>
      <c r="F1991" s="743"/>
      <c r="G1991" s="107">
        <f>ROUND(SUM(G1987:G1990),2)</f>
        <v>47.17</v>
      </c>
      <c r="H1991" s="336"/>
      <c r="I1991" s="156"/>
      <c r="J1991" s="336"/>
      <c r="K1991" s="222"/>
    </row>
    <row r="1992" spans="1:11" ht="23.25" customHeight="1">
      <c r="A1992" s="121"/>
      <c r="B1992" s="122"/>
      <c r="C1992" s="121"/>
      <c r="D1992" s="121"/>
      <c r="E1992" s="121"/>
      <c r="F1992" s="123"/>
      <c r="G1992" s="121"/>
      <c r="I1992" s="24"/>
      <c r="K1992" s="222"/>
    </row>
    <row r="1993" spans="1:11" s="38" customFormat="1" ht="33.75" customHeight="1">
      <c r="A1993" s="738" t="s">
        <v>1967</v>
      </c>
      <c r="B1993" s="739"/>
      <c r="C1993" s="739"/>
      <c r="D1993" s="739"/>
      <c r="E1993" s="740"/>
      <c r="F1993" s="326" t="s">
        <v>44</v>
      </c>
      <c r="G1993" s="110">
        <v>8362</v>
      </c>
      <c r="H1993" s="336"/>
      <c r="I1993" s="156"/>
      <c r="J1993" s="336"/>
      <c r="K1993" s="222"/>
    </row>
    <row r="1994" spans="1:11" s="38" customFormat="1" ht="28.5">
      <c r="A1994" s="69" t="s">
        <v>1916</v>
      </c>
      <c r="B1994" s="230"/>
      <c r="C1994" s="69" t="s">
        <v>3</v>
      </c>
      <c r="D1994" s="69" t="s">
        <v>4</v>
      </c>
      <c r="E1994" s="69" t="s">
        <v>1826</v>
      </c>
      <c r="F1994" s="69" t="s">
        <v>367</v>
      </c>
      <c r="G1994" s="69" t="s">
        <v>368</v>
      </c>
      <c r="H1994" s="336"/>
      <c r="I1994" s="156"/>
      <c r="J1994" s="336"/>
      <c r="K1994" s="222"/>
    </row>
    <row r="1995" spans="1:11" s="38" customFormat="1">
      <c r="A1995" s="92">
        <v>1089</v>
      </c>
      <c r="B1995" s="101" t="s">
        <v>1968</v>
      </c>
      <c r="C1995" s="21" t="s">
        <v>44</v>
      </c>
      <c r="D1995" s="92" t="s">
        <v>1941</v>
      </c>
      <c r="E1995" s="166">
        <v>1</v>
      </c>
      <c r="F1995" s="165">
        <f>H1995</f>
        <v>13.344999999999999</v>
      </c>
      <c r="G1995" s="165">
        <f>ROUND((E1995*F1995),2)</f>
        <v>13.35</v>
      </c>
      <c r="H1995" s="336">
        <v>13.344999999999999</v>
      </c>
      <c r="I1995" s="38" t="e">
        <f>IF(A1995&lt;&gt;0,VLOOKUP(A1995,#REF!,2,FALSE),"")</f>
        <v>#REF!</v>
      </c>
      <c r="J1995" s="336"/>
      <c r="K1995" s="222"/>
    </row>
    <row r="1996" spans="1:11" s="38" customFormat="1" ht="30">
      <c r="A1996" s="92">
        <v>88264</v>
      </c>
      <c r="B1996" s="101" t="s">
        <v>379</v>
      </c>
      <c r="C1996" s="21" t="s">
        <v>12</v>
      </c>
      <c r="D1996" s="92" t="s">
        <v>19</v>
      </c>
      <c r="E1996" s="117">
        <v>0.2</v>
      </c>
      <c r="F1996" s="113">
        <f>H1996</f>
        <v>15.249000000000001</v>
      </c>
      <c r="G1996" s="114">
        <f>ROUND((E1996*F1996),2)</f>
        <v>3.05</v>
      </c>
      <c r="H1996" s="336">
        <v>15.249000000000001</v>
      </c>
      <c r="I1996" s="38" t="e">
        <f>IF(A1996&lt;&gt;0,VLOOKUP(A1996,#REF!,2,FALSE),"")</f>
        <v>#REF!</v>
      </c>
      <c r="J1996" s="336"/>
      <c r="K1996" s="222"/>
    </row>
    <row r="1997" spans="1:11" s="38" customFormat="1">
      <c r="A1997" s="735" t="s">
        <v>1893</v>
      </c>
      <c r="B1997" s="736"/>
      <c r="C1997" s="736"/>
      <c r="D1997" s="736"/>
      <c r="E1997" s="736"/>
      <c r="F1997" s="737"/>
      <c r="G1997" s="107">
        <f>ROUND(SUM(G1995:G1996),2)</f>
        <v>16.399999999999999</v>
      </c>
      <c r="H1997" s="336"/>
      <c r="I1997" s="156"/>
      <c r="J1997" s="336"/>
      <c r="K1997" s="222"/>
    </row>
    <row r="1998" spans="1:11" ht="25.5" customHeight="1">
      <c r="A1998" s="121"/>
      <c r="B1998" s="122"/>
      <c r="C1998" s="121"/>
      <c r="D1998" s="121"/>
      <c r="E1998" s="121"/>
      <c r="F1998" s="123"/>
      <c r="G1998" s="121"/>
      <c r="I1998" s="24"/>
      <c r="K1998" s="222"/>
    </row>
    <row r="1999" spans="1:11" s="38" customFormat="1" ht="33" customHeight="1">
      <c r="A1999" s="738" t="s">
        <v>1969</v>
      </c>
      <c r="B1999" s="739"/>
      <c r="C1999" s="739"/>
      <c r="D1999" s="739"/>
      <c r="E1999" s="740"/>
      <c r="F1999" s="326" t="s">
        <v>44</v>
      </c>
      <c r="G1999" s="110">
        <v>755</v>
      </c>
      <c r="H1999" s="336"/>
      <c r="I1999" s="156"/>
      <c r="J1999" s="336"/>
      <c r="K1999" s="222"/>
    </row>
    <row r="2000" spans="1:11" s="38" customFormat="1" ht="28.5">
      <c r="A2000" s="69" t="s">
        <v>1916</v>
      </c>
      <c r="B2000" s="230"/>
      <c r="C2000" s="69" t="s">
        <v>3</v>
      </c>
      <c r="D2000" s="69" t="s">
        <v>4</v>
      </c>
      <c r="E2000" s="69" t="s">
        <v>1826</v>
      </c>
      <c r="F2000" s="69" t="s">
        <v>367</v>
      </c>
      <c r="G2000" s="69" t="s">
        <v>368</v>
      </c>
      <c r="H2000" s="336"/>
      <c r="I2000" s="156"/>
      <c r="J2000" s="336"/>
      <c r="K2000" s="222"/>
    </row>
    <row r="2001" spans="1:11" s="38" customFormat="1" ht="30">
      <c r="A2001" s="92">
        <v>1649</v>
      </c>
      <c r="B2001" s="101" t="s">
        <v>1970</v>
      </c>
      <c r="C2001" s="21" t="s">
        <v>44</v>
      </c>
      <c r="D2001" s="92" t="s">
        <v>238</v>
      </c>
      <c r="E2001" s="166">
        <v>1</v>
      </c>
      <c r="F2001" s="113">
        <f>H2001</f>
        <v>666.4085</v>
      </c>
      <c r="G2001" s="165">
        <f>ROUND((E2001*F2001),2)</f>
        <v>666.41</v>
      </c>
      <c r="H2001" s="336">
        <v>666.4085</v>
      </c>
      <c r="I2001" s="38" t="e">
        <f>IF(A2001&lt;&gt;0,VLOOKUP(A2001,#REF!,2,FALSE),"")</f>
        <v>#REF!</v>
      </c>
      <c r="J2001" s="336"/>
      <c r="K2001" s="222"/>
    </row>
    <row r="2002" spans="1:11" s="38" customFormat="1" ht="30">
      <c r="A2002" s="92">
        <v>88247</v>
      </c>
      <c r="B2002" s="101" t="s">
        <v>510</v>
      </c>
      <c r="C2002" s="21" t="s">
        <v>12</v>
      </c>
      <c r="D2002" s="92" t="s">
        <v>19</v>
      </c>
      <c r="E2002" s="166">
        <v>0.3</v>
      </c>
      <c r="F2002" s="113">
        <f>H2002</f>
        <v>11.9085</v>
      </c>
      <c r="G2002" s="114">
        <f>ROUND((E2002*F2002),2)</f>
        <v>3.57</v>
      </c>
      <c r="H2002" s="336">
        <v>11.9085</v>
      </c>
      <c r="I2002" s="38" t="e">
        <f>IF(A2002&lt;&gt;0,VLOOKUP(A2002,#REF!,2,FALSE),"")</f>
        <v>#REF!</v>
      </c>
      <c r="J2002" s="336"/>
      <c r="K2002" s="222"/>
    </row>
    <row r="2003" spans="1:11" s="38" customFormat="1" ht="30">
      <c r="A2003" s="92">
        <v>88264</v>
      </c>
      <c r="B2003" s="101" t="s">
        <v>379</v>
      </c>
      <c r="C2003" s="21" t="s">
        <v>12</v>
      </c>
      <c r="D2003" s="92" t="s">
        <v>19</v>
      </c>
      <c r="E2003" s="166">
        <v>0.3</v>
      </c>
      <c r="F2003" s="113">
        <f>H2003</f>
        <v>15.249000000000001</v>
      </c>
      <c r="G2003" s="114">
        <f>ROUND((E2003*F2003),2)</f>
        <v>4.57</v>
      </c>
      <c r="H2003" s="336">
        <v>15.249000000000001</v>
      </c>
      <c r="I2003" s="38" t="e">
        <f>IF(A2003&lt;&gt;0,VLOOKUP(A2003,#REF!,2,FALSE),"")</f>
        <v>#REF!</v>
      </c>
      <c r="J2003" s="336"/>
      <c r="K2003" s="222"/>
    </row>
    <row r="2004" spans="1:11" s="38" customFormat="1">
      <c r="A2004" s="735" t="s">
        <v>1893</v>
      </c>
      <c r="B2004" s="736"/>
      <c r="C2004" s="736"/>
      <c r="D2004" s="736"/>
      <c r="E2004" s="736"/>
      <c r="F2004" s="737"/>
      <c r="G2004" s="107">
        <f>ROUND(SUM(G2001:G2003),2)</f>
        <v>674.55</v>
      </c>
      <c r="H2004" s="336"/>
      <c r="I2004" s="156"/>
      <c r="J2004" s="336"/>
      <c r="K2004" s="222"/>
    </row>
    <row r="2005" spans="1:11" ht="33" customHeight="1">
      <c r="A2005" s="121"/>
      <c r="B2005" s="122"/>
      <c r="C2005" s="121"/>
      <c r="D2005" s="121"/>
      <c r="E2005" s="121"/>
      <c r="F2005" s="123"/>
      <c r="G2005" s="121"/>
      <c r="I2005" s="24"/>
      <c r="K2005" s="222"/>
    </row>
    <row r="2006" spans="1:11" s="38" customFormat="1" ht="20.25" customHeight="1">
      <c r="A2006" s="738" t="s">
        <v>2501</v>
      </c>
      <c r="B2006" s="739"/>
      <c r="C2006" s="739"/>
      <c r="D2006" s="739"/>
      <c r="E2006" s="740"/>
      <c r="F2006" s="326" t="s">
        <v>44</v>
      </c>
      <c r="G2006" s="110">
        <v>10727</v>
      </c>
      <c r="H2006" s="336"/>
      <c r="I2006" s="156"/>
      <c r="J2006" s="336"/>
      <c r="K2006" s="222"/>
    </row>
    <row r="2007" spans="1:11" s="38" customFormat="1" ht="28.5">
      <c r="A2007" s="69" t="s">
        <v>1916</v>
      </c>
      <c r="B2007" s="230"/>
      <c r="C2007" s="69" t="s">
        <v>3</v>
      </c>
      <c r="D2007" s="69" t="s">
        <v>4</v>
      </c>
      <c r="E2007" s="69" t="s">
        <v>1826</v>
      </c>
      <c r="F2007" s="69" t="s">
        <v>367</v>
      </c>
      <c r="G2007" s="69" t="s">
        <v>368</v>
      </c>
      <c r="H2007" s="336"/>
      <c r="I2007" s="156"/>
      <c r="J2007" s="336"/>
      <c r="K2007" s="222"/>
    </row>
    <row r="2008" spans="1:11" s="38" customFormat="1">
      <c r="A2008" s="92">
        <v>11623</v>
      </c>
      <c r="B2008" s="101" t="s">
        <v>2502</v>
      </c>
      <c r="C2008" s="21" t="s">
        <v>44</v>
      </c>
      <c r="D2008" s="92" t="s">
        <v>17</v>
      </c>
      <c r="E2008" s="166">
        <v>1</v>
      </c>
      <c r="F2008" s="118">
        <f>H2008</f>
        <v>339.745</v>
      </c>
      <c r="G2008" s="165">
        <f>ROUND((E2008*F2008),2)</f>
        <v>339.75</v>
      </c>
      <c r="H2008" s="336">
        <v>339.745</v>
      </c>
      <c r="I2008" s="38" t="e">
        <f>IF(A2008&lt;&gt;0,VLOOKUP(A2008,#REF!,2,FALSE),"")</f>
        <v>#REF!</v>
      </c>
      <c r="J2008" s="336"/>
      <c r="K2008" s="222"/>
    </row>
    <row r="2009" spans="1:11" s="38" customFormat="1" ht="30">
      <c r="A2009" s="92">
        <v>88264</v>
      </c>
      <c r="B2009" s="101" t="s">
        <v>379</v>
      </c>
      <c r="C2009" s="21" t="s">
        <v>12</v>
      </c>
      <c r="D2009" s="92" t="s">
        <v>19</v>
      </c>
      <c r="E2009" s="166">
        <v>1</v>
      </c>
      <c r="F2009" s="118">
        <f>H2009</f>
        <v>15.249000000000001</v>
      </c>
      <c r="G2009" s="114">
        <f>ROUND((E2009*F2009),2)</f>
        <v>15.25</v>
      </c>
      <c r="H2009" s="336">
        <v>15.249000000000001</v>
      </c>
      <c r="I2009" s="38" t="e">
        <f>IF(A2009&lt;&gt;0,VLOOKUP(A2009,#REF!,2,FALSE),"")</f>
        <v>#REF!</v>
      </c>
      <c r="J2009" s="336"/>
      <c r="K2009" s="222"/>
    </row>
    <row r="2010" spans="1:11" s="38" customFormat="1">
      <c r="A2010" s="741" t="s">
        <v>1893</v>
      </c>
      <c r="B2010" s="742"/>
      <c r="C2010" s="742"/>
      <c r="D2010" s="742"/>
      <c r="E2010" s="742"/>
      <c r="F2010" s="743"/>
      <c r="G2010" s="107">
        <f>ROUND(SUM(G2008:G2009),2)</f>
        <v>355</v>
      </c>
      <c r="H2010" s="336"/>
      <c r="I2010" s="156"/>
      <c r="J2010" s="336"/>
      <c r="K2010" s="222"/>
    </row>
    <row r="2011" spans="1:11" ht="24.75" customHeight="1">
      <c r="A2011" s="121"/>
      <c r="B2011" s="122"/>
      <c r="C2011" s="121"/>
      <c r="D2011" s="121"/>
      <c r="E2011" s="121"/>
      <c r="F2011" s="123"/>
      <c r="G2011" s="121"/>
      <c r="I2011" s="24"/>
      <c r="K2011" s="222"/>
    </row>
    <row r="2012" spans="1:11" s="38" customFormat="1" ht="22.5" customHeight="1">
      <c r="A2012" s="738" t="s">
        <v>1971</v>
      </c>
      <c r="B2012" s="739"/>
      <c r="C2012" s="739"/>
      <c r="D2012" s="739"/>
      <c r="E2012" s="740"/>
      <c r="F2012" s="326" t="s">
        <v>44</v>
      </c>
      <c r="G2012" s="116">
        <v>11420</v>
      </c>
      <c r="H2012" s="336"/>
      <c r="I2012" s="156"/>
      <c r="J2012" s="336"/>
      <c r="K2012" s="222"/>
    </row>
    <row r="2013" spans="1:11" s="38" customFormat="1" ht="28.5">
      <c r="A2013" s="69" t="s">
        <v>1916</v>
      </c>
      <c r="B2013" s="230"/>
      <c r="C2013" s="69" t="s">
        <v>3</v>
      </c>
      <c r="D2013" s="69" t="s">
        <v>4</v>
      </c>
      <c r="E2013" s="69" t="s">
        <v>1826</v>
      </c>
      <c r="F2013" s="69" t="s">
        <v>367</v>
      </c>
      <c r="G2013" s="69" t="s">
        <v>368</v>
      </c>
      <c r="H2013" s="336"/>
      <c r="I2013" s="156"/>
      <c r="J2013" s="336"/>
      <c r="K2013" s="222"/>
    </row>
    <row r="2014" spans="1:11" s="38" customFormat="1">
      <c r="A2014" s="92">
        <v>11980</v>
      </c>
      <c r="B2014" s="101" t="s">
        <v>1972</v>
      </c>
      <c r="C2014" s="21" t="s">
        <v>44</v>
      </c>
      <c r="D2014" s="92" t="s">
        <v>238</v>
      </c>
      <c r="E2014" s="117">
        <v>1</v>
      </c>
      <c r="F2014" s="118">
        <f>H2014</f>
        <v>6.2474999999999996</v>
      </c>
      <c r="G2014" s="114">
        <f>ROUND((E2014*F2014),2)</f>
        <v>6.25</v>
      </c>
      <c r="H2014" s="336">
        <v>6.2474999999999996</v>
      </c>
      <c r="I2014" s="38" t="e">
        <f>IF(A2014&lt;&gt;0,VLOOKUP(A2014,#REF!,2,FALSE),"")</f>
        <v>#REF!</v>
      </c>
      <c r="J2014" s="336"/>
      <c r="K2014" s="222"/>
    </row>
    <row r="2015" spans="1:11" s="38" customFormat="1" ht="30">
      <c r="A2015" s="92">
        <v>88316</v>
      </c>
      <c r="B2015" s="101" t="s">
        <v>377</v>
      </c>
      <c r="C2015" s="21" t="s">
        <v>12</v>
      </c>
      <c r="D2015" s="92" t="s">
        <v>19</v>
      </c>
      <c r="E2015" s="117">
        <v>0.2</v>
      </c>
      <c r="F2015" s="118">
        <f>H2015</f>
        <v>11.798000000000002</v>
      </c>
      <c r="G2015" s="114">
        <f>ROUND((E2015*F2015),2)</f>
        <v>2.36</v>
      </c>
      <c r="H2015" s="336">
        <v>11.798000000000002</v>
      </c>
      <c r="I2015" s="38" t="e">
        <f>IF(A2015&lt;&gt;0,VLOOKUP(A2015,#REF!,2,FALSE),"")</f>
        <v>#REF!</v>
      </c>
      <c r="J2015" s="336"/>
      <c r="K2015" s="222"/>
    </row>
    <row r="2016" spans="1:11" s="38" customFormat="1">
      <c r="A2016" s="92">
        <v>88264</v>
      </c>
      <c r="B2016" s="101" t="e">
        <f>I2016</f>
        <v>#REF!</v>
      </c>
      <c r="C2016" s="21" t="s">
        <v>12</v>
      </c>
      <c r="D2016" s="92" t="s">
        <v>19</v>
      </c>
      <c r="E2016" s="117">
        <v>0.2</v>
      </c>
      <c r="F2016" s="118">
        <f>H2016</f>
        <v>15.249000000000001</v>
      </c>
      <c r="G2016" s="114">
        <f>ROUND((E2016*F2016),2)</f>
        <v>3.05</v>
      </c>
      <c r="H2016" s="336">
        <v>15.249000000000001</v>
      </c>
      <c r="I2016" s="38" t="e">
        <f>IF(A2016&lt;&gt;0,VLOOKUP(A2016,#REF!,2,FALSE),"")</f>
        <v>#REF!</v>
      </c>
      <c r="J2016" s="336"/>
      <c r="K2016" s="222"/>
    </row>
    <row r="2017" spans="1:11" s="38" customFormat="1">
      <c r="A2017" s="735" t="s">
        <v>1893</v>
      </c>
      <c r="B2017" s="736"/>
      <c r="C2017" s="736"/>
      <c r="D2017" s="736"/>
      <c r="E2017" s="736"/>
      <c r="F2017" s="737"/>
      <c r="G2017" s="107">
        <f>ROUND(SUM(G2014:G2016),2)</f>
        <v>11.66</v>
      </c>
      <c r="H2017" s="336"/>
      <c r="I2017" s="156"/>
      <c r="J2017" s="336"/>
      <c r="K2017" s="222"/>
    </row>
    <row r="2018" spans="1:11" ht="22.5" customHeight="1">
      <c r="A2018" s="121"/>
      <c r="B2018" s="122"/>
      <c r="C2018" s="121"/>
      <c r="D2018" s="121"/>
      <c r="E2018" s="121"/>
      <c r="F2018" s="123"/>
      <c r="G2018" s="121"/>
      <c r="I2018" s="24"/>
      <c r="K2018" s="222"/>
    </row>
    <row r="2019" spans="1:11" s="38" customFormat="1" ht="30" customHeight="1">
      <c r="A2019" s="738" t="s">
        <v>1973</v>
      </c>
      <c r="B2019" s="739"/>
      <c r="C2019" s="739"/>
      <c r="D2019" s="739"/>
      <c r="E2019" s="740"/>
      <c r="F2019" s="326" t="s">
        <v>44</v>
      </c>
      <c r="G2019" s="116">
        <v>12397</v>
      </c>
      <c r="H2019" s="336"/>
      <c r="I2019" s="156"/>
      <c r="J2019" s="336"/>
      <c r="K2019" s="222"/>
    </row>
    <row r="2020" spans="1:11" s="38" customFormat="1" ht="28.5">
      <c r="A2020" s="69" t="s">
        <v>1916</v>
      </c>
      <c r="B2020" s="230"/>
      <c r="C2020" s="69" t="s">
        <v>3</v>
      </c>
      <c r="D2020" s="69" t="s">
        <v>4</v>
      </c>
      <c r="E2020" s="69" t="s">
        <v>1826</v>
      </c>
      <c r="F2020" s="69" t="s">
        <v>367</v>
      </c>
      <c r="G2020" s="69" t="s">
        <v>368</v>
      </c>
      <c r="H2020" s="336"/>
      <c r="I2020" s="156"/>
      <c r="J2020" s="336"/>
      <c r="K2020" s="222"/>
    </row>
    <row r="2021" spans="1:11" s="38" customFormat="1" ht="30">
      <c r="A2021" s="92">
        <v>1872</v>
      </c>
      <c r="B2021" s="101" t="s">
        <v>1939</v>
      </c>
      <c r="C2021" s="21" t="s">
        <v>12</v>
      </c>
      <c r="D2021" s="92" t="s">
        <v>238</v>
      </c>
      <c r="E2021" s="117">
        <v>1</v>
      </c>
      <c r="F2021" s="118">
        <f>H2021</f>
        <v>1.7510000000000001</v>
      </c>
      <c r="G2021" s="114">
        <f>ROUND((E2021*F2021),2)</f>
        <v>1.75</v>
      </c>
      <c r="H2021" s="336">
        <v>1.7510000000000001</v>
      </c>
      <c r="I2021" s="38" t="e">
        <f>IF(A2021&lt;&gt;0,VLOOKUP(A2021,#REF!,2,FALSE),"")</f>
        <v>#REF!</v>
      </c>
      <c r="J2021" s="336"/>
      <c r="K2021" s="222"/>
    </row>
    <row r="2022" spans="1:11" s="38" customFormat="1">
      <c r="A2022" s="92">
        <v>13693</v>
      </c>
      <c r="B2022" s="101" t="s">
        <v>1974</v>
      </c>
      <c r="C2022" s="21" t="s">
        <v>44</v>
      </c>
      <c r="D2022" s="92" t="s">
        <v>238</v>
      </c>
      <c r="E2022" s="117">
        <v>1</v>
      </c>
      <c r="F2022" s="118">
        <f>H2022</f>
        <v>28.602499999999999</v>
      </c>
      <c r="G2022" s="114">
        <f>ROUND((E2022*F2022),2)</f>
        <v>28.6</v>
      </c>
      <c r="H2022" s="336">
        <v>28.602499999999999</v>
      </c>
      <c r="I2022" s="38" t="e">
        <f>IF(A2022&lt;&gt;0,VLOOKUP(A2022,#REF!,2,FALSE),"")</f>
        <v>#REF!</v>
      </c>
      <c r="J2022" s="336"/>
      <c r="K2022" s="222"/>
    </row>
    <row r="2023" spans="1:11" s="38" customFormat="1" ht="30">
      <c r="A2023" s="92">
        <v>88316</v>
      </c>
      <c r="B2023" s="101" t="s">
        <v>377</v>
      </c>
      <c r="C2023" s="21" t="s">
        <v>12</v>
      </c>
      <c r="D2023" s="92" t="s">
        <v>19</v>
      </c>
      <c r="E2023" s="117">
        <v>0.7</v>
      </c>
      <c r="F2023" s="118">
        <f>H2023</f>
        <v>11.798000000000002</v>
      </c>
      <c r="G2023" s="114">
        <f>ROUND((E2023*F2023),2)</f>
        <v>8.26</v>
      </c>
      <c r="H2023" s="336">
        <v>11.798000000000002</v>
      </c>
      <c r="I2023" s="38" t="e">
        <f>IF(A2023&lt;&gt;0,VLOOKUP(A2023,#REF!,2,FALSE),"")</f>
        <v>#REF!</v>
      </c>
      <c r="J2023" s="336"/>
      <c r="K2023" s="222"/>
    </row>
    <row r="2024" spans="1:11" s="38" customFormat="1">
      <c r="A2024" s="92">
        <v>88264</v>
      </c>
      <c r="B2024" s="101" t="e">
        <f>I2024</f>
        <v>#REF!</v>
      </c>
      <c r="C2024" s="21" t="s">
        <v>12</v>
      </c>
      <c r="D2024" s="92" t="s">
        <v>19</v>
      </c>
      <c r="E2024" s="117">
        <v>0.7</v>
      </c>
      <c r="F2024" s="118">
        <f>H2024</f>
        <v>15.249000000000001</v>
      </c>
      <c r="G2024" s="114">
        <f>ROUND((E2024*F2024),2)</f>
        <v>10.67</v>
      </c>
      <c r="H2024" s="336">
        <v>15.249000000000001</v>
      </c>
      <c r="I2024" s="38" t="e">
        <f>IF(A2024&lt;&gt;0,VLOOKUP(A2024,#REF!,2,FALSE),"")</f>
        <v>#REF!</v>
      </c>
      <c r="J2024" s="336"/>
      <c r="K2024" s="222"/>
    </row>
    <row r="2025" spans="1:11" s="38" customFormat="1">
      <c r="A2025" s="735" t="s">
        <v>1893</v>
      </c>
      <c r="B2025" s="736"/>
      <c r="C2025" s="736"/>
      <c r="D2025" s="736"/>
      <c r="E2025" s="736"/>
      <c r="F2025" s="737"/>
      <c r="G2025" s="107">
        <f>ROUND(SUM(G2021:G2024),2)</f>
        <v>49.28</v>
      </c>
      <c r="H2025" s="336"/>
      <c r="I2025" s="156"/>
      <c r="J2025" s="336"/>
      <c r="K2025" s="222"/>
    </row>
    <row r="2026" spans="1:11" ht="25.5" customHeight="1">
      <c r="K2026" s="222"/>
    </row>
    <row r="2027" spans="1:11" s="38" customFormat="1" ht="24" customHeight="1">
      <c r="A2027" s="738" t="s">
        <v>1975</v>
      </c>
      <c r="B2027" s="739"/>
      <c r="C2027" s="739"/>
      <c r="D2027" s="739"/>
      <c r="E2027" s="740"/>
      <c r="F2027" s="326" t="s">
        <v>44</v>
      </c>
      <c r="G2027" s="110">
        <v>9077</v>
      </c>
      <c r="H2027" s="336"/>
      <c r="I2027" s="156"/>
      <c r="J2027" s="336"/>
      <c r="K2027" s="222"/>
    </row>
    <row r="2028" spans="1:11" s="38" customFormat="1" ht="28.5">
      <c r="A2028" s="69" t="s">
        <v>1916</v>
      </c>
      <c r="B2028" s="230"/>
      <c r="C2028" s="69" t="s">
        <v>3</v>
      </c>
      <c r="D2028" s="69" t="s">
        <v>4</v>
      </c>
      <c r="E2028" s="69" t="s">
        <v>1826</v>
      </c>
      <c r="F2028" s="69" t="s">
        <v>367</v>
      </c>
      <c r="G2028" s="69" t="s">
        <v>368</v>
      </c>
      <c r="H2028" s="336"/>
      <c r="I2028" s="156"/>
      <c r="J2028" s="336"/>
      <c r="K2028" s="222"/>
    </row>
    <row r="2029" spans="1:11" s="38" customFormat="1">
      <c r="A2029" s="92">
        <v>9363</v>
      </c>
      <c r="B2029" s="101" t="s">
        <v>1976</v>
      </c>
      <c r="C2029" s="21" t="s">
        <v>44</v>
      </c>
      <c r="D2029" s="92" t="s">
        <v>52</v>
      </c>
      <c r="E2029" s="166">
        <v>1</v>
      </c>
      <c r="F2029" s="118">
        <f>H2029</f>
        <v>74.604500000000002</v>
      </c>
      <c r="G2029" s="165">
        <f>ROUND((E2029*F2029),2)</f>
        <v>74.599999999999994</v>
      </c>
      <c r="H2029" s="336">
        <v>74.604500000000002</v>
      </c>
      <c r="I2029" s="38" t="e">
        <f>IF(A2029&lt;&gt;0,VLOOKUP(A2029,#REF!,2,FALSE),"")</f>
        <v>#REF!</v>
      </c>
      <c r="J2029" s="336"/>
      <c r="K2029" s="222"/>
    </row>
    <row r="2030" spans="1:11" s="38" customFormat="1">
      <c r="A2030" s="92">
        <v>88316</v>
      </c>
      <c r="B2030" s="101" t="e">
        <f>I2030</f>
        <v>#REF!</v>
      </c>
      <c r="C2030" s="21" t="s">
        <v>12</v>
      </c>
      <c r="D2030" s="92" t="s">
        <v>19</v>
      </c>
      <c r="E2030" s="166">
        <v>0.24</v>
      </c>
      <c r="F2030" s="118">
        <f>H2030</f>
        <v>11.798000000000002</v>
      </c>
      <c r="G2030" s="114">
        <f>ROUND((E2030*F2030),2)</f>
        <v>2.83</v>
      </c>
      <c r="H2030" s="336">
        <v>11.798000000000002</v>
      </c>
      <c r="I2030" s="38" t="e">
        <f>IF(A2030&lt;&gt;0,VLOOKUP(A2030,#REF!,2,FALSE),"")</f>
        <v>#REF!</v>
      </c>
      <c r="J2030" s="336"/>
      <c r="K2030" s="222"/>
    </row>
    <row r="2031" spans="1:11" s="38" customFormat="1">
      <c r="A2031" s="92">
        <v>88262</v>
      </c>
      <c r="B2031" s="101" t="e">
        <f>I2031</f>
        <v>#REF!</v>
      </c>
      <c r="C2031" s="21" t="s">
        <v>12</v>
      </c>
      <c r="D2031" s="92" t="s">
        <v>19</v>
      </c>
      <c r="E2031" s="166">
        <v>0.24</v>
      </c>
      <c r="F2031" s="118">
        <f>H2031</f>
        <v>14.96</v>
      </c>
      <c r="G2031" s="114">
        <f>ROUND((E2031*F2031),2)</f>
        <v>3.59</v>
      </c>
      <c r="H2031" s="336">
        <v>14.96</v>
      </c>
      <c r="I2031" s="38" t="e">
        <f>IF(A2031&lt;&gt;0,VLOOKUP(A2031,#REF!,2,FALSE),"")</f>
        <v>#REF!</v>
      </c>
      <c r="J2031" s="336"/>
      <c r="K2031" s="222"/>
    </row>
    <row r="2032" spans="1:11" s="38" customFormat="1">
      <c r="A2032" s="741" t="s">
        <v>1893</v>
      </c>
      <c r="B2032" s="742"/>
      <c r="C2032" s="742"/>
      <c r="D2032" s="742"/>
      <c r="E2032" s="742"/>
      <c r="F2032" s="743"/>
      <c r="G2032" s="107">
        <f>ROUND(SUM(G2029:G2031),2)</f>
        <v>81.02</v>
      </c>
      <c r="H2032" s="336"/>
      <c r="I2032" s="156"/>
      <c r="J2032" s="336"/>
      <c r="K2032" s="222"/>
    </row>
    <row r="2033" spans="1:11" ht="30" customHeight="1">
      <c r="K2033" s="222"/>
    </row>
    <row r="2034" spans="1:11" s="38" customFormat="1" ht="27" customHeight="1">
      <c r="A2034" s="738" t="s">
        <v>1977</v>
      </c>
      <c r="B2034" s="739"/>
      <c r="C2034" s="739"/>
      <c r="D2034" s="739"/>
      <c r="E2034" s="740"/>
      <c r="F2034" s="326" t="s">
        <v>44</v>
      </c>
      <c r="G2034" s="110">
        <v>12895</v>
      </c>
      <c r="H2034" s="336"/>
      <c r="I2034" s="156"/>
      <c r="J2034" s="336"/>
      <c r="K2034" s="222"/>
    </row>
    <row r="2035" spans="1:11" s="38" customFormat="1" ht="28.5">
      <c r="A2035" s="69" t="s">
        <v>1916</v>
      </c>
      <c r="B2035" s="230"/>
      <c r="C2035" s="69" t="s">
        <v>3</v>
      </c>
      <c r="D2035" s="69" t="s">
        <v>4</v>
      </c>
      <c r="E2035" s="69" t="s">
        <v>1826</v>
      </c>
      <c r="F2035" s="69" t="s">
        <v>367</v>
      </c>
      <c r="G2035" s="69" t="s">
        <v>368</v>
      </c>
      <c r="H2035" s="336"/>
      <c r="I2035" s="156"/>
      <c r="J2035" s="336"/>
      <c r="K2035" s="222"/>
    </row>
    <row r="2036" spans="1:11" s="38" customFormat="1" ht="30">
      <c r="A2036" s="92">
        <v>13660</v>
      </c>
      <c r="B2036" s="101" t="s">
        <v>1978</v>
      </c>
      <c r="C2036" s="21" t="s">
        <v>44</v>
      </c>
      <c r="D2036" s="92" t="s">
        <v>17</v>
      </c>
      <c r="E2036" s="124">
        <v>1</v>
      </c>
      <c r="F2036" s="118">
        <f>H2036</f>
        <v>8.5</v>
      </c>
      <c r="G2036" s="119">
        <f>ROUND((E2036*F2036),2)</f>
        <v>8.5</v>
      </c>
      <c r="H2036" s="336">
        <v>8.5</v>
      </c>
      <c r="I2036" s="38" t="e">
        <f>IF(A2036&lt;&gt;0,VLOOKUP(A2036,#REF!,2,FALSE),"")</f>
        <v>#REF!</v>
      </c>
      <c r="J2036" s="336"/>
      <c r="K2036" s="222"/>
    </row>
    <row r="2037" spans="1:11" s="38" customFormat="1" ht="30">
      <c r="A2037" s="92">
        <v>88316</v>
      </c>
      <c r="B2037" s="101" t="s">
        <v>377</v>
      </c>
      <c r="C2037" s="21" t="s">
        <v>12</v>
      </c>
      <c r="D2037" s="92" t="s">
        <v>19</v>
      </c>
      <c r="E2037" s="117">
        <v>0.2</v>
      </c>
      <c r="F2037" s="113">
        <f>H2037</f>
        <v>11.798000000000002</v>
      </c>
      <c r="G2037" s="114">
        <f>ROUND((E2037*F2037),2)</f>
        <v>2.36</v>
      </c>
      <c r="H2037" s="336">
        <v>11.798000000000002</v>
      </c>
      <c r="I2037" s="38" t="e">
        <f>IF(A2037&lt;&gt;0,VLOOKUP(A2037,#REF!,2,FALSE),"")</f>
        <v>#REF!</v>
      </c>
      <c r="J2037" s="336"/>
      <c r="K2037" s="222"/>
    </row>
    <row r="2038" spans="1:11" s="38" customFormat="1">
      <c r="A2038" s="735" t="s">
        <v>1893</v>
      </c>
      <c r="B2038" s="736"/>
      <c r="C2038" s="736"/>
      <c r="D2038" s="736"/>
      <c r="E2038" s="736"/>
      <c r="F2038" s="737"/>
      <c r="G2038" s="120">
        <f>ROUND(SUM(G2036:G2037),2)</f>
        <v>10.86</v>
      </c>
      <c r="H2038" s="336"/>
      <c r="I2038" s="156"/>
      <c r="J2038" s="336"/>
      <c r="K2038" s="222"/>
    </row>
    <row r="2039" spans="1:11" ht="25.5" customHeight="1">
      <c r="K2039" s="222"/>
    </row>
    <row r="2040" spans="1:11" s="38" customFormat="1" ht="30.75" customHeight="1">
      <c r="A2040" s="738" t="s">
        <v>1979</v>
      </c>
      <c r="B2040" s="739"/>
      <c r="C2040" s="739"/>
      <c r="D2040" s="739"/>
      <c r="E2040" s="740"/>
      <c r="F2040" s="326" t="s">
        <v>44</v>
      </c>
      <c r="G2040" s="116">
        <v>11824</v>
      </c>
      <c r="H2040" s="336"/>
      <c r="I2040" s="156"/>
      <c r="J2040" s="336"/>
      <c r="K2040" s="222"/>
    </row>
    <row r="2041" spans="1:11" s="38" customFormat="1" ht="28.5">
      <c r="A2041" s="69" t="s">
        <v>1916</v>
      </c>
      <c r="B2041" s="230"/>
      <c r="C2041" s="69" t="s">
        <v>3</v>
      </c>
      <c r="D2041" s="69" t="s">
        <v>4</v>
      </c>
      <c r="E2041" s="69" t="s">
        <v>1826</v>
      </c>
      <c r="F2041" s="69" t="s">
        <v>367</v>
      </c>
      <c r="G2041" s="69" t="s">
        <v>368</v>
      </c>
      <c r="H2041" s="336"/>
      <c r="I2041" s="156"/>
      <c r="J2041" s="336"/>
      <c r="K2041" s="222"/>
    </row>
    <row r="2042" spans="1:11" s="38" customFormat="1" ht="30">
      <c r="A2042" s="241">
        <v>12665</v>
      </c>
      <c r="B2042" s="101" t="s">
        <v>1980</v>
      </c>
      <c r="C2042" s="21" t="s">
        <v>44</v>
      </c>
      <c r="D2042" s="241" t="s">
        <v>17</v>
      </c>
      <c r="E2042" s="242">
        <v>1</v>
      </c>
      <c r="F2042" s="113">
        <f>H2042</f>
        <v>123.36899999999999</v>
      </c>
      <c r="G2042" s="114">
        <f>ROUND((E2042*F2042),2)</f>
        <v>123.37</v>
      </c>
      <c r="H2042" s="336">
        <v>123.36899999999999</v>
      </c>
      <c r="I2042" s="38" t="e">
        <f>IF(A2042&lt;&gt;0,VLOOKUP(A2042,#REF!,2,FALSE),"")</f>
        <v>#REF!</v>
      </c>
      <c r="J2042" s="336"/>
      <c r="K2042" s="222"/>
    </row>
    <row r="2043" spans="1:11" s="38" customFormat="1" ht="30">
      <c r="A2043" s="92">
        <v>88264</v>
      </c>
      <c r="B2043" s="101" t="s">
        <v>379</v>
      </c>
      <c r="C2043" s="21" t="s">
        <v>12</v>
      </c>
      <c r="D2043" s="92" t="s">
        <v>19</v>
      </c>
      <c r="E2043" s="167">
        <v>0.7</v>
      </c>
      <c r="F2043" s="113">
        <f>H2043</f>
        <v>15.249000000000001</v>
      </c>
      <c r="G2043" s="114">
        <f>ROUND((E2043*F2043),2)</f>
        <v>10.67</v>
      </c>
      <c r="H2043" s="336">
        <v>15.249000000000001</v>
      </c>
      <c r="I2043" s="38" t="e">
        <f>IF(A2043&lt;&gt;0,VLOOKUP(A2043,#REF!,2,FALSE),"")</f>
        <v>#REF!</v>
      </c>
      <c r="J2043" s="336"/>
      <c r="K2043" s="222"/>
    </row>
    <row r="2044" spans="1:11" s="38" customFormat="1" ht="30">
      <c r="A2044" s="92">
        <v>88247</v>
      </c>
      <c r="B2044" s="101" t="s">
        <v>510</v>
      </c>
      <c r="C2044" s="21" t="s">
        <v>12</v>
      </c>
      <c r="D2044" s="92" t="s">
        <v>19</v>
      </c>
      <c r="E2044" s="167">
        <v>0.7</v>
      </c>
      <c r="F2044" s="113">
        <f>H2044</f>
        <v>11.9085</v>
      </c>
      <c r="G2044" s="114">
        <f>ROUND((E2044*F2044),2)</f>
        <v>8.34</v>
      </c>
      <c r="H2044" s="336">
        <v>11.9085</v>
      </c>
      <c r="I2044" s="38" t="e">
        <f>IF(A2044&lt;&gt;0,VLOOKUP(A2044,#REF!,2,FALSE),"")</f>
        <v>#REF!</v>
      </c>
      <c r="J2044" s="336"/>
      <c r="K2044" s="222"/>
    </row>
    <row r="2045" spans="1:11" s="38" customFormat="1">
      <c r="A2045" s="735" t="s">
        <v>1893</v>
      </c>
      <c r="B2045" s="736"/>
      <c r="C2045" s="736"/>
      <c r="D2045" s="736"/>
      <c r="E2045" s="736"/>
      <c r="F2045" s="737"/>
      <c r="G2045" s="107">
        <f>ROUND(SUM(G2042:G2044),2)</f>
        <v>142.38</v>
      </c>
      <c r="H2045" s="336"/>
      <c r="I2045" s="156"/>
      <c r="J2045" s="336"/>
      <c r="K2045" s="222"/>
    </row>
    <row r="2046" spans="1:11" ht="29.25" customHeight="1">
      <c r="A2046" s="121"/>
      <c r="B2046" s="122"/>
      <c r="C2046" s="121"/>
      <c r="D2046" s="121"/>
      <c r="E2046" s="121"/>
      <c r="F2046" s="123"/>
      <c r="G2046" s="121"/>
      <c r="I2046" s="24"/>
      <c r="K2046" s="222"/>
    </row>
    <row r="2047" spans="1:11" s="38" customFormat="1" ht="27" customHeight="1">
      <c r="A2047" s="738" t="s">
        <v>1981</v>
      </c>
      <c r="B2047" s="739"/>
      <c r="C2047" s="739"/>
      <c r="D2047" s="739"/>
      <c r="E2047" s="740"/>
      <c r="F2047" s="326" t="s">
        <v>44</v>
      </c>
      <c r="G2047" s="116">
        <v>8691</v>
      </c>
      <c r="H2047" s="336"/>
      <c r="I2047" s="156"/>
      <c r="J2047" s="336"/>
      <c r="K2047" s="222"/>
    </row>
    <row r="2048" spans="1:11" s="38" customFormat="1" ht="28.5">
      <c r="A2048" s="69" t="s">
        <v>1916</v>
      </c>
      <c r="B2048" s="230"/>
      <c r="C2048" s="69" t="s">
        <v>3</v>
      </c>
      <c r="D2048" s="69" t="s">
        <v>4</v>
      </c>
      <c r="E2048" s="69" t="s">
        <v>1826</v>
      </c>
      <c r="F2048" s="69" t="s">
        <v>367</v>
      </c>
      <c r="G2048" s="69" t="s">
        <v>368</v>
      </c>
      <c r="H2048" s="336"/>
      <c r="I2048" s="156"/>
      <c r="J2048" s="336"/>
      <c r="K2048" s="222"/>
    </row>
    <row r="2049" spans="1:11" s="38" customFormat="1">
      <c r="A2049" s="241">
        <v>8950</v>
      </c>
      <c r="B2049" s="101" t="s">
        <v>1982</v>
      </c>
      <c r="C2049" s="21" t="s">
        <v>44</v>
      </c>
      <c r="D2049" s="241" t="s">
        <v>17</v>
      </c>
      <c r="E2049" s="242">
        <v>1</v>
      </c>
      <c r="F2049" s="113">
        <f>H2049</f>
        <v>548.25</v>
      </c>
      <c r="G2049" s="114">
        <f>ROUND((E2049*F2049),2)</f>
        <v>548.25</v>
      </c>
      <c r="H2049" s="336">
        <v>548.25</v>
      </c>
      <c r="I2049" s="38" t="e">
        <f>IF(A2049&lt;&gt;0,VLOOKUP(A2049,#REF!,2,FALSE),"")</f>
        <v>#REF!</v>
      </c>
      <c r="J2049" s="336"/>
      <c r="K2049" s="222"/>
    </row>
    <row r="2050" spans="1:11" s="38" customFormat="1" ht="30">
      <c r="A2050" s="92">
        <v>88264</v>
      </c>
      <c r="B2050" s="101" t="s">
        <v>379</v>
      </c>
      <c r="C2050" s="21" t="s">
        <v>12</v>
      </c>
      <c r="D2050" s="92" t="s">
        <v>19</v>
      </c>
      <c r="E2050" s="167">
        <v>0.7</v>
      </c>
      <c r="F2050" s="113">
        <f>H2050</f>
        <v>15.249000000000001</v>
      </c>
      <c r="G2050" s="114">
        <f>ROUND((E2050*F2050),2)</f>
        <v>10.67</v>
      </c>
      <c r="H2050" s="336">
        <v>15.249000000000001</v>
      </c>
      <c r="I2050" s="38" t="e">
        <f>IF(A2050&lt;&gt;0,VLOOKUP(A2050,#REF!,2,FALSE),"")</f>
        <v>#REF!</v>
      </c>
      <c r="J2050" s="336"/>
      <c r="K2050" s="222"/>
    </row>
    <row r="2051" spans="1:11" s="38" customFormat="1" ht="30">
      <c r="A2051" s="92">
        <v>88247</v>
      </c>
      <c r="B2051" s="101" t="s">
        <v>510</v>
      </c>
      <c r="C2051" s="21" t="s">
        <v>12</v>
      </c>
      <c r="D2051" s="92" t="s">
        <v>19</v>
      </c>
      <c r="E2051" s="167">
        <v>0.7</v>
      </c>
      <c r="F2051" s="113">
        <f>H2051</f>
        <v>11.9085</v>
      </c>
      <c r="G2051" s="114">
        <f>ROUND((E2051*F2051),2)</f>
        <v>8.34</v>
      </c>
      <c r="H2051" s="336">
        <v>11.9085</v>
      </c>
      <c r="I2051" s="38" t="e">
        <f>IF(A2051&lt;&gt;0,VLOOKUP(A2051,#REF!,2,FALSE),"")</f>
        <v>#REF!</v>
      </c>
      <c r="J2051" s="336"/>
      <c r="K2051" s="222"/>
    </row>
    <row r="2052" spans="1:11" s="38" customFormat="1">
      <c r="A2052" s="735" t="s">
        <v>1893</v>
      </c>
      <c r="B2052" s="736"/>
      <c r="C2052" s="736"/>
      <c r="D2052" s="736"/>
      <c r="E2052" s="736"/>
      <c r="F2052" s="737"/>
      <c r="G2052" s="107">
        <f>ROUND(SUM(G2049:G2051),2)</f>
        <v>567.26</v>
      </c>
      <c r="H2052" s="336"/>
      <c r="I2052" s="156"/>
      <c r="J2052" s="336"/>
      <c r="K2052" s="222"/>
    </row>
    <row r="2053" spans="1:11" ht="29.25" customHeight="1">
      <c r="K2053" s="222"/>
    </row>
    <row r="2054" spans="1:11" s="38" customFormat="1" ht="36.75" customHeight="1">
      <c r="A2054" s="738" t="s">
        <v>1983</v>
      </c>
      <c r="B2054" s="739"/>
      <c r="C2054" s="739"/>
      <c r="D2054" s="739"/>
      <c r="E2054" s="740"/>
      <c r="F2054" s="326" t="s">
        <v>44</v>
      </c>
      <c r="G2054" s="110">
        <v>11946</v>
      </c>
      <c r="H2054" s="336"/>
      <c r="I2054" s="156"/>
      <c r="J2054" s="336"/>
      <c r="K2054" s="222"/>
    </row>
    <row r="2055" spans="1:11" s="38" customFormat="1" ht="28.5">
      <c r="A2055" s="69" t="s">
        <v>1916</v>
      </c>
      <c r="B2055" s="230"/>
      <c r="C2055" s="69" t="s">
        <v>3</v>
      </c>
      <c r="D2055" s="69" t="s">
        <v>4</v>
      </c>
      <c r="E2055" s="69" t="s">
        <v>1826</v>
      </c>
      <c r="F2055" s="69" t="s">
        <v>367</v>
      </c>
      <c r="G2055" s="69" t="s">
        <v>368</v>
      </c>
      <c r="H2055" s="336"/>
      <c r="I2055" s="156"/>
      <c r="J2055" s="336"/>
      <c r="K2055" s="222"/>
    </row>
    <row r="2056" spans="1:11" s="38" customFormat="1" ht="60">
      <c r="A2056" s="92">
        <v>12806</v>
      </c>
      <c r="B2056" s="101" t="s">
        <v>1984</v>
      </c>
      <c r="C2056" s="21" t="s">
        <v>44</v>
      </c>
      <c r="D2056" s="92" t="s">
        <v>26</v>
      </c>
      <c r="E2056" s="112">
        <v>1</v>
      </c>
      <c r="F2056" s="118">
        <f>H2056</f>
        <v>238</v>
      </c>
      <c r="G2056" s="114">
        <f>ROUND((E2056*F2056),2)</f>
        <v>238</v>
      </c>
      <c r="H2056" s="336">
        <v>238</v>
      </c>
      <c r="I2056" s="38" t="e">
        <f>IF(A2056&lt;&gt;0,VLOOKUP(A2056,#REF!,2,FALSE),"")</f>
        <v>#REF!</v>
      </c>
      <c r="J2056" s="336"/>
      <c r="K2056" s="222"/>
    </row>
    <row r="2057" spans="1:11" s="38" customFormat="1" ht="60">
      <c r="A2057" s="92">
        <v>1903</v>
      </c>
      <c r="B2057" s="101" t="s">
        <v>1985</v>
      </c>
      <c r="C2057" s="21" t="s">
        <v>44</v>
      </c>
      <c r="D2057" s="92" t="s">
        <v>35</v>
      </c>
      <c r="E2057" s="112">
        <v>3.0000000000000001E-3</v>
      </c>
      <c r="F2057" s="113">
        <f>H2057</f>
        <v>382.27050000000003</v>
      </c>
      <c r="G2057" s="114">
        <f>ROUND((E2057*F2057),2)</f>
        <v>1.1499999999999999</v>
      </c>
      <c r="H2057" s="336">
        <v>382.27050000000003</v>
      </c>
      <c r="I2057" s="156"/>
      <c r="J2057" s="336"/>
      <c r="K2057" s="222"/>
    </row>
    <row r="2058" spans="1:11" s="38" customFormat="1" ht="30">
      <c r="A2058" s="92">
        <v>88309</v>
      </c>
      <c r="B2058" s="101" t="s">
        <v>390</v>
      </c>
      <c r="C2058" s="21" t="s">
        <v>12</v>
      </c>
      <c r="D2058" s="103" t="s">
        <v>19</v>
      </c>
      <c r="E2058" s="115">
        <v>1</v>
      </c>
      <c r="F2058" s="113">
        <f>H2058</f>
        <v>15.121499999999999</v>
      </c>
      <c r="G2058" s="114">
        <f>ROUND((E2058*F2058),2)</f>
        <v>15.12</v>
      </c>
      <c r="H2058" s="336">
        <v>15.121499999999999</v>
      </c>
      <c r="I2058" s="38" t="e">
        <f>IF(A2058&lt;&gt;0,VLOOKUP(A2058,#REF!,2,FALSE),"")</f>
        <v>#REF!</v>
      </c>
      <c r="J2058" s="336"/>
      <c r="K2058" s="222"/>
    </row>
    <row r="2059" spans="1:11" s="38" customFormat="1" ht="30">
      <c r="A2059" s="92">
        <v>88316</v>
      </c>
      <c r="B2059" s="101" t="s">
        <v>377</v>
      </c>
      <c r="C2059" s="21" t="s">
        <v>12</v>
      </c>
      <c r="D2059" s="103" t="s">
        <v>19</v>
      </c>
      <c r="E2059" s="115">
        <v>1</v>
      </c>
      <c r="F2059" s="113">
        <f>H2059</f>
        <v>11.798000000000002</v>
      </c>
      <c r="G2059" s="114">
        <f>ROUND((E2059*F2059),2)</f>
        <v>11.8</v>
      </c>
      <c r="H2059" s="336">
        <v>11.798000000000002</v>
      </c>
      <c r="I2059" s="38" t="e">
        <f>IF(A2059&lt;&gt;0,VLOOKUP(A2059,#REF!,2,FALSE),"")</f>
        <v>#REF!</v>
      </c>
      <c r="J2059" s="336"/>
      <c r="K2059" s="222"/>
    </row>
    <row r="2060" spans="1:11" s="38" customFormat="1">
      <c r="A2060" s="741" t="s">
        <v>1893</v>
      </c>
      <c r="B2060" s="742"/>
      <c r="C2060" s="742"/>
      <c r="D2060" s="742"/>
      <c r="E2060" s="742"/>
      <c r="F2060" s="743"/>
      <c r="G2060" s="107">
        <f>ROUND(SUM(G2056:G2059),2)</f>
        <v>266.07</v>
      </c>
      <c r="H2060" s="336"/>
      <c r="I2060" s="156"/>
      <c r="J2060" s="336"/>
      <c r="K2060" s="222"/>
    </row>
    <row r="2061" spans="1:11" ht="28.5" customHeight="1">
      <c r="K2061" s="222"/>
    </row>
    <row r="2062" spans="1:11" s="38" customFormat="1" ht="36" customHeight="1">
      <c r="A2062" s="738" t="s">
        <v>1988</v>
      </c>
      <c r="B2062" s="739"/>
      <c r="C2062" s="739"/>
      <c r="D2062" s="739"/>
      <c r="E2062" s="740"/>
      <c r="F2062" s="326" t="s">
        <v>44</v>
      </c>
      <c r="G2062" s="110">
        <v>8492</v>
      </c>
      <c r="H2062" s="336"/>
      <c r="I2062" s="156"/>
      <c r="J2062" s="336"/>
      <c r="K2062" s="222"/>
    </row>
    <row r="2063" spans="1:11" s="38" customFormat="1" ht="28.5">
      <c r="A2063" s="69" t="s">
        <v>1916</v>
      </c>
      <c r="B2063" s="230"/>
      <c r="C2063" s="69" t="s">
        <v>3</v>
      </c>
      <c r="D2063" s="69" t="s">
        <v>4</v>
      </c>
      <c r="E2063" s="69" t="s">
        <v>1826</v>
      </c>
      <c r="F2063" s="69" t="s">
        <v>367</v>
      </c>
      <c r="G2063" s="69" t="s">
        <v>368</v>
      </c>
      <c r="H2063" s="336"/>
      <c r="I2063" s="156"/>
      <c r="J2063" s="336"/>
      <c r="K2063" s="222"/>
    </row>
    <row r="2064" spans="1:11" s="38" customFormat="1" ht="45">
      <c r="A2064" s="111">
        <v>36081</v>
      </c>
      <c r="B2064" s="101" t="s">
        <v>131</v>
      </c>
      <c r="C2064" s="21" t="s">
        <v>12</v>
      </c>
      <c r="D2064" s="111" t="s">
        <v>1987</v>
      </c>
      <c r="E2064" s="112">
        <v>1</v>
      </c>
      <c r="F2064" s="113">
        <f>H2064</f>
        <v>142.54499999999999</v>
      </c>
      <c r="G2064" s="114">
        <f>ROUND((E2064*F2064),2)</f>
        <v>142.55000000000001</v>
      </c>
      <c r="H2064" s="336">
        <v>142.54499999999999</v>
      </c>
      <c r="I2064" s="38" t="e">
        <f>IF(A2064&lt;&gt;0,VLOOKUP(A2064,#REF!,2,FALSE),"")</f>
        <v>#REF!</v>
      </c>
      <c r="J2064" s="336"/>
      <c r="K2064" s="222"/>
    </row>
    <row r="2065" spans="1:11" s="38" customFormat="1" ht="30">
      <c r="A2065" s="111">
        <v>88309</v>
      </c>
      <c r="B2065" s="101" t="s">
        <v>390</v>
      </c>
      <c r="C2065" s="21" t="s">
        <v>12</v>
      </c>
      <c r="D2065" s="103" t="s">
        <v>19</v>
      </c>
      <c r="E2065" s="168">
        <v>0.3</v>
      </c>
      <c r="F2065" s="113">
        <f>H2065</f>
        <v>15.121499999999999</v>
      </c>
      <c r="G2065" s="114">
        <f>ROUND((E2065*F2065),2)</f>
        <v>4.54</v>
      </c>
      <c r="H2065" s="336">
        <v>15.121499999999999</v>
      </c>
      <c r="I2065" s="38" t="e">
        <f>IF(A2065&lt;&gt;0,VLOOKUP(A2065,#REF!,2,FALSE),"")</f>
        <v>#REF!</v>
      </c>
      <c r="J2065" s="336"/>
      <c r="K2065" s="222"/>
    </row>
    <row r="2066" spans="1:11" s="38" customFormat="1">
      <c r="A2066" s="741" t="s">
        <v>1893</v>
      </c>
      <c r="B2066" s="742"/>
      <c r="C2066" s="742"/>
      <c r="D2066" s="742"/>
      <c r="E2066" s="742"/>
      <c r="F2066" s="743"/>
      <c r="G2066" s="107">
        <f>ROUND(SUM(G2064:G2065),2)</f>
        <v>147.09</v>
      </c>
      <c r="H2066" s="336"/>
      <c r="I2066" s="156"/>
      <c r="J2066" s="336"/>
      <c r="K2066" s="222"/>
    </row>
    <row r="2067" spans="1:11" ht="27" customHeight="1">
      <c r="A2067" s="121"/>
      <c r="B2067" s="122"/>
      <c r="C2067" s="121"/>
      <c r="D2067" s="121"/>
      <c r="E2067" s="121"/>
      <c r="F2067" s="123"/>
      <c r="G2067" s="121"/>
      <c r="I2067" s="24"/>
      <c r="K2067" s="222"/>
    </row>
    <row r="2068" spans="1:11" s="38" customFormat="1" ht="33" customHeight="1">
      <c r="A2068" s="738" t="s">
        <v>1989</v>
      </c>
      <c r="B2068" s="739"/>
      <c r="C2068" s="739"/>
      <c r="D2068" s="739"/>
      <c r="E2068" s="740"/>
      <c r="F2068" s="326" t="s">
        <v>44</v>
      </c>
      <c r="G2068" s="110">
        <v>12122</v>
      </c>
      <c r="H2068" s="336"/>
      <c r="I2068" s="156"/>
      <c r="J2068" s="336"/>
      <c r="K2068" s="222"/>
    </row>
    <row r="2069" spans="1:11" s="38" customFormat="1" ht="28.5">
      <c r="A2069" s="69" t="s">
        <v>1916</v>
      </c>
      <c r="B2069" s="230"/>
      <c r="C2069" s="69" t="s">
        <v>3</v>
      </c>
      <c r="D2069" s="69" t="s">
        <v>4</v>
      </c>
      <c r="E2069" s="69" t="s">
        <v>1826</v>
      </c>
      <c r="F2069" s="69" t="s">
        <v>367</v>
      </c>
      <c r="G2069" s="69" t="s">
        <v>368</v>
      </c>
      <c r="H2069" s="336"/>
      <c r="I2069" s="156"/>
      <c r="J2069" s="336"/>
      <c r="K2069" s="222"/>
    </row>
    <row r="2070" spans="1:11" s="38" customFormat="1" ht="30">
      <c r="A2070" s="111">
        <v>2062</v>
      </c>
      <c r="B2070" s="101" t="s">
        <v>1990</v>
      </c>
      <c r="C2070" s="21" t="s">
        <v>44</v>
      </c>
      <c r="D2070" s="111" t="s">
        <v>1987</v>
      </c>
      <c r="E2070" s="112">
        <v>1</v>
      </c>
      <c r="F2070" s="113">
        <f>H2070</f>
        <v>135.91500000000002</v>
      </c>
      <c r="G2070" s="114">
        <f>ROUND((E2070*F2070),2)</f>
        <v>135.91999999999999</v>
      </c>
      <c r="H2070" s="336">
        <v>135.91500000000002</v>
      </c>
      <c r="I2070" s="38" t="e">
        <f>IF(A2070&lt;&gt;0,VLOOKUP(A2070,#REF!,2,FALSE),"")</f>
        <v>#REF!</v>
      </c>
      <c r="J2070" s="336"/>
      <c r="K2070" s="222"/>
    </row>
    <row r="2071" spans="1:11" s="38" customFormat="1" ht="30">
      <c r="A2071" s="111">
        <v>88309</v>
      </c>
      <c r="B2071" s="101" t="s">
        <v>390</v>
      </c>
      <c r="C2071" s="21" t="s">
        <v>12</v>
      </c>
      <c r="D2071" s="103" t="s">
        <v>19</v>
      </c>
      <c r="E2071" s="168">
        <v>0.3</v>
      </c>
      <c r="F2071" s="113">
        <f>H2071</f>
        <v>15.121499999999999</v>
      </c>
      <c r="G2071" s="114">
        <f>ROUND((E2071*F2071),2)</f>
        <v>4.54</v>
      </c>
      <c r="H2071" s="336">
        <v>15.121499999999999</v>
      </c>
      <c r="I2071" s="38" t="e">
        <f>IF(A2071&lt;&gt;0,VLOOKUP(A2071,#REF!,2,FALSE),"")</f>
        <v>#REF!</v>
      </c>
      <c r="J2071" s="336"/>
      <c r="K2071" s="222"/>
    </row>
    <row r="2072" spans="1:11" s="38" customFormat="1">
      <c r="A2072" s="741" t="s">
        <v>1893</v>
      </c>
      <c r="B2072" s="742"/>
      <c r="C2072" s="742"/>
      <c r="D2072" s="742"/>
      <c r="E2072" s="742"/>
      <c r="F2072" s="743"/>
      <c r="G2072" s="107">
        <f>ROUND(SUM(G2070:G2071),2)</f>
        <v>140.46</v>
      </c>
      <c r="H2072" s="336"/>
      <c r="I2072" s="156"/>
      <c r="J2072" s="336"/>
      <c r="K2072" s="222"/>
    </row>
    <row r="2073" spans="1:11" ht="23.25" customHeight="1">
      <c r="K2073" s="222"/>
    </row>
    <row r="2074" spans="1:11" s="38" customFormat="1" ht="36" customHeight="1">
      <c r="A2074" s="738" t="s">
        <v>1991</v>
      </c>
      <c r="B2074" s="739"/>
      <c r="C2074" s="739"/>
      <c r="D2074" s="739"/>
      <c r="E2074" s="740"/>
      <c r="F2074" s="326" t="s">
        <v>44</v>
      </c>
      <c r="G2074" s="110">
        <v>2024</v>
      </c>
      <c r="H2074" s="336"/>
      <c r="I2074" s="156"/>
      <c r="J2074" s="336"/>
      <c r="K2074" s="222"/>
    </row>
    <row r="2075" spans="1:11" s="38" customFormat="1" ht="28.5">
      <c r="A2075" s="69" t="s">
        <v>1916</v>
      </c>
      <c r="B2075" s="230"/>
      <c r="C2075" s="69" t="s">
        <v>3</v>
      </c>
      <c r="D2075" s="69" t="s">
        <v>4</v>
      </c>
      <c r="E2075" s="69" t="s">
        <v>1826</v>
      </c>
      <c r="F2075" s="69" t="s">
        <v>367</v>
      </c>
      <c r="G2075" s="69" t="s">
        <v>368</v>
      </c>
      <c r="H2075" s="336"/>
      <c r="I2075" s="156"/>
      <c r="J2075" s="336"/>
      <c r="K2075" s="222"/>
    </row>
    <row r="2076" spans="1:11" s="38" customFormat="1" ht="30">
      <c r="A2076" s="111">
        <v>604</v>
      </c>
      <c r="B2076" s="101" t="s">
        <v>1992</v>
      </c>
      <c r="C2076" s="21" t="s">
        <v>44</v>
      </c>
      <c r="D2076" s="111" t="s">
        <v>1987</v>
      </c>
      <c r="E2076" s="243">
        <v>1</v>
      </c>
      <c r="F2076" s="113">
        <f>H2076</f>
        <v>254.12450000000001</v>
      </c>
      <c r="G2076" s="114">
        <f>ROUND((E2076*F2076),2)</f>
        <v>254.12</v>
      </c>
      <c r="H2076" s="336">
        <v>254.12450000000001</v>
      </c>
      <c r="I2076" s="38" t="e">
        <f>IF(A2076&lt;&gt;0,VLOOKUP(A2076,#REF!,2,FALSE),"")</f>
        <v>#REF!</v>
      </c>
      <c r="J2076" s="336"/>
      <c r="K2076" s="222"/>
    </row>
    <row r="2077" spans="1:11" s="38" customFormat="1" ht="30">
      <c r="A2077" s="111">
        <v>3146</v>
      </c>
      <c r="B2077" s="101" t="s">
        <v>471</v>
      </c>
      <c r="C2077" s="21" t="s">
        <v>12</v>
      </c>
      <c r="D2077" s="111" t="s">
        <v>1993</v>
      </c>
      <c r="E2077" s="168">
        <v>0.84</v>
      </c>
      <c r="F2077" s="113">
        <f>H2077</f>
        <v>3.06</v>
      </c>
      <c r="G2077" s="114">
        <f>ROUND((E2077*F2077),2)</f>
        <v>2.57</v>
      </c>
      <c r="H2077" s="336">
        <v>3.06</v>
      </c>
      <c r="I2077" s="38" t="e">
        <f>IF(A2077&lt;&gt;0,VLOOKUP(A2077,#REF!,2,FALSE),"")</f>
        <v>#REF!</v>
      </c>
      <c r="J2077" s="336"/>
      <c r="K2077" s="222"/>
    </row>
    <row r="2078" spans="1:11" s="38" customFormat="1" ht="45">
      <c r="A2078" s="111">
        <v>1965</v>
      </c>
      <c r="B2078" s="244" t="s">
        <v>1994</v>
      </c>
      <c r="C2078" s="21" t="s">
        <v>44</v>
      </c>
      <c r="D2078" s="111" t="s">
        <v>1987</v>
      </c>
      <c r="E2078" s="168">
        <v>1</v>
      </c>
      <c r="F2078" s="113">
        <f>H2078</f>
        <v>44.981999999999999</v>
      </c>
      <c r="G2078" s="114">
        <f>ROUND((E2078*F2078),2)</f>
        <v>44.98</v>
      </c>
      <c r="H2078" s="336">
        <v>44.981999999999999</v>
      </c>
      <c r="I2078" s="38" t="e">
        <f>IF(A2078&lt;&gt;0,VLOOKUP(A2078,#REF!,2,FALSE),"")</f>
        <v>#REF!</v>
      </c>
      <c r="J2078" s="336"/>
      <c r="K2078" s="222"/>
    </row>
    <row r="2079" spans="1:11" s="38" customFormat="1" ht="30">
      <c r="A2079" s="111">
        <v>88267</v>
      </c>
      <c r="B2079" s="101" t="s">
        <v>472</v>
      </c>
      <c r="C2079" s="21" t="s">
        <v>12</v>
      </c>
      <c r="D2079" s="103" t="s">
        <v>19</v>
      </c>
      <c r="E2079" s="168">
        <v>1</v>
      </c>
      <c r="F2079" s="113">
        <f>H2079</f>
        <v>14.7135</v>
      </c>
      <c r="G2079" s="114">
        <f>ROUND((E2079*F2079),2)</f>
        <v>14.71</v>
      </c>
      <c r="H2079" s="336">
        <v>14.7135</v>
      </c>
      <c r="I2079" s="38" t="e">
        <f>IF(A2079&lt;&gt;0,VLOOKUP(A2079,#REF!,2,FALSE),"")</f>
        <v>#REF!</v>
      </c>
      <c r="J2079" s="336"/>
      <c r="K2079" s="222"/>
    </row>
    <row r="2080" spans="1:11" s="38" customFormat="1" ht="30">
      <c r="A2080" s="111">
        <v>88316</v>
      </c>
      <c r="B2080" s="101" t="s">
        <v>377</v>
      </c>
      <c r="C2080" s="21" t="s">
        <v>12</v>
      </c>
      <c r="D2080" s="103" t="s">
        <v>19</v>
      </c>
      <c r="E2080" s="169">
        <v>1</v>
      </c>
      <c r="F2080" s="113">
        <f>H2080</f>
        <v>11.798000000000002</v>
      </c>
      <c r="G2080" s="114">
        <f>ROUND((E2080*F2080),2)</f>
        <v>11.8</v>
      </c>
      <c r="H2080" s="336">
        <v>11.798000000000002</v>
      </c>
      <c r="I2080" s="38" t="e">
        <f>IF(A2080&lt;&gt;0,VLOOKUP(A2080,#REF!,2,FALSE),"")</f>
        <v>#REF!</v>
      </c>
      <c r="J2080" s="336"/>
      <c r="K2080" s="222"/>
    </row>
    <row r="2081" spans="1:11" s="38" customFormat="1">
      <c r="A2081" s="741" t="s">
        <v>1893</v>
      </c>
      <c r="B2081" s="742"/>
      <c r="C2081" s="742"/>
      <c r="D2081" s="742"/>
      <c r="E2081" s="742"/>
      <c r="F2081" s="743"/>
      <c r="G2081" s="107">
        <f>ROUND(SUM(G2076:G2080),2)</f>
        <v>328.18</v>
      </c>
      <c r="H2081" s="336"/>
      <c r="I2081" s="156"/>
      <c r="J2081" s="336"/>
      <c r="K2081" s="222"/>
    </row>
    <row r="2082" spans="1:11" ht="27.75" customHeight="1">
      <c r="A2082" s="121"/>
      <c r="B2082" s="122"/>
      <c r="C2082" s="121"/>
      <c r="D2082" s="121"/>
      <c r="E2082" s="121"/>
      <c r="F2082" s="123"/>
      <c r="G2082" s="121"/>
      <c r="I2082" s="24"/>
      <c r="K2082" s="222"/>
    </row>
    <row r="2083" spans="1:11" s="38" customFormat="1" ht="45" customHeight="1">
      <c r="A2083" s="738" t="s">
        <v>1995</v>
      </c>
      <c r="B2083" s="739"/>
      <c r="C2083" s="739"/>
      <c r="D2083" s="739"/>
      <c r="E2083" s="740"/>
      <c r="F2083" s="326" t="s">
        <v>44</v>
      </c>
      <c r="G2083" s="110">
        <v>5057</v>
      </c>
      <c r="H2083" s="336"/>
      <c r="I2083" s="156"/>
      <c r="J2083" s="336"/>
      <c r="K2083" s="222"/>
    </row>
    <row r="2084" spans="1:11" s="38" customFormat="1" ht="28.5">
      <c r="A2084" s="69" t="s">
        <v>1916</v>
      </c>
      <c r="B2084" s="230"/>
      <c r="C2084" s="69" t="s">
        <v>3</v>
      </c>
      <c r="D2084" s="69" t="s">
        <v>4</v>
      </c>
      <c r="E2084" s="69" t="s">
        <v>1826</v>
      </c>
      <c r="F2084" s="69" t="s">
        <v>367</v>
      </c>
      <c r="G2084" s="69" t="s">
        <v>368</v>
      </c>
      <c r="H2084" s="336"/>
      <c r="I2084" s="156"/>
      <c r="J2084" s="336"/>
      <c r="K2084" s="222"/>
    </row>
    <row r="2085" spans="1:11" s="38" customFormat="1" ht="75">
      <c r="A2085" s="111">
        <v>4974</v>
      </c>
      <c r="B2085" s="101" t="s">
        <v>1996</v>
      </c>
      <c r="C2085" s="21" t="s">
        <v>44</v>
      </c>
      <c r="D2085" s="103" t="s">
        <v>26</v>
      </c>
      <c r="E2085" s="168">
        <v>1</v>
      </c>
      <c r="F2085" s="113">
        <f>H2085</f>
        <v>389.99700000000001</v>
      </c>
      <c r="G2085" s="114">
        <f>ROUND((E2085*F2085),2)</f>
        <v>390</v>
      </c>
      <c r="H2085" s="336">
        <v>389.99700000000001</v>
      </c>
      <c r="I2085" s="38" t="e">
        <f>IF(A2085&lt;&gt;0,VLOOKUP(A2085,#REF!,2,FALSE),"")</f>
        <v>#REF!</v>
      </c>
      <c r="J2085" s="336"/>
      <c r="K2085" s="222"/>
    </row>
    <row r="2086" spans="1:11" s="38" customFormat="1">
      <c r="A2086" s="735" t="s">
        <v>1893</v>
      </c>
      <c r="B2086" s="736"/>
      <c r="C2086" s="736"/>
      <c r="D2086" s="736"/>
      <c r="E2086" s="736"/>
      <c r="F2086" s="737"/>
      <c r="G2086" s="107">
        <f>ROUND(SUM(G2085:G2085),2)</f>
        <v>390</v>
      </c>
      <c r="H2086" s="336"/>
      <c r="I2086" s="156"/>
      <c r="J2086" s="336"/>
      <c r="K2086" s="222"/>
    </row>
    <row r="2087" spans="1:11">
      <c r="A2087" s="121"/>
      <c r="B2087" s="122"/>
      <c r="C2087" s="121"/>
      <c r="D2087" s="121"/>
      <c r="E2087" s="121"/>
      <c r="F2087" s="123"/>
      <c r="G2087" s="121"/>
      <c r="I2087" s="24"/>
      <c r="K2087" s="222"/>
    </row>
    <row r="2088" spans="1:11">
      <c r="A2088" s="121"/>
      <c r="B2088" s="122"/>
      <c r="C2088" s="121"/>
      <c r="D2088" s="121"/>
      <c r="E2088" s="121"/>
      <c r="F2088" s="123"/>
      <c r="G2088" s="121"/>
      <c r="I2088" s="24"/>
      <c r="K2088" s="222"/>
    </row>
    <row r="2089" spans="1:11" s="38" customFormat="1" ht="32.25" customHeight="1">
      <c r="A2089" s="738" t="s">
        <v>1997</v>
      </c>
      <c r="B2089" s="739"/>
      <c r="C2089" s="739"/>
      <c r="D2089" s="739"/>
      <c r="E2089" s="740"/>
      <c r="F2089" s="326" t="s">
        <v>44</v>
      </c>
      <c r="G2089" s="110">
        <v>10812</v>
      </c>
      <c r="H2089" s="336"/>
      <c r="I2089" s="156"/>
      <c r="J2089" s="336"/>
      <c r="K2089" s="222"/>
    </row>
    <row r="2090" spans="1:11" s="38" customFormat="1" ht="28.5">
      <c r="A2090" s="69" t="s">
        <v>1916</v>
      </c>
      <c r="B2090" s="230"/>
      <c r="C2090" s="69" t="s">
        <v>3</v>
      </c>
      <c r="D2090" s="69" t="s">
        <v>4</v>
      </c>
      <c r="E2090" s="69" t="s">
        <v>1826</v>
      </c>
      <c r="F2090" s="69" t="s">
        <v>367</v>
      </c>
      <c r="G2090" s="69" t="s">
        <v>368</v>
      </c>
      <c r="H2090" s="336"/>
      <c r="I2090" s="156"/>
      <c r="J2090" s="336"/>
      <c r="K2090" s="222"/>
    </row>
    <row r="2091" spans="1:11" s="38" customFormat="1" ht="30">
      <c r="A2091" s="111">
        <v>12679</v>
      </c>
      <c r="B2091" s="101" t="s">
        <v>1998</v>
      </c>
      <c r="C2091" s="21" t="s">
        <v>44</v>
      </c>
      <c r="D2091" s="111" t="s">
        <v>1999</v>
      </c>
      <c r="E2091" s="168">
        <v>0.24629999999999999</v>
      </c>
      <c r="F2091" s="113">
        <f t="shared" ref="F2091:F2096" si="110">H2091</f>
        <v>5.1255000000000006</v>
      </c>
      <c r="G2091" s="114">
        <f t="shared" ref="G2091:G2096" si="111">ROUND((E2091*F2091),2)</f>
        <v>1.26</v>
      </c>
      <c r="H2091" s="336">
        <v>5.1255000000000006</v>
      </c>
      <c r="I2091" s="38" t="e">
        <f>IF(A2091&lt;&gt;0,VLOOKUP(A2091,#REF!,2,FALSE),"")</f>
        <v>#REF!</v>
      </c>
      <c r="J2091" s="336"/>
      <c r="K2091" s="222"/>
    </row>
    <row r="2092" spans="1:11" s="38" customFormat="1" ht="30">
      <c r="A2092" s="111">
        <v>11708</v>
      </c>
      <c r="B2092" s="101" t="s">
        <v>2000</v>
      </c>
      <c r="C2092" s="21" t="s">
        <v>44</v>
      </c>
      <c r="D2092" s="111" t="s">
        <v>1999</v>
      </c>
      <c r="E2092" s="168">
        <v>0.24629999999999999</v>
      </c>
      <c r="F2092" s="113">
        <f t="shared" si="110"/>
        <v>185.86949999999999</v>
      </c>
      <c r="G2092" s="114">
        <f t="shared" si="111"/>
        <v>45.78</v>
      </c>
      <c r="H2092" s="336">
        <v>185.86949999999999</v>
      </c>
      <c r="I2092" s="38" t="e">
        <f>IF(A2092&lt;&gt;0,VLOOKUP(A2092,#REF!,2,FALSE),"")</f>
        <v>#REF!</v>
      </c>
      <c r="J2092" s="336"/>
      <c r="K2092" s="222"/>
    </row>
    <row r="2093" spans="1:11" s="38" customFormat="1" ht="30">
      <c r="A2093" s="111">
        <v>11707</v>
      </c>
      <c r="B2093" s="101" t="s">
        <v>2001</v>
      </c>
      <c r="C2093" s="21" t="s">
        <v>44</v>
      </c>
      <c r="D2093" s="111" t="s">
        <v>1999</v>
      </c>
      <c r="E2093" s="168">
        <v>0.19700000000000001</v>
      </c>
      <c r="F2093" s="113">
        <f t="shared" si="110"/>
        <v>937.40549999999996</v>
      </c>
      <c r="G2093" s="114">
        <f t="shared" si="111"/>
        <v>184.67</v>
      </c>
      <c r="H2093" s="336">
        <v>937.40549999999996</v>
      </c>
      <c r="I2093" s="38" t="e">
        <f>IF(A2093&lt;&gt;0,VLOOKUP(A2093,#REF!,2,FALSE),"")</f>
        <v>#REF!</v>
      </c>
      <c r="J2093" s="336"/>
      <c r="K2093" s="222"/>
    </row>
    <row r="2094" spans="1:11" s="38" customFormat="1" ht="30">
      <c r="A2094" s="111">
        <v>12678</v>
      </c>
      <c r="B2094" s="101" t="s">
        <v>2002</v>
      </c>
      <c r="C2094" s="21" t="s">
        <v>44</v>
      </c>
      <c r="D2094" s="111" t="s">
        <v>1999</v>
      </c>
      <c r="E2094" s="168">
        <v>1.5</v>
      </c>
      <c r="F2094" s="113">
        <f t="shared" si="110"/>
        <v>6.4855</v>
      </c>
      <c r="G2094" s="114">
        <f t="shared" si="111"/>
        <v>9.73</v>
      </c>
      <c r="H2094" s="336">
        <v>6.4855</v>
      </c>
      <c r="I2094" s="38" t="e">
        <f>IF(A2094&lt;&gt;0,VLOOKUP(A2094,#REF!,2,FALSE),"")</f>
        <v>#REF!</v>
      </c>
      <c r="J2094" s="336"/>
      <c r="K2094" s="222"/>
    </row>
    <row r="2095" spans="1:11" s="38" customFormat="1" ht="30">
      <c r="A2095" s="111">
        <v>88316</v>
      </c>
      <c r="B2095" s="101" t="s">
        <v>377</v>
      </c>
      <c r="C2095" s="21" t="s">
        <v>12</v>
      </c>
      <c r="D2095" s="103" t="s">
        <v>19</v>
      </c>
      <c r="E2095" s="168">
        <v>1</v>
      </c>
      <c r="F2095" s="113">
        <f t="shared" si="110"/>
        <v>11.798000000000002</v>
      </c>
      <c r="G2095" s="114">
        <f t="shared" si="111"/>
        <v>11.8</v>
      </c>
      <c r="H2095" s="336">
        <v>11.798000000000002</v>
      </c>
      <c r="I2095" s="38" t="e">
        <f>IF(A2095&lt;&gt;0,VLOOKUP(A2095,#REF!,2,FALSE),"")</f>
        <v>#REF!</v>
      </c>
      <c r="J2095" s="336"/>
      <c r="K2095" s="222"/>
    </row>
    <row r="2096" spans="1:11" s="38" customFormat="1" ht="30">
      <c r="A2096" s="111">
        <v>88309</v>
      </c>
      <c r="B2096" s="101" t="s">
        <v>390</v>
      </c>
      <c r="C2096" s="21" t="s">
        <v>12</v>
      </c>
      <c r="D2096" s="103" t="s">
        <v>19</v>
      </c>
      <c r="E2096" s="168">
        <v>1</v>
      </c>
      <c r="F2096" s="113">
        <f t="shared" si="110"/>
        <v>15.121499999999999</v>
      </c>
      <c r="G2096" s="114">
        <f t="shared" si="111"/>
        <v>15.12</v>
      </c>
      <c r="H2096" s="336">
        <v>15.121499999999999</v>
      </c>
      <c r="I2096" s="38" t="e">
        <f>IF(A2096&lt;&gt;0,VLOOKUP(A2096,#REF!,2,FALSE),"")</f>
        <v>#REF!</v>
      </c>
      <c r="J2096" s="336"/>
      <c r="K2096" s="222"/>
    </row>
    <row r="2097" spans="1:11" s="38" customFormat="1">
      <c r="A2097" s="741" t="s">
        <v>1893</v>
      </c>
      <c r="B2097" s="742"/>
      <c r="C2097" s="742"/>
      <c r="D2097" s="742"/>
      <c r="E2097" s="742"/>
      <c r="F2097" s="743"/>
      <c r="G2097" s="107">
        <f>ROUND(SUM(G2091:G2096),2)</f>
        <v>268.36</v>
      </c>
      <c r="H2097" s="336"/>
      <c r="I2097" s="156"/>
      <c r="J2097" s="336"/>
      <c r="K2097" s="222"/>
    </row>
    <row r="2098" spans="1:11" ht="22.5" customHeight="1">
      <c r="K2098" s="222"/>
    </row>
    <row r="2099" spans="1:11" s="38" customFormat="1" ht="47.25" customHeight="1">
      <c r="A2099" s="738" t="s">
        <v>350</v>
      </c>
      <c r="B2099" s="739"/>
      <c r="C2099" s="739"/>
      <c r="D2099" s="739"/>
      <c r="E2099" s="740"/>
      <c r="F2099" s="326" t="s">
        <v>44</v>
      </c>
      <c r="G2099" s="110">
        <v>7967</v>
      </c>
      <c r="H2099" s="336"/>
      <c r="I2099" s="156"/>
      <c r="J2099" s="336"/>
      <c r="K2099" s="222"/>
    </row>
    <row r="2100" spans="1:11" s="38" customFormat="1" ht="28.5">
      <c r="A2100" s="69" t="s">
        <v>1916</v>
      </c>
      <c r="B2100" s="230"/>
      <c r="C2100" s="69" t="s">
        <v>3</v>
      </c>
      <c r="D2100" s="69" t="s">
        <v>4</v>
      </c>
      <c r="E2100" s="69" t="s">
        <v>1826</v>
      </c>
      <c r="F2100" s="69" t="s">
        <v>367</v>
      </c>
      <c r="G2100" s="69" t="s">
        <v>368</v>
      </c>
      <c r="H2100" s="336"/>
      <c r="I2100" s="156"/>
      <c r="J2100" s="336"/>
      <c r="K2100" s="222"/>
    </row>
    <row r="2101" spans="1:11" s="38" customFormat="1" ht="30">
      <c r="A2101" s="111">
        <v>1689</v>
      </c>
      <c r="B2101" s="101" t="s">
        <v>589</v>
      </c>
      <c r="C2101" s="21" t="s">
        <v>44</v>
      </c>
      <c r="D2101" s="111" t="s">
        <v>383</v>
      </c>
      <c r="E2101" s="168">
        <v>8</v>
      </c>
      <c r="F2101" s="113">
        <f>H2101</f>
        <v>0.81599999999999995</v>
      </c>
      <c r="G2101" s="114">
        <f>ROUND((E2101*F2101),2)</f>
        <v>6.53</v>
      </c>
      <c r="H2101" s="336">
        <v>0.81599999999999995</v>
      </c>
      <c r="I2101" s="38" t="e">
        <f>IF(A2101&lt;&gt;0,VLOOKUP(A2101,#REF!,2,FALSE),"")</f>
        <v>#REF!</v>
      </c>
      <c r="J2101" s="336"/>
      <c r="K2101" s="222"/>
    </row>
    <row r="2102" spans="1:11" s="38" customFormat="1" ht="60">
      <c r="A2102" s="111">
        <v>7938</v>
      </c>
      <c r="B2102" s="101" t="s">
        <v>623</v>
      </c>
      <c r="C2102" s="21" t="s">
        <v>44</v>
      </c>
      <c r="D2102" s="111" t="s">
        <v>52</v>
      </c>
      <c r="E2102" s="168">
        <v>1</v>
      </c>
      <c r="F2102" s="113">
        <f>H2102</f>
        <v>588.48050000000001</v>
      </c>
      <c r="G2102" s="114">
        <f>ROUND((E2102*F2102),2)</f>
        <v>588.48</v>
      </c>
      <c r="H2102" s="336">
        <v>588.48050000000001</v>
      </c>
      <c r="I2102" s="38" t="e">
        <f>IF(A2102&lt;&gt;0,VLOOKUP(A2102,#REF!,2,FALSE),"")</f>
        <v>#REF!</v>
      </c>
      <c r="J2102" s="336"/>
      <c r="K2102" s="222"/>
    </row>
    <row r="2103" spans="1:11" s="38" customFormat="1" ht="30">
      <c r="A2103" s="111">
        <v>88316</v>
      </c>
      <c r="B2103" s="101" t="s">
        <v>377</v>
      </c>
      <c r="C2103" s="21" t="s">
        <v>12</v>
      </c>
      <c r="D2103" s="103" t="s">
        <v>19</v>
      </c>
      <c r="E2103" s="168">
        <v>1</v>
      </c>
      <c r="F2103" s="113">
        <f>H2103</f>
        <v>11.798000000000002</v>
      </c>
      <c r="G2103" s="114">
        <f>ROUND((E2103*F2103),2)</f>
        <v>11.8</v>
      </c>
      <c r="H2103" s="336">
        <v>11.798000000000002</v>
      </c>
      <c r="I2103" s="38" t="e">
        <f>IF(A2103&lt;&gt;0,VLOOKUP(A2103,#REF!,2,FALSE),"")</f>
        <v>#REF!</v>
      </c>
      <c r="J2103" s="336"/>
      <c r="K2103" s="222"/>
    </row>
    <row r="2104" spans="1:11" s="38" customFormat="1" ht="30">
      <c r="A2104" s="111">
        <v>88309</v>
      </c>
      <c r="B2104" s="101" t="s">
        <v>390</v>
      </c>
      <c r="C2104" s="21" t="s">
        <v>12</v>
      </c>
      <c r="D2104" s="103" t="s">
        <v>19</v>
      </c>
      <c r="E2104" s="168">
        <v>1</v>
      </c>
      <c r="F2104" s="113">
        <f>H2104</f>
        <v>15.121499999999999</v>
      </c>
      <c r="G2104" s="114">
        <f>ROUND((E2104*F2104),2)</f>
        <v>15.12</v>
      </c>
      <c r="H2104" s="336">
        <v>15.121499999999999</v>
      </c>
      <c r="I2104" s="38" t="e">
        <f>IF(A2104&lt;&gt;0,VLOOKUP(A2104,#REF!,2,FALSE),"")</f>
        <v>#REF!</v>
      </c>
      <c r="J2104" s="336"/>
      <c r="K2104" s="222"/>
    </row>
    <row r="2105" spans="1:11" s="38" customFormat="1">
      <c r="A2105" s="741" t="s">
        <v>1893</v>
      </c>
      <c r="B2105" s="742"/>
      <c r="C2105" s="742"/>
      <c r="D2105" s="742"/>
      <c r="E2105" s="742"/>
      <c r="F2105" s="743"/>
      <c r="G2105" s="107">
        <f>ROUND(SUM(G2101:G2104),2)</f>
        <v>621.92999999999995</v>
      </c>
      <c r="H2105" s="336"/>
      <c r="I2105" s="156"/>
      <c r="J2105" s="336"/>
      <c r="K2105" s="222"/>
    </row>
    <row r="2106" spans="1:11">
      <c r="A2106" s="121"/>
      <c r="B2106" s="122"/>
      <c r="C2106" s="121"/>
      <c r="D2106" s="121"/>
      <c r="E2106" s="121"/>
      <c r="F2106" s="123"/>
      <c r="G2106" s="121"/>
      <c r="I2106" s="24"/>
      <c r="K2106" s="222"/>
    </row>
    <row r="2107" spans="1:11">
      <c r="A2107" s="121"/>
      <c r="B2107" s="122"/>
      <c r="C2107" s="121"/>
      <c r="D2107" s="121"/>
      <c r="E2107" s="121"/>
      <c r="F2107" s="123"/>
      <c r="G2107" s="121"/>
      <c r="I2107" s="24"/>
      <c r="K2107" s="222"/>
    </row>
    <row r="2108" spans="1:11" s="38" customFormat="1" ht="27.75" customHeight="1">
      <c r="A2108" s="738" t="s">
        <v>2003</v>
      </c>
      <c r="B2108" s="739"/>
      <c r="C2108" s="739"/>
      <c r="D2108" s="739"/>
      <c r="E2108" s="740"/>
      <c r="F2108" s="326" t="s">
        <v>44</v>
      </c>
      <c r="G2108" s="110">
        <v>4264</v>
      </c>
      <c r="H2108" s="336"/>
      <c r="I2108" s="156"/>
      <c r="J2108" s="336"/>
      <c r="K2108" s="222"/>
    </row>
    <row r="2109" spans="1:11" s="38" customFormat="1" ht="28.5">
      <c r="A2109" s="69" t="s">
        <v>1916</v>
      </c>
      <c r="B2109" s="230"/>
      <c r="C2109" s="69" t="s">
        <v>3</v>
      </c>
      <c r="D2109" s="69" t="s">
        <v>4</v>
      </c>
      <c r="E2109" s="69" t="s">
        <v>1826</v>
      </c>
      <c r="F2109" s="69" t="s">
        <v>367</v>
      </c>
      <c r="G2109" s="69" t="s">
        <v>368</v>
      </c>
      <c r="H2109" s="336"/>
      <c r="I2109" s="156"/>
      <c r="J2109" s="336"/>
      <c r="K2109" s="222"/>
    </row>
    <row r="2110" spans="1:11" s="38" customFormat="1" ht="30">
      <c r="A2110" s="111">
        <v>3339</v>
      </c>
      <c r="B2110" s="101" t="s">
        <v>2003</v>
      </c>
      <c r="C2110" s="21" t="s">
        <v>44</v>
      </c>
      <c r="D2110" s="111" t="s">
        <v>52</v>
      </c>
      <c r="E2110" s="168">
        <v>1</v>
      </c>
      <c r="F2110" s="113">
        <f>H2110</f>
        <v>67.005499999999998</v>
      </c>
      <c r="G2110" s="114">
        <f>ROUND((E2110*F2110),2)</f>
        <v>67.010000000000005</v>
      </c>
      <c r="H2110" s="336">
        <v>67.005499999999998</v>
      </c>
      <c r="I2110" s="38" t="e">
        <f>IF(A2110&lt;&gt;0,VLOOKUP(A2110,#REF!,2,FALSE),"")</f>
        <v>#REF!</v>
      </c>
      <c r="J2110" s="336"/>
      <c r="K2110" s="222"/>
    </row>
    <row r="2111" spans="1:11" s="38" customFormat="1" ht="60">
      <c r="A2111" s="111">
        <v>1903</v>
      </c>
      <c r="B2111" s="101" t="s">
        <v>1985</v>
      </c>
      <c r="C2111" s="21" t="s">
        <v>44</v>
      </c>
      <c r="D2111" s="111" t="s">
        <v>1936</v>
      </c>
      <c r="E2111" s="168">
        <v>2E-3</v>
      </c>
      <c r="F2111" s="113">
        <f>H2111</f>
        <v>382.27050000000003</v>
      </c>
      <c r="G2111" s="114">
        <f>ROUND((E2111*F2111),2)</f>
        <v>0.76</v>
      </c>
      <c r="H2111" s="336">
        <v>382.27050000000003</v>
      </c>
      <c r="I2111" s="156"/>
      <c r="J2111" s="336"/>
      <c r="K2111" s="222"/>
    </row>
    <row r="2112" spans="1:11" s="38" customFormat="1" ht="30">
      <c r="A2112" s="111">
        <v>88309</v>
      </c>
      <c r="B2112" s="101" t="s">
        <v>390</v>
      </c>
      <c r="C2112" s="21" t="s">
        <v>12</v>
      </c>
      <c r="D2112" s="103" t="s">
        <v>19</v>
      </c>
      <c r="E2112" s="168">
        <v>0.5</v>
      </c>
      <c r="F2112" s="113">
        <f>H2112</f>
        <v>15.121499999999999</v>
      </c>
      <c r="G2112" s="114">
        <f>ROUND((E2112*F2112),2)</f>
        <v>7.56</v>
      </c>
      <c r="H2112" s="336">
        <v>15.121499999999999</v>
      </c>
      <c r="I2112" s="38" t="e">
        <f>IF(A2112&lt;&gt;0,VLOOKUP(A2112,#REF!,2,FALSE),"")</f>
        <v>#REF!</v>
      </c>
      <c r="J2112" s="336"/>
      <c r="K2112" s="222"/>
    </row>
    <row r="2113" spans="1:11" s="38" customFormat="1">
      <c r="A2113" s="741" t="s">
        <v>1893</v>
      </c>
      <c r="B2113" s="742"/>
      <c r="C2113" s="742"/>
      <c r="D2113" s="742"/>
      <c r="E2113" s="742"/>
      <c r="F2113" s="743"/>
      <c r="G2113" s="107">
        <f>ROUND(SUM(G2110:G2112),2)</f>
        <v>75.33</v>
      </c>
      <c r="H2113" s="336"/>
      <c r="I2113" s="156"/>
      <c r="J2113" s="336"/>
      <c r="K2113" s="222"/>
    </row>
    <row r="2114" spans="1:11">
      <c r="A2114" s="121"/>
      <c r="B2114" s="122"/>
      <c r="C2114" s="121"/>
      <c r="D2114" s="121"/>
      <c r="E2114" s="121"/>
      <c r="F2114" s="123"/>
      <c r="G2114" s="121"/>
      <c r="I2114" s="24"/>
      <c r="K2114" s="222"/>
    </row>
    <row r="2115" spans="1:11">
      <c r="A2115" s="121"/>
      <c r="B2115" s="122"/>
      <c r="C2115" s="121"/>
      <c r="D2115" s="121"/>
      <c r="E2115" s="121"/>
      <c r="F2115" s="123"/>
      <c r="G2115" s="121"/>
      <c r="I2115" s="24"/>
      <c r="K2115" s="222"/>
    </row>
    <row r="2116" spans="1:11" s="38" customFormat="1" ht="30.75" customHeight="1">
      <c r="A2116" s="738" t="s">
        <v>2004</v>
      </c>
      <c r="B2116" s="739"/>
      <c r="C2116" s="739"/>
      <c r="D2116" s="739"/>
      <c r="E2116" s="740"/>
      <c r="F2116" s="110" t="s">
        <v>44</v>
      </c>
      <c r="G2116" s="110">
        <v>7285</v>
      </c>
      <c r="H2116" s="336"/>
      <c r="I2116" s="156"/>
      <c r="J2116" s="336"/>
      <c r="K2116" s="222"/>
    </row>
    <row r="2117" spans="1:11" s="38" customFormat="1" ht="28.5">
      <c r="A2117" s="69" t="s">
        <v>1916</v>
      </c>
      <c r="B2117" s="230"/>
      <c r="C2117" s="69" t="s">
        <v>3</v>
      </c>
      <c r="D2117" s="69" t="s">
        <v>4</v>
      </c>
      <c r="E2117" s="69" t="s">
        <v>1826</v>
      </c>
      <c r="F2117" s="69" t="s">
        <v>367</v>
      </c>
      <c r="G2117" s="69" t="s">
        <v>368</v>
      </c>
      <c r="H2117" s="336"/>
      <c r="I2117" s="156"/>
      <c r="J2117" s="336"/>
      <c r="K2117" s="222"/>
    </row>
    <row r="2118" spans="1:11" s="38" customFormat="1" ht="30">
      <c r="A2118" s="111">
        <v>6853</v>
      </c>
      <c r="B2118" s="101" t="s">
        <v>2005</v>
      </c>
      <c r="C2118" s="21" t="s">
        <v>44</v>
      </c>
      <c r="D2118" s="111" t="s">
        <v>52</v>
      </c>
      <c r="E2118" s="170">
        <v>1</v>
      </c>
      <c r="F2118" s="113">
        <f>H2118</f>
        <v>39.839500000000001</v>
      </c>
      <c r="G2118" s="114">
        <f>ROUND((E2118*F2118),2)</f>
        <v>39.840000000000003</v>
      </c>
      <c r="H2118" s="336">
        <v>39.839500000000001</v>
      </c>
      <c r="I2118" s="38" t="e">
        <f>IF(A2118&lt;&gt;0,VLOOKUP(A2118,#REF!,2,FALSE),"")</f>
        <v>#REF!</v>
      </c>
      <c r="J2118" s="336"/>
      <c r="K2118" s="222"/>
    </row>
    <row r="2119" spans="1:11" s="38" customFormat="1">
      <c r="A2119" s="111">
        <v>37595</v>
      </c>
      <c r="B2119" s="101" t="s">
        <v>465</v>
      </c>
      <c r="C2119" s="21" t="s">
        <v>12</v>
      </c>
      <c r="D2119" s="111" t="s">
        <v>45</v>
      </c>
      <c r="E2119" s="169">
        <v>1.29</v>
      </c>
      <c r="F2119" s="113">
        <f>H2119</f>
        <v>1.4875</v>
      </c>
      <c r="G2119" s="114">
        <f>ROUND((E2119*F2119),2)</f>
        <v>1.92</v>
      </c>
      <c r="H2119" s="336">
        <v>1.4875</v>
      </c>
      <c r="I2119" s="38" t="e">
        <f>IF(A2119&lt;&gt;0,VLOOKUP(A2119,#REF!,2,FALSE),"")</f>
        <v>#REF!</v>
      </c>
      <c r="J2119" s="336"/>
      <c r="K2119" s="222"/>
    </row>
    <row r="2120" spans="1:11" s="38" customFormat="1" ht="30">
      <c r="A2120" s="111">
        <v>88316</v>
      </c>
      <c r="B2120" s="101" t="s">
        <v>377</v>
      </c>
      <c r="C2120" s="21" t="s">
        <v>12</v>
      </c>
      <c r="D2120" s="103" t="s">
        <v>19</v>
      </c>
      <c r="E2120" s="169">
        <v>0.6</v>
      </c>
      <c r="F2120" s="113">
        <f>H2120</f>
        <v>11.798000000000002</v>
      </c>
      <c r="G2120" s="114">
        <f>ROUND((E2120*F2120),2)</f>
        <v>7.08</v>
      </c>
      <c r="H2120" s="336">
        <v>11.798000000000002</v>
      </c>
      <c r="I2120" s="38" t="e">
        <f>IF(A2120&lt;&gt;0,VLOOKUP(A2120,#REF!,2,FALSE),"")</f>
        <v>#REF!</v>
      </c>
      <c r="J2120" s="336"/>
      <c r="K2120" s="222"/>
    </row>
    <row r="2121" spans="1:11" s="38" customFormat="1">
      <c r="A2121" s="735" t="s">
        <v>1893</v>
      </c>
      <c r="B2121" s="736"/>
      <c r="C2121" s="736"/>
      <c r="D2121" s="736"/>
      <c r="E2121" s="736"/>
      <c r="F2121" s="737"/>
      <c r="G2121" s="107">
        <f>ROUND(SUM(G2118:G2120),2)</f>
        <v>48.84</v>
      </c>
      <c r="H2121" s="336"/>
      <c r="I2121" s="156"/>
      <c r="J2121" s="336"/>
      <c r="K2121" s="222"/>
    </row>
    <row r="2122" spans="1:11" ht="27" customHeight="1">
      <c r="A2122" s="121"/>
      <c r="B2122" s="122"/>
      <c r="C2122" s="121"/>
      <c r="D2122" s="121"/>
      <c r="E2122" s="121"/>
      <c r="F2122" s="123"/>
      <c r="G2122" s="121"/>
      <c r="I2122" s="24"/>
      <c r="K2122" s="222"/>
    </row>
    <row r="2123" spans="1:11" s="38" customFormat="1" ht="32.25" customHeight="1">
      <c r="A2123" s="738" t="s">
        <v>2006</v>
      </c>
      <c r="B2123" s="739"/>
      <c r="C2123" s="739"/>
      <c r="D2123" s="739"/>
      <c r="E2123" s="740"/>
      <c r="F2123" s="326" t="s">
        <v>44</v>
      </c>
      <c r="G2123" s="110">
        <v>7284</v>
      </c>
      <c r="H2123" s="336"/>
      <c r="I2123" s="156"/>
      <c r="J2123" s="336"/>
      <c r="K2123" s="222"/>
    </row>
    <row r="2124" spans="1:11" s="38" customFormat="1" ht="28.5">
      <c r="A2124" s="69" t="s">
        <v>1916</v>
      </c>
      <c r="B2124" s="230"/>
      <c r="C2124" s="69" t="s">
        <v>3</v>
      </c>
      <c r="D2124" s="69" t="s">
        <v>4</v>
      </c>
      <c r="E2124" s="69" t="s">
        <v>1826</v>
      </c>
      <c r="F2124" s="69" t="s">
        <v>367</v>
      </c>
      <c r="G2124" s="69" t="s">
        <v>368</v>
      </c>
      <c r="H2124" s="336"/>
      <c r="I2124" s="156"/>
      <c r="J2124" s="336"/>
      <c r="K2124" s="222"/>
    </row>
    <row r="2125" spans="1:11" s="38" customFormat="1" ht="30">
      <c r="A2125" s="111">
        <v>6852</v>
      </c>
      <c r="B2125" s="101" t="s">
        <v>2007</v>
      </c>
      <c r="C2125" s="21" t="s">
        <v>44</v>
      </c>
      <c r="D2125" s="111" t="s">
        <v>52</v>
      </c>
      <c r="E2125" s="170">
        <v>1</v>
      </c>
      <c r="F2125" s="113">
        <f>H2125</f>
        <v>61.344500000000004</v>
      </c>
      <c r="G2125" s="114">
        <f>ROUND((E2125*F2125),2)</f>
        <v>61.34</v>
      </c>
      <c r="H2125" s="336">
        <v>61.344500000000004</v>
      </c>
      <c r="I2125" s="38" t="e">
        <f>IF(A2125&lt;&gt;0,VLOOKUP(A2125,#REF!,2,FALSE),"")</f>
        <v>#REF!</v>
      </c>
      <c r="J2125" s="336"/>
      <c r="K2125" s="222"/>
    </row>
    <row r="2126" spans="1:11" s="38" customFormat="1">
      <c r="A2126" s="111">
        <v>34353</v>
      </c>
      <c r="B2126" s="101" t="s">
        <v>2008</v>
      </c>
      <c r="C2126" s="21" t="s">
        <v>12</v>
      </c>
      <c r="D2126" s="111" t="s">
        <v>45</v>
      </c>
      <c r="E2126" s="171">
        <v>1.1399999999999999</v>
      </c>
      <c r="F2126" s="113">
        <f>H2126</f>
        <v>0.90100000000000002</v>
      </c>
      <c r="G2126" s="114">
        <f>ROUND((E2126*F2126),2)</f>
        <v>1.03</v>
      </c>
      <c r="H2126" s="336">
        <v>0.90100000000000002</v>
      </c>
      <c r="I2126" s="38" t="e">
        <f>IF(A2126&lt;&gt;0,VLOOKUP(A2126,#REF!,2,FALSE),"")</f>
        <v>#REF!</v>
      </c>
      <c r="J2126" s="336"/>
      <c r="K2126" s="222"/>
    </row>
    <row r="2127" spans="1:11" s="38" customFormat="1" ht="30">
      <c r="A2127" s="111">
        <v>88309</v>
      </c>
      <c r="B2127" s="101" t="s">
        <v>390</v>
      </c>
      <c r="C2127" s="21" t="s">
        <v>12</v>
      </c>
      <c r="D2127" s="103" t="s">
        <v>19</v>
      </c>
      <c r="E2127" s="104">
        <v>0.8</v>
      </c>
      <c r="F2127" s="113">
        <f>H2127</f>
        <v>15.121499999999999</v>
      </c>
      <c r="G2127" s="114">
        <f>ROUND((E2127*F2127),2)</f>
        <v>12.1</v>
      </c>
      <c r="H2127" s="336">
        <v>15.121499999999999</v>
      </c>
      <c r="I2127" s="38" t="e">
        <f>IF(A2127&lt;&gt;0,VLOOKUP(A2127,#REF!,2,FALSE),"")</f>
        <v>#REF!</v>
      </c>
      <c r="J2127" s="336"/>
      <c r="K2127" s="222"/>
    </row>
    <row r="2128" spans="1:11" s="38" customFormat="1">
      <c r="A2128" s="741" t="s">
        <v>1893</v>
      </c>
      <c r="B2128" s="742"/>
      <c r="C2128" s="742"/>
      <c r="D2128" s="742"/>
      <c r="E2128" s="742"/>
      <c r="F2128" s="743"/>
      <c r="G2128" s="107">
        <f>ROUND(SUM(G2125:G2127),2)</f>
        <v>74.47</v>
      </c>
      <c r="H2128" s="336"/>
      <c r="I2128" s="156"/>
      <c r="J2128" s="336"/>
      <c r="K2128" s="222"/>
    </row>
    <row r="2129" spans="1:11" ht="33.75" customHeight="1">
      <c r="K2129" s="222"/>
    </row>
    <row r="2130" spans="1:11" s="38" customFormat="1" ht="27" customHeight="1">
      <c r="A2130" s="738" t="s">
        <v>2009</v>
      </c>
      <c r="B2130" s="739"/>
      <c r="C2130" s="739"/>
      <c r="D2130" s="739"/>
      <c r="E2130" s="740"/>
      <c r="F2130" s="326" t="s">
        <v>1914</v>
      </c>
      <c r="G2130" s="110" t="s">
        <v>2010</v>
      </c>
      <c r="H2130" s="336"/>
      <c r="I2130" s="156"/>
      <c r="J2130" s="336"/>
      <c r="K2130" s="222"/>
    </row>
    <row r="2131" spans="1:11" s="38" customFormat="1" ht="28.5">
      <c r="A2131" s="69" t="s">
        <v>1916</v>
      </c>
      <c r="B2131" s="230"/>
      <c r="C2131" s="69" t="s">
        <v>3</v>
      </c>
      <c r="D2131" s="69" t="s">
        <v>4</v>
      </c>
      <c r="E2131" s="69" t="s">
        <v>1826</v>
      </c>
      <c r="F2131" s="69" t="s">
        <v>367</v>
      </c>
      <c r="G2131" s="69" t="s">
        <v>368</v>
      </c>
      <c r="H2131" s="336"/>
      <c r="I2131" s="156"/>
      <c r="J2131" s="336"/>
      <c r="K2131" s="222"/>
    </row>
    <row r="2132" spans="1:11" s="38" customFormat="1" ht="45">
      <c r="A2132" s="111">
        <v>7697</v>
      </c>
      <c r="B2132" s="101" t="s">
        <v>547</v>
      </c>
      <c r="C2132" s="21" t="s">
        <v>12</v>
      </c>
      <c r="D2132" s="111" t="s">
        <v>52</v>
      </c>
      <c r="E2132" s="170">
        <v>4</v>
      </c>
      <c r="F2132" s="113">
        <f>H2132</f>
        <v>52.674500000000002</v>
      </c>
      <c r="G2132" s="114">
        <f>ROUND((E2132*F2132),2)</f>
        <v>210.7</v>
      </c>
      <c r="H2132" s="336">
        <v>52.674500000000002</v>
      </c>
      <c r="I2132" s="38" t="e">
        <f>IF(A2132&lt;&gt;0,VLOOKUP(A2132,#REF!,2,FALSE),"")</f>
        <v>#REF!</v>
      </c>
      <c r="J2132" s="336"/>
      <c r="K2132" s="222"/>
    </row>
    <row r="2133" spans="1:11" s="38" customFormat="1" ht="30">
      <c r="A2133" s="111">
        <v>88631</v>
      </c>
      <c r="B2133" s="101" t="s">
        <v>1986</v>
      </c>
      <c r="C2133" s="21" t="s">
        <v>12</v>
      </c>
      <c r="D2133" s="111" t="s">
        <v>35</v>
      </c>
      <c r="E2133" s="169">
        <v>0.02</v>
      </c>
      <c r="F2133" s="113">
        <f>H2133</f>
        <v>381.76049999999998</v>
      </c>
      <c r="G2133" s="114">
        <f>ROUND((E2133*F2133),2)</f>
        <v>7.64</v>
      </c>
      <c r="H2133" s="336">
        <v>381.76049999999998</v>
      </c>
      <c r="I2133" s="38" t="e">
        <f>IF(A2133&lt;&gt;0,VLOOKUP(A2133,#REF!,2,FALSE),"")</f>
        <v>#REF!</v>
      </c>
      <c r="J2133" s="336"/>
      <c r="K2133" s="222"/>
    </row>
    <row r="2134" spans="1:11" s="38" customFormat="1" ht="30">
      <c r="A2134" s="111">
        <v>88315</v>
      </c>
      <c r="B2134" s="101" t="s">
        <v>420</v>
      </c>
      <c r="C2134" s="21" t="s">
        <v>12</v>
      </c>
      <c r="D2134" s="103" t="s">
        <v>19</v>
      </c>
      <c r="E2134" s="169">
        <v>3.4</v>
      </c>
      <c r="F2134" s="113">
        <f>H2134</f>
        <v>15.045</v>
      </c>
      <c r="G2134" s="114">
        <f>ROUND((E2134*F2134),2)</f>
        <v>51.15</v>
      </c>
      <c r="H2134" s="336">
        <v>15.045</v>
      </c>
      <c r="I2134" s="38" t="e">
        <f>IF(A2134&lt;&gt;0,VLOOKUP(A2134,#REF!,2,FALSE),"")</f>
        <v>#REF!</v>
      </c>
      <c r="J2134" s="336"/>
      <c r="K2134" s="222"/>
    </row>
    <row r="2135" spans="1:11" s="38" customFormat="1" ht="30">
      <c r="A2135" s="111">
        <v>88316</v>
      </c>
      <c r="B2135" s="101" t="s">
        <v>377</v>
      </c>
      <c r="C2135" s="21" t="s">
        <v>12</v>
      </c>
      <c r="D2135" s="103" t="s">
        <v>19</v>
      </c>
      <c r="E2135" s="169">
        <v>3.1</v>
      </c>
      <c r="F2135" s="113">
        <f>H2135</f>
        <v>11.798000000000002</v>
      </c>
      <c r="G2135" s="114">
        <f>ROUND((E2135*F2135),2)</f>
        <v>36.57</v>
      </c>
      <c r="H2135" s="336">
        <v>11.798000000000002</v>
      </c>
      <c r="I2135" s="38" t="e">
        <f>IF(A2135&lt;&gt;0,VLOOKUP(A2135,#REF!,2,FALSE),"")</f>
        <v>#REF!</v>
      </c>
      <c r="J2135" s="336"/>
      <c r="K2135" s="222"/>
    </row>
    <row r="2136" spans="1:11" s="38" customFormat="1">
      <c r="A2136" s="741" t="s">
        <v>1893</v>
      </c>
      <c r="B2136" s="742"/>
      <c r="C2136" s="742"/>
      <c r="D2136" s="742"/>
      <c r="E2136" s="742"/>
      <c r="F2136" s="743"/>
      <c r="G2136" s="107">
        <f>ROUND(SUM(G2132:G2135),2)</f>
        <v>306.06</v>
      </c>
      <c r="H2136" s="336"/>
      <c r="I2136" s="156"/>
      <c r="J2136" s="336"/>
      <c r="K2136" s="222"/>
    </row>
    <row r="2137" spans="1:11" ht="29.25" customHeight="1">
      <c r="K2137" s="222"/>
    </row>
    <row r="2138" spans="1:11" s="38" customFormat="1" ht="39" customHeight="1">
      <c r="A2138" s="738" t="s">
        <v>588</v>
      </c>
      <c r="B2138" s="739"/>
      <c r="C2138" s="739"/>
      <c r="D2138" s="739"/>
      <c r="E2138" s="740"/>
      <c r="F2138" s="326" t="s">
        <v>44</v>
      </c>
      <c r="G2138" s="116">
        <v>8914</v>
      </c>
      <c r="H2138" s="336"/>
      <c r="I2138" s="156"/>
      <c r="J2138" s="336"/>
      <c r="K2138" s="222"/>
    </row>
    <row r="2139" spans="1:11" s="38" customFormat="1" ht="28.5">
      <c r="A2139" s="69" t="s">
        <v>1916</v>
      </c>
      <c r="B2139" s="230"/>
      <c r="C2139" s="69" t="s">
        <v>3</v>
      </c>
      <c r="D2139" s="69" t="s">
        <v>4</v>
      </c>
      <c r="E2139" s="69" t="s">
        <v>1826</v>
      </c>
      <c r="F2139" s="69" t="s">
        <v>367</v>
      </c>
      <c r="G2139" s="69" t="s">
        <v>368</v>
      </c>
      <c r="H2139" s="336"/>
      <c r="I2139" s="156"/>
      <c r="J2139" s="336"/>
      <c r="K2139" s="222"/>
    </row>
    <row r="2140" spans="1:11" s="38" customFormat="1" ht="30">
      <c r="A2140" s="92">
        <v>8914</v>
      </c>
      <c r="B2140" s="101" t="s">
        <v>2011</v>
      </c>
      <c r="C2140" s="21" t="s">
        <v>44</v>
      </c>
      <c r="D2140" s="92" t="s">
        <v>238</v>
      </c>
      <c r="E2140" s="124">
        <v>1</v>
      </c>
      <c r="F2140" s="113">
        <f>H2140</f>
        <v>372.3</v>
      </c>
      <c r="G2140" s="114">
        <f>ROUND((E2140*F2140),2)</f>
        <v>372.3</v>
      </c>
      <c r="H2140" s="336">
        <v>372.3</v>
      </c>
      <c r="I2140" s="38" t="e">
        <f>IF(A2140&lt;&gt;0,VLOOKUP(A2140,#REF!,2,FALSE),"")</f>
        <v>#REF!</v>
      </c>
      <c r="J2140" s="336"/>
      <c r="K2140" s="222"/>
    </row>
    <row r="2141" spans="1:11" s="38" customFormat="1" ht="30">
      <c r="A2141" s="92">
        <v>88243</v>
      </c>
      <c r="B2141" s="101" t="s">
        <v>416</v>
      </c>
      <c r="C2141" s="21" t="s">
        <v>12</v>
      </c>
      <c r="D2141" s="92" t="s">
        <v>19</v>
      </c>
      <c r="E2141" s="168">
        <v>1</v>
      </c>
      <c r="F2141" s="113">
        <f>H2141</f>
        <v>14.075999999999999</v>
      </c>
      <c r="G2141" s="114">
        <f>ROUND((E2141*F2141),2)</f>
        <v>14.08</v>
      </c>
      <c r="H2141" s="336">
        <v>14.075999999999999</v>
      </c>
      <c r="I2141" s="38" t="e">
        <f>IF(A2141&lt;&gt;0,VLOOKUP(A2141,#REF!,2,FALSE),"")</f>
        <v>#REF!</v>
      </c>
      <c r="J2141" s="336"/>
      <c r="K2141" s="222"/>
    </row>
    <row r="2142" spans="1:11" s="38" customFormat="1" ht="30">
      <c r="A2142" s="92">
        <v>88264</v>
      </c>
      <c r="B2142" s="101" t="s">
        <v>379</v>
      </c>
      <c r="C2142" s="21" t="s">
        <v>12</v>
      </c>
      <c r="D2142" s="92" t="s">
        <v>19</v>
      </c>
      <c r="E2142" s="168">
        <v>1</v>
      </c>
      <c r="F2142" s="113">
        <f>H2142</f>
        <v>15.249000000000001</v>
      </c>
      <c r="G2142" s="114">
        <f>ROUND((E2142*F2142),2)</f>
        <v>15.25</v>
      </c>
      <c r="H2142" s="336">
        <v>15.249000000000001</v>
      </c>
      <c r="I2142" s="38" t="e">
        <f>IF(A2142&lt;&gt;0,VLOOKUP(A2142,#REF!,2,FALSE),"")</f>
        <v>#REF!</v>
      </c>
      <c r="J2142" s="336"/>
      <c r="K2142" s="222"/>
    </row>
    <row r="2143" spans="1:11" s="38" customFormat="1">
      <c r="A2143" s="741" t="s">
        <v>1893</v>
      </c>
      <c r="B2143" s="742"/>
      <c r="C2143" s="742"/>
      <c r="D2143" s="742"/>
      <c r="E2143" s="742"/>
      <c r="F2143" s="743"/>
      <c r="G2143" s="107">
        <f>ROUND(SUM(G2140:G2142),2)</f>
        <v>401.63</v>
      </c>
      <c r="H2143" s="336"/>
      <c r="I2143" s="156"/>
      <c r="J2143" s="336"/>
      <c r="K2143" s="222"/>
    </row>
    <row r="2144" spans="1:11" ht="27.75" customHeight="1">
      <c r="A2144" s="121"/>
      <c r="B2144" s="122"/>
      <c r="C2144" s="121"/>
      <c r="D2144" s="121"/>
      <c r="E2144" s="121"/>
      <c r="F2144" s="123"/>
      <c r="G2144" s="121"/>
      <c r="I2144" s="24"/>
      <c r="K2144" s="222"/>
    </row>
    <row r="2145" spans="1:11" s="38" customFormat="1" ht="27.75" customHeight="1">
      <c r="A2145" s="738" t="s">
        <v>2012</v>
      </c>
      <c r="B2145" s="739"/>
      <c r="C2145" s="739"/>
      <c r="D2145" s="739"/>
      <c r="E2145" s="740"/>
      <c r="F2145" s="326" t="s">
        <v>44</v>
      </c>
      <c r="G2145" s="110">
        <v>8795</v>
      </c>
      <c r="H2145" s="336"/>
      <c r="I2145" s="156"/>
      <c r="J2145" s="336"/>
      <c r="K2145" s="222"/>
    </row>
    <row r="2146" spans="1:11" s="38" customFormat="1" ht="28.5">
      <c r="A2146" s="69" t="s">
        <v>1916</v>
      </c>
      <c r="B2146" s="230"/>
      <c r="C2146" s="69" t="s">
        <v>3</v>
      </c>
      <c r="D2146" s="69" t="s">
        <v>4</v>
      </c>
      <c r="E2146" s="69" t="s">
        <v>1826</v>
      </c>
      <c r="F2146" s="69" t="s">
        <v>367</v>
      </c>
      <c r="G2146" s="69" t="s">
        <v>368</v>
      </c>
      <c r="H2146" s="336"/>
      <c r="I2146" s="156"/>
      <c r="J2146" s="336"/>
      <c r="K2146" s="222"/>
    </row>
    <row r="2147" spans="1:11" s="38" customFormat="1">
      <c r="A2147" s="92">
        <v>9086</v>
      </c>
      <c r="B2147" s="101" t="s">
        <v>2013</v>
      </c>
      <c r="C2147" s="21" t="s">
        <v>44</v>
      </c>
      <c r="D2147" s="92" t="s">
        <v>17</v>
      </c>
      <c r="E2147" s="124">
        <v>1</v>
      </c>
      <c r="F2147" s="118">
        <f>H2147</f>
        <v>5.95</v>
      </c>
      <c r="G2147" s="119">
        <f>ROUND((E2147*F2147),2)</f>
        <v>5.95</v>
      </c>
      <c r="H2147" s="336">
        <v>5.95</v>
      </c>
      <c r="I2147" s="38" t="e">
        <f>IF(A2147&lt;&gt;0,VLOOKUP(A2147,#REF!,2,FALSE),"")</f>
        <v>#REF!</v>
      </c>
      <c r="J2147" s="336"/>
      <c r="K2147" s="222"/>
    </row>
    <row r="2148" spans="1:11" s="38" customFormat="1" ht="30">
      <c r="A2148" s="92">
        <v>88316</v>
      </c>
      <c r="B2148" s="101" t="s">
        <v>377</v>
      </c>
      <c r="C2148" s="21" t="s">
        <v>12</v>
      </c>
      <c r="D2148" s="92" t="s">
        <v>19</v>
      </c>
      <c r="E2148" s="117">
        <v>0.5</v>
      </c>
      <c r="F2148" s="113">
        <f>H2148</f>
        <v>11.798000000000002</v>
      </c>
      <c r="G2148" s="114">
        <f>ROUND((E2148*F2148),2)</f>
        <v>5.9</v>
      </c>
      <c r="H2148" s="336">
        <v>11.798000000000002</v>
      </c>
      <c r="I2148" s="38" t="e">
        <f>IF(A2148&lt;&gt;0,VLOOKUP(A2148,#REF!,2,FALSE),"")</f>
        <v>#REF!</v>
      </c>
      <c r="J2148" s="336"/>
      <c r="K2148" s="222"/>
    </row>
    <row r="2149" spans="1:11" s="38" customFormat="1" ht="30">
      <c r="A2149" s="92">
        <v>88264</v>
      </c>
      <c r="B2149" s="101" t="s">
        <v>379</v>
      </c>
      <c r="C2149" s="21" t="s">
        <v>12</v>
      </c>
      <c r="D2149" s="92" t="s">
        <v>19</v>
      </c>
      <c r="E2149" s="117">
        <v>0.5</v>
      </c>
      <c r="F2149" s="113">
        <f>H2149</f>
        <v>15.249000000000001</v>
      </c>
      <c r="G2149" s="114">
        <f>ROUND((E2149*F2149),2)</f>
        <v>7.62</v>
      </c>
      <c r="H2149" s="336">
        <v>15.249000000000001</v>
      </c>
      <c r="I2149" s="38" t="e">
        <f>IF(A2149&lt;&gt;0,VLOOKUP(A2149,#REF!,2,FALSE),"")</f>
        <v>#REF!</v>
      </c>
      <c r="J2149" s="336"/>
      <c r="K2149" s="222"/>
    </row>
    <row r="2150" spans="1:11" s="38" customFormat="1">
      <c r="A2150" s="735" t="s">
        <v>1893</v>
      </c>
      <c r="B2150" s="736"/>
      <c r="C2150" s="736"/>
      <c r="D2150" s="736"/>
      <c r="E2150" s="736"/>
      <c r="F2150" s="737"/>
      <c r="G2150" s="120">
        <f>ROUND(SUM(G2147:G2149),2)</f>
        <v>19.47</v>
      </c>
      <c r="H2150" s="336"/>
      <c r="I2150" s="156"/>
      <c r="J2150" s="336"/>
      <c r="K2150" s="222"/>
    </row>
    <row r="2151" spans="1:11" ht="24.75" customHeight="1">
      <c r="K2151" s="222"/>
    </row>
    <row r="2152" spans="1:11" s="38" customFormat="1" ht="42.75" customHeight="1">
      <c r="A2152" s="746" t="s">
        <v>3021</v>
      </c>
      <c r="B2152" s="747"/>
      <c r="C2152" s="747"/>
      <c r="D2152" s="747"/>
      <c r="E2152" s="748"/>
      <c r="F2152" s="326" t="s">
        <v>44</v>
      </c>
      <c r="G2152" s="110">
        <v>9744</v>
      </c>
      <c r="H2152" s="336"/>
      <c r="J2152" s="336"/>
      <c r="K2152" s="222"/>
    </row>
    <row r="2153" spans="1:11" s="38" customFormat="1" ht="28.5">
      <c r="A2153" s="69" t="s">
        <v>1916</v>
      </c>
      <c r="B2153" s="230"/>
      <c r="C2153" s="69" t="s">
        <v>3</v>
      </c>
      <c r="D2153" s="69" t="s">
        <v>4</v>
      </c>
      <c r="E2153" s="69" t="s">
        <v>1826</v>
      </c>
      <c r="F2153" s="69" t="s">
        <v>367</v>
      </c>
      <c r="G2153" s="69" t="s">
        <v>368</v>
      </c>
      <c r="H2153" s="336"/>
      <c r="J2153" s="336"/>
      <c r="K2153" s="222"/>
    </row>
    <row r="2154" spans="1:11" s="38" customFormat="1" ht="75">
      <c r="A2154" s="111">
        <v>9744</v>
      </c>
      <c r="B2154" s="101" t="s">
        <v>2029</v>
      </c>
      <c r="C2154" s="21" t="s">
        <v>44</v>
      </c>
      <c r="D2154" s="103" t="s">
        <v>17</v>
      </c>
      <c r="E2154" s="104">
        <v>1</v>
      </c>
      <c r="F2154" s="165">
        <f>H2154</f>
        <v>80750</v>
      </c>
      <c r="G2154" s="114">
        <f>ROUND((E2154*F2154),2)</f>
        <v>80750</v>
      </c>
      <c r="H2154" s="336">
        <v>80750</v>
      </c>
      <c r="I2154" s="38" t="e">
        <f>IF(A2154&lt;&gt;0,VLOOKUP(A2154,#REF!,2,FALSE),"")</f>
        <v>#REF!</v>
      </c>
      <c r="J2154" s="336"/>
      <c r="K2154" s="222"/>
    </row>
    <row r="2155" spans="1:11" s="38" customFormat="1">
      <c r="A2155" s="735" t="s">
        <v>1893</v>
      </c>
      <c r="B2155" s="736"/>
      <c r="C2155" s="736"/>
      <c r="D2155" s="736"/>
      <c r="E2155" s="736"/>
      <c r="F2155" s="737"/>
      <c r="G2155" s="107">
        <f>ROUND(SUM(G2154:G2154),2)</f>
        <v>80750</v>
      </c>
      <c r="H2155" s="336"/>
      <c r="J2155" s="336"/>
      <c r="K2155" s="222"/>
    </row>
    <row r="2156" spans="1:11" ht="28.5" customHeight="1">
      <c r="A2156" s="121"/>
      <c r="B2156" s="122"/>
      <c r="C2156" s="121"/>
      <c r="D2156" s="121"/>
      <c r="E2156" s="121"/>
      <c r="F2156" s="123"/>
      <c r="G2156" s="121"/>
      <c r="K2156" s="222"/>
    </row>
    <row r="2157" spans="1:11" s="38" customFormat="1" ht="15" customHeight="1">
      <c r="A2157" s="738" t="s">
        <v>2686</v>
      </c>
      <c r="B2157" s="739"/>
      <c r="C2157" s="739"/>
      <c r="D2157" s="739"/>
      <c r="E2157" s="740"/>
      <c r="F2157" s="326" t="s">
        <v>44</v>
      </c>
      <c r="G2157" s="110">
        <v>1843</v>
      </c>
      <c r="H2157" s="336"/>
      <c r="J2157" s="336"/>
      <c r="K2157" s="222"/>
    </row>
    <row r="2158" spans="1:11" s="38" customFormat="1" ht="28.5">
      <c r="A2158" s="69" t="s">
        <v>1916</v>
      </c>
      <c r="B2158" s="230"/>
      <c r="C2158" s="69" t="s">
        <v>3</v>
      </c>
      <c r="D2158" s="69" t="s">
        <v>4</v>
      </c>
      <c r="E2158" s="69" t="s">
        <v>1826</v>
      </c>
      <c r="F2158" s="69" t="s">
        <v>367</v>
      </c>
      <c r="G2158" s="69" t="s">
        <v>368</v>
      </c>
      <c r="H2158" s="336"/>
      <c r="J2158" s="336"/>
      <c r="K2158" s="222"/>
    </row>
    <row r="2159" spans="1:11" s="38" customFormat="1" ht="30">
      <c r="A2159" s="111">
        <v>1843</v>
      </c>
      <c r="B2159" s="101" t="s">
        <v>2687</v>
      </c>
      <c r="C2159" s="21" t="s">
        <v>44</v>
      </c>
      <c r="D2159" s="103" t="s">
        <v>17</v>
      </c>
      <c r="E2159" s="104">
        <v>1</v>
      </c>
      <c r="F2159" s="113">
        <f>H2159</f>
        <v>8421.6130000000012</v>
      </c>
      <c r="G2159" s="114">
        <f>ROUND((E2159*F2159),2)</f>
        <v>8421.61</v>
      </c>
      <c r="H2159" s="336">
        <v>8421.6130000000012</v>
      </c>
      <c r="I2159" s="38" t="e">
        <f>IF(A2159&lt;&gt;0,VLOOKUP(A2159,#REF!,2,FALSE),"")</f>
        <v>#REF!</v>
      </c>
      <c r="J2159" s="336"/>
      <c r="K2159" s="222"/>
    </row>
    <row r="2160" spans="1:11" s="38" customFormat="1">
      <c r="A2160" s="741" t="s">
        <v>1893</v>
      </c>
      <c r="B2160" s="742"/>
      <c r="C2160" s="742"/>
      <c r="D2160" s="742"/>
      <c r="E2160" s="742"/>
      <c r="F2160" s="743"/>
      <c r="G2160" s="107">
        <f>ROUND(SUM(G2159:G2159),2)</f>
        <v>8421.61</v>
      </c>
      <c r="H2160" s="336"/>
      <c r="J2160" s="336"/>
      <c r="K2160" s="222"/>
    </row>
    <row r="2161" spans="1:11" ht="27.75" customHeight="1">
      <c r="A2161" s="121"/>
      <c r="B2161" s="122"/>
      <c r="C2161" s="121"/>
      <c r="D2161" s="121"/>
      <c r="E2161" s="121"/>
      <c r="F2161" s="123"/>
      <c r="G2161" s="121"/>
      <c r="K2161" s="222"/>
    </row>
    <row r="2162" spans="1:11" s="38" customFormat="1" ht="49.5" customHeight="1">
      <c r="A2162" s="738" t="s">
        <v>2208</v>
      </c>
      <c r="B2162" s="739"/>
      <c r="C2162" s="739"/>
      <c r="D2162" s="739"/>
      <c r="E2162" s="740"/>
      <c r="F2162" s="326" t="s">
        <v>44</v>
      </c>
      <c r="G2162" s="110">
        <v>11064</v>
      </c>
      <c r="H2162" s="336"/>
      <c r="J2162" s="336"/>
      <c r="K2162" s="222"/>
    </row>
    <row r="2163" spans="1:11" s="38" customFormat="1" ht="28.5">
      <c r="A2163" s="69" t="s">
        <v>1916</v>
      </c>
      <c r="B2163" s="230"/>
      <c r="C2163" s="69" t="s">
        <v>3</v>
      </c>
      <c r="D2163" s="69" t="s">
        <v>4</v>
      </c>
      <c r="E2163" s="69" t="s">
        <v>1826</v>
      </c>
      <c r="F2163" s="69" t="s">
        <v>367</v>
      </c>
      <c r="G2163" s="69" t="s">
        <v>368</v>
      </c>
      <c r="H2163" s="336"/>
      <c r="J2163" s="336"/>
      <c r="K2163" s="222"/>
    </row>
    <row r="2164" spans="1:11" s="38" customFormat="1" ht="60">
      <c r="A2164" s="111">
        <v>11064</v>
      </c>
      <c r="B2164" s="101" t="s">
        <v>2581</v>
      </c>
      <c r="C2164" s="21" t="s">
        <v>44</v>
      </c>
      <c r="D2164" s="103" t="s">
        <v>17</v>
      </c>
      <c r="E2164" s="104">
        <v>1</v>
      </c>
      <c r="F2164" s="165">
        <f>H2164</f>
        <v>17600.151000000002</v>
      </c>
      <c r="G2164" s="114">
        <f>ROUND((E2164*F2164),2)</f>
        <v>17600.150000000001</v>
      </c>
      <c r="H2164" s="336">
        <v>17600.151000000002</v>
      </c>
      <c r="I2164" s="38" t="e">
        <f>IF(A2164&lt;&gt;0,VLOOKUP(A2164,#REF!,2,FALSE),"")</f>
        <v>#REF!</v>
      </c>
      <c r="J2164" s="336"/>
      <c r="K2164" s="222"/>
    </row>
    <row r="2165" spans="1:11" s="38" customFormat="1">
      <c r="A2165" s="735" t="s">
        <v>1893</v>
      </c>
      <c r="B2165" s="736"/>
      <c r="C2165" s="736"/>
      <c r="D2165" s="736"/>
      <c r="E2165" s="736"/>
      <c r="F2165" s="737"/>
      <c r="G2165" s="107">
        <f>ROUND(SUM(G2164:G2164),2)</f>
        <v>17600.150000000001</v>
      </c>
      <c r="H2165" s="336"/>
      <c r="J2165" s="336"/>
      <c r="K2165" s="222"/>
    </row>
    <row r="2166" spans="1:11" ht="28.5" customHeight="1">
      <c r="A2166" s="121"/>
      <c r="B2166" s="122"/>
      <c r="C2166" s="121"/>
      <c r="D2166" s="121"/>
      <c r="E2166" s="121"/>
      <c r="F2166" s="123"/>
      <c r="G2166" s="121"/>
      <c r="K2166" s="222"/>
    </row>
    <row r="2167" spans="1:11" s="38" customFormat="1" ht="15" customHeight="1">
      <c r="A2167" s="738" t="s">
        <v>2030</v>
      </c>
      <c r="B2167" s="739"/>
      <c r="C2167" s="739"/>
      <c r="D2167" s="739"/>
      <c r="E2167" s="740"/>
      <c r="F2167" s="326" t="s">
        <v>44</v>
      </c>
      <c r="G2167" s="110">
        <v>4436</v>
      </c>
      <c r="H2167" s="336"/>
      <c r="J2167" s="336"/>
      <c r="K2167" s="222"/>
    </row>
    <row r="2168" spans="1:11" s="38" customFormat="1" ht="28.5">
      <c r="A2168" s="69" t="s">
        <v>1916</v>
      </c>
      <c r="B2168" s="230"/>
      <c r="C2168" s="69" t="s">
        <v>3</v>
      </c>
      <c r="D2168" s="69" t="s">
        <v>4</v>
      </c>
      <c r="E2168" s="69" t="s">
        <v>1826</v>
      </c>
      <c r="F2168" s="69" t="s">
        <v>367</v>
      </c>
      <c r="G2168" s="69" t="s">
        <v>368</v>
      </c>
      <c r="H2168" s="336"/>
      <c r="J2168" s="336"/>
      <c r="K2168" s="222"/>
    </row>
    <row r="2169" spans="1:11" s="38" customFormat="1">
      <c r="A2169" s="111">
        <v>4436</v>
      </c>
      <c r="B2169" s="101" t="s">
        <v>2031</v>
      </c>
      <c r="C2169" s="21" t="s">
        <v>44</v>
      </c>
      <c r="D2169" s="103" t="s">
        <v>17</v>
      </c>
      <c r="E2169" s="104">
        <v>1</v>
      </c>
      <c r="F2169" s="118">
        <f>H2169</f>
        <v>126.65</v>
      </c>
      <c r="G2169" s="114">
        <f>ROUND((E2169*F2169),2)</f>
        <v>126.65</v>
      </c>
      <c r="H2169" s="336">
        <v>126.65</v>
      </c>
      <c r="I2169" s="38" t="e">
        <f>IF(A2169&lt;&gt;0,VLOOKUP(A2169,#REF!,2,FALSE),"")</f>
        <v>#REF!</v>
      </c>
      <c r="J2169" s="336"/>
      <c r="K2169" s="222"/>
    </row>
    <row r="2170" spans="1:11" s="38" customFormat="1">
      <c r="A2170" s="741" t="s">
        <v>1893</v>
      </c>
      <c r="B2170" s="742"/>
      <c r="C2170" s="742"/>
      <c r="D2170" s="742"/>
      <c r="E2170" s="742"/>
      <c r="F2170" s="743"/>
      <c r="G2170" s="107">
        <f>ROUND(SUM(G2169:G2169),2)</f>
        <v>126.65</v>
      </c>
      <c r="H2170" s="336"/>
      <c r="J2170" s="336"/>
      <c r="K2170" s="222"/>
    </row>
    <row r="2171" spans="1:11" ht="28.5" customHeight="1">
      <c r="A2171" s="121"/>
      <c r="B2171" s="122"/>
      <c r="C2171" s="121"/>
      <c r="D2171" s="121"/>
      <c r="E2171" s="121"/>
      <c r="F2171" s="123"/>
      <c r="G2171" s="121"/>
      <c r="K2171" s="222"/>
    </row>
    <row r="2172" spans="1:11" s="38" customFormat="1" ht="32.25" customHeight="1">
      <c r="A2172" s="738" t="s">
        <v>2032</v>
      </c>
      <c r="B2172" s="739"/>
      <c r="C2172" s="739"/>
      <c r="D2172" s="739"/>
      <c r="E2172" s="740"/>
      <c r="F2172" s="326" t="s">
        <v>44</v>
      </c>
      <c r="G2172" s="110">
        <v>11527</v>
      </c>
      <c r="H2172" s="336"/>
      <c r="J2172" s="336"/>
      <c r="K2172" s="222"/>
    </row>
    <row r="2173" spans="1:11" s="38" customFormat="1" ht="28.5">
      <c r="A2173" s="69" t="s">
        <v>1916</v>
      </c>
      <c r="B2173" s="230"/>
      <c r="C2173" s="69" t="s">
        <v>3</v>
      </c>
      <c r="D2173" s="69" t="s">
        <v>4</v>
      </c>
      <c r="E2173" s="69" t="s">
        <v>1826</v>
      </c>
      <c r="F2173" s="69" t="s">
        <v>367</v>
      </c>
      <c r="G2173" s="69" t="s">
        <v>368</v>
      </c>
      <c r="H2173" s="336"/>
      <c r="J2173" s="336"/>
      <c r="K2173" s="222"/>
    </row>
    <row r="2174" spans="1:11" s="38" customFormat="1" ht="30">
      <c r="A2174" s="111">
        <v>11527</v>
      </c>
      <c r="B2174" s="101" t="s">
        <v>2033</v>
      </c>
      <c r="C2174" s="21" t="s">
        <v>44</v>
      </c>
      <c r="D2174" s="103" t="s">
        <v>17</v>
      </c>
      <c r="E2174" s="104">
        <v>1</v>
      </c>
      <c r="F2174" s="113">
        <f>H2174</f>
        <v>1156.9860000000001</v>
      </c>
      <c r="G2174" s="114">
        <f>ROUND((E2174*F2174),2)</f>
        <v>1156.99</v>
      </c>
      <c r="H2174" s="336">
        <v>1156.9860000000001</v>
      </c>
      <c r="I2174" s="38" t="e">
        <f>IF(A2174&lt;&gt;0,VLOOKUP(A2174,#REF!,2,FALSE),"")</f>
        <v>#REF!</v>
      </c>
      <c r="J2174" s="336"/>
      <c r="K2174" s="222"/>
    </row>
    <row r="2175" spans="1:11" s="38" customFormat="1">
      <c r="A2175" s="735" t="s">
        <v>1893</v>
      </c>
      <c r="B2175" s="736"/>
      <c r="C2175" s="736"/>
      <c r="D2175" s="736"/>
      <c r="E2175" s="736"/>
      <c r="F2175" s="737"/>
      <c r="G2175" s="107">
        <f>ROUND(SUM(G2174:G2174),2)</f>
        <v>1156.99</v>
      </c>
      <c r="H2175" s="336"/>
      <c r="J2175" s="336"/>
      <c r="K2175" s="222"/>
    </row>
    <row r="2176" spans="1:11" ht="25.5" customHeight="1">
      <c r="A2176" s="121"/>
      <c r="B2176" s="122"/>
      <c r="C2176" s="121"/>
      <c r="D2176" s="121"/>
      <c r="E2176" s="121"/>
      <c r="F2176" s="123"/>
      <c r="G2176" s="121"/>
      <c r="K2176" s="222"/>
    </row>
    <row r="2177" spans="1:11" s="38" customFormat="1" ht="15" customHeight="1">
      <c r="A2177" s="738" t="s">
        <v>2034</v>
      </c>
      <c r="B2177" s="739"/>
      <c r="C2177" s="739"/>
      <c r="D2177" s="739"/>
      <c r="E2177" s="740"/>
      <c r="F2177" s="326" t="s">
        <v>44</v>
      </c>
      <c r="G2177" s="110">
        <v>10243</v>
      </c>
      <c r="H2177" s="336"/>
      <c r="J2177" s="336"/>
      <c r="K2177" s="222"/>
    </row>
    <row r="2178" spans="1:11" s="38" customFormat="1" ht="28.5">
      <c r="A2178" s="69" t="s">
        <v>1916</v>
      </c>
      <c r="B2178" s="230"/>
      <c r="C2178" s="69" t="s">
        <v>3</v>
      </c>
      <c r="D2178" s="69" t="s">
        <v>4</v>
      </c>
      <c r="E2178" s="69" t="s">
        <v>1826</v>
      </c>
      <c r="F2178" s="69" t="s">
        <v>367</v>
      </c>
      <c r="G2178" s="69" t="s">
        <v>368</v>
      </c>
      <c r="H2178" s="336"/>
      <c r="J2178" s="336"/>
      <c r="K2178" s="222"/>
    </row>
    <row r="2179" spans="1:11" s="38" customFormat="1" ht="30">
      <c r="A2179" s="111">
        <v>10243</v>
      </c>
      <c r="B2179" s="101" t="s">
        <v>2035</v>
      </c>
      <c r="C2179" s="21" t="s">
        <v>44</v>
      </c>
      <c r="D2179" s="103" t="s">
        <v>17</v>
      </c>
      <c r="E2179" s="104">
        <v>1</v>
      </c>
      <c r="F2179" s="118">
        <f>H2179</f>
        <v>12.75</v>
      </c>
      <c r="G2179" s="114">
        <f>ROUND((E2179*F2179),2)</f>
        <v>12.75</v>
      </c>
      <c r="H2179" s="336">
        <v>12.75</v>
      </c>
      <c r="I2179" s="38" t="e">
        <f>IF(A2179&lt;&gt;0,VLOOKUP(A2179,#REF!,2,FALSE),"")</f>
        <v>#REF!</v>
      </c>
      <c r="J2179" s="336"/>
      <c r="K2179" s="222"/>
    </row>
    <row r="2180" spans="1:11" s="38" customFormat="1">
      <c r="A2180" s="735" t="s">
        <v>1893</v>
      </c>
      <c r="B2180" s="736"/>
      <c r="C2180" s="736"/>
      <c r="D2180" s="736"/>
      <c r="E2180" s="736"/>
      <c r="F2180" s="737"/>
      <c r="G2180" s="107">
        <f>ROUND(SUM(G2179:G2179),2)</f>
        <v>12.75</v>
      </c>
      <c r="H2180" s="336"/>
      <c r="J2180" s="336"/>
      <c r="K2180" s="222"/>
    </row>
    <row r="2181" spans="1:11" ht="33" customHeight="1">
      <c r="K2181" s="222"/>
    </row>
    <row r="2182" spans="1:11" s="38" customFormat="1" ht="36" customHeight="1">
      <c r="A2182" s="749" t="s">
        <v>54</v>
      </c>
      <c r="B2182" s="750"/>
      <c r="C2182" s="750"/>
      <c r="D2182" s="750"/>
      <c r="E2182" s="751"/>
      <c r="F2182" s="172" t="s">
        <v>1914</v>
      </c>
      <c r="G2182" s="173" t="s">
        <v>2038</v>
      </c>
      <c r="H2182" s="336"/>
      <c r="I2182" s="156"/>
      <c r="J2182" s="336"/>
      <c r="K2182" s="222"/>
    </row>
    <row r="2183" spans="1:11" s="38" customFormat="1" ht="28.5">
      <c r="A2183" s="69" t="s">
        <v>1916</v>
      </c>
      <c r="B2183" s="230"/>
      <c r="C2183" s="69" t="s">
        <v>3</v>
      </c>
      <c r="D2183" s="69" t="s">
        <v>4</v>
      </c>
      <c r="E2183" s="69" t="s">
        <v>1826</v>
      </c>
      <c r="F2183" s="69" t="s">
        <v>367</v>
      </c>
      <c r="G2183" s="69" t="s">
        <v>368</v>
      </c>
      <c r="H2183" s="336"/>
      <c r="I2183" s="156"/>
      <c r="J2183" s="336"/>
      <c r="K2183" s="222"/>
    </row>
    <row r="2184" spans="1:11" s="38" customFormat="1">
      <c r="A2184" s="174">
        <v>88629</v>
      </c>
      <c r="B2184" s="101" t="e">
        <f>I2184</f>
        <v>#REF!</v>
      </c>
      <c r="C2184" s="21" t="s">
        <v>12</v>
      </c>
      <c r="D2184" s="174" t="s">
        <v>35</v>
      </c>
      <c r="E2184" s="175">
        <v>4.7999999999999996E-3</v>
      </c>
      <c r="F2184" s="118">
        <f>H2184</f>
        <v>438.04750000000001</v>
      </c>
      <c r="G2184" s="114">
        <f>ROUND((E2184*F2184),2)</f>
        <v>2.1</v>
      </c>
      <c r="H2184" s="336">
        <v>438.04750000000001</v>
      </c>
      <c r="I2184" s="38" t="e">
        <f>IF(A2184&lt;&gt;0,VLOOKUP(A2184,#REF!,2,FALSE),"")</f>
        <v>#REF!</v>
      </c>
      <c r="J2184" s="336"/>
      <c r="K2184" s="222"/>
    </row>
    <row r="2185" spans="1:11" s="38" customFormat="1">
      <c r="A2185" s="174">
        <v>665</v>
      </c>
      <c r="B2185" s="101" t="e">
        <f>I2185</f>
        <v>#REF!</v>
      </c>
      <c r="C2185" s="21" t="s">
        <v>12</v>
      </c>
      <c r="D2185" s="174" t="s">
        <v>17</v>
      </c>
      <c r="E2185" s="175">
        <v>4</v>
      </c>
      <c r="F2185" s="118">
        <f>H2185</f>
        <v>17.952000000000002</v>
      </c>
      <c r="G2185" s="114">
        <f>ROUND((E2185*F2185),2)</f>
        <v>71.81</v>
      </c>
      <c r="H2185" s="336">
        <v>17.952000000000002</v>
      </c>
      <c r="I2185" s="38" t="e">
        <f>IF(A2185&lt;&gt;0,VLOOKUP(A2185,#REF!,2,FALSE),"")</f>
        <v>#REF!</v>
      </c>
      <c r="J2185" s="336"/>
      <c r="K2185" s="222"/>
    </row>
    <row r="2186" spans="1:11" s="38" customFormat="1">
      <c r="A2186" s="176">
        <v>88316</v>
      </c>
      <c r="B2186" s="101" t="e">
        <f>I2186</f>
        <v>#REF!</v>
      </c>
      <c r="C2186" s="21" t="s">
        <v>12</v>
      </c>
      <c r="D2186" s="174" t="s">
        <v>19</v>
      </c>
      <c r="E2186" s="177">
        <v>0.85</v>
      </c>
      <c r="F2186" s="113">
        <f>H2186</f>
        <v>11.798000000000002</v>
      </c>
      <c r="G2186" s="114">
        <f>ROUND((E2186*F2186),2)</f>
        <v>10.029999999999999</v>
      </c>
      <c r="H2186" s="336">
        <v>11.798000000000002</v>
      </c>
      <c r="I2186" s="38" t="e">
        <f>IF(A2186&lt;&gt;0,VLOOKUP(A2186,#REF!,2,FALSE),"")</f>
        <v>#REF!</v>
      </c>
      <c r="J2186" s="336"/>
      <c r="K2186" s="222"/>
    </row>
    <row r="2187" spans="1:11" s="38" customFormat="1">
      <c r="A2187" s="176">
        <v>88309</v>
      </c>
      <c r="B2187" s="101" t="e">
        <f>I2187</f>
        <v>#REF!</v>
      </c>
      <c r="C2187" s="21" t="s">
        <v>12</v>
      </c>
      <c r="D2187" s="174" t="s">
        <v>19</v>
      </c>
      <c r="E2187" s="177">
        <v>0.85</v>
      </c>
      <c r="F2187" s="113">
        <f>H2187</f>
        <v>15.121499999999999</v>
      </c>
      <c r="G2187" s="114">
        <f>ROUND((E2187*F2187),2)</f>
        <v>12.85</v>
      </c>
      <c r="H2187" s="336">
        <v>15.121499999999999</v>
      </c>
      <c r="I2187" s="38" t="e">
        <f>IF(A2187&lt;&gt;0,VLOOKUP(A2187,#REF!,2,FALSE),"")</f>
        <v>#REF!</v>
      </c>
      <c r="J2187" s="336"/>
      <c r="K2187" s="222"/>
    </row>
    <row r="2188" spans="1:11" s="38" customFormat="1">
      <c r="A2188" s="741" t="s">
        <v>1893</v>
      </c>
      <c r="B2188" s="742"/>
      <c r="C2188" s="742"/>
      <c r="D2188" s="742"/>
      <c r="E2188" s="742"/>
      <c r="F2188" s="743"/>
      <c r="G2188" s="120">
        <f>ROUND(SUM(G2184:G2187),2)</f>
        <v>96.79</v>
      </c>
      <c r="H2188" s="336"/>
      <c r="I2188" s="156"/>
      <c r="J2188" s="336"/>
      <c r="K2188" s="222"/>
    </row>
    <row r="2189" spans="1:11" ht="27.75" customHeight="1">
      <c r="K2189" s="222"/>
    </row>
    <row r="2190" spans="1:11" s="38" customFormat="1" ht="38.25" customHeight="1">
      <c r="A2190" s="738" t="s">
        <v>2026</v>
      </c>
      <c r="B2190" s="739"/>
      <c r="C2190" s="739"/>
      <c r="D2190" s="739"/>
      <c r="E2190" s="740"/>
      <c r="F2190" s="326" t="s">
        <v>1914</v>
      </c>
      <c r="G2190" s="326" t="s">
        <v>2027</v>
      </c>
      <c r="H2190" s="336"/>
      <c r="I2190" s="156"/>
      <c r="J2190" s="336"/>
      <c r="K2190" s="222"/>
    </row>
    <row r="2191" spans="1:11" s="38" customFormat="1" ht="28.5">
      <c r="A2191" s="69" t="s">
        <v>1916</v>
      </c>
      <c r="B2191" s="230"/>
      <c r="C2191" s="69" t="s">
        <v>3</v>
      </c>
      <c r="D2191" s="69" t="s">
        <v>4</v>
      </c>
      <c r="E2191" s="69" t="s">
        <v>1826</v>
      </c>
      <c r="F2191" s="69" t="s">
        <v>367</v>
      </c>
      <c r="G2191" s="69" t="s">
        <v>368</v>
      </c>
      <c r="H2191" s="336"/>
      <c r="I2191" s="157"/>
      <c r="J2191" s="336"/>
      <c r="K2191" s="222"/>
    </row>
    <row r="2192" spans="1:11" s="38" customFormat="1">
      <c r="A2192" s="111">
        <v>43132</v>
      </c>
      <c r="B2192" s="178" t="e">
        <f>I2192</f>
        <v>#REF!</v>
      </c>
      <c r="C2192" s="21" t="s">
        <v>12</v>
      </c>
      <c r="D2192" s="111" t="s">
        <v>45</v>
      </c>
      <c r="E2192" s="112">
        <v>0.02</v>
      </c>
      <c r="F2192" s="113">
        <f t="shared" ref="F2192:F2197" si="112">H2192</f>
        <v>17.8415</v>
      </c>
      <c r="G2192" s="114">
        <f t="shared" ref="G2192:G2197" si="113">ROUND((E2192*F2192),2)</f>
        <v>0.36</v>
      </c>
      <c r="H2192" s="336">
        <v>17.8415</v>
      </c>
      <c r="I2192" s="38" t="e">
        <f>IF(A2192&lt;&gt;0,VLOOKUP(A2192,#REF!,2,FALSE),"")</f>
        <v>#REF!</v>
      </c>
      <c r="J2192" s="336"/>
      <c r="K2192" s="222"/>
    </row>
    <row r="2193" spans="1:11" s="38" customFormat="1">
      <c r="A2193" s="111">
        <v>4491</v>
      </c>
      <c r="B2193" s="178" t="e">
        <f>I2193</f>
        <v>#REF!</v>
      </c>
      <c r="C2193" s="21" t="s">
        <v>12</v>
      </c>
      <c r="D2193" s="111" t="s">
        <v>52</v>
      </c>
      <c r="E2193" s="112">
        <v>0.25</v>
      </c>
      <c r="F2193" s="113">
        <f t="shared" si="112"/>
        <v>5.4654999999999996</v>
      </c>
      <c r="G2193" s="114">
        <f t="shared" si="113"/>
        <v>1.37</v>
      </c>
      <c r="H2193" s="336">
        <v>5.4654999999999996</v>
      </c>
      <c r="I2193" s="38" t="e">
        <f>IF(A2193&lt;&gt;0,VLOOKUP(A2193,#REF!,2,FALSE),"")</f>
        <v>#REF!</v>
      </c>
      <c r="J2193" s="336"/>
      <c r="K2193" s="222"/>
    </row>
    <row r="2194" spans="1:11" s="38" customFormat="1">
      <c r="A2194" s="111">
        <v>5061</v>
      </c>
      <c r="B2194" s="178" t="e">
        <f>I2194</f>
        <v>#REF!</v>
      </c>
      <c r="C2194" s="21" t="s">
        <v>12</v>
      </c>
      <c r="D2194" s="111" t="s">
        <v>45</v>
      </c>
      <c r="E2194" s="112">
        <v>0.01</v>
      </c>
      <c r="F2194" s="113">
        <f t="shared" si="112"/>
        <v>15.725</v>
      </c>
      <c r="G2194" s="114">
        <f t="shared" si="113"/>
        <v>0.16</v>
      </c>
      <c r="H2194" s="336">
        <v>15.725</v>
      </c>
      <c r="I2194" s="38" t="e">
        <f>IF(A2194&lt;&gt;0,VLOOKUP(A2194,#REF!,2,FALSE),"")</f>
        <v>#REF!</v>
      </c>
      <c r="J2194" s="336"/>
      <c r="K2194" s="222"/>
    </row>
    <row r="2195" spans="1:11" s="38" customFormat="1">
      <c r="A2195" s="111">
        <v>6189</v>
      </c>
      <c r="B2195" s="178" t="e">
        <f>I2195</f>
        <v>#REF!</v>
      </c>
      <c r="C2195" s="21" t="s">
        <v>12</v>
      </c>
      <c r="D2195" s="111" t="s">
        <v>52</v>
      </c>
      <c r="E2195" s="112">
        <v>0.317</v>
      </c>
      <c r="F2195" s="113">
        <f t="shared" si="112"/>
        <v>17.527000000000001</v>
      </c>
      <c r="G2195" s="114">
        <f t="shared" si="113"/>
        <v>5.56</v>
      </c>
      <c r="H2195" s="336">
        <v>17.527000000000001</v>
      </c>
      <c r="I2195" s="38" t="e">
        <f>IF(A2195&lt;&gt;0,VLOOKUP(A2195,#REF!,2,FALSE),"")</f>
        <v>#REF!</v>
      </c>
      <c r="J2195" s="336"/>
      <c r="K2195" s="222"/>
    </row>
    <row r="2196" spans="1:11" s="38" customFormat="1" ht="30">
      <c r="A2196" s="111">
        <v>88262</v>
      </c>
      <c r="B2196" s="101" t="s">
        <v>376</v>
      </c>
      <c r="C2196" s="21" t="s">
        <v>12</v>
      </c>
      <c r="D2196" s="103" t="s">
        <v>19</v>
      </c>
      <c r="E2196" s="115">
        <v>0.13</v>
      </c>
      <c r="F2196" s="113">
        <f t="shared" si="112"/>
        <v>14.96</v>
      </c>
      <c r="G2196" s="114">
        <f t="shared" si="113"/>
        <v>1.94</v>
      </c>
      <c r="H2196" s="336">
        <v>14.96</v>
      </c>
      <c r="I2196" s="38" t="e">
        <f>IF(A2196&lt;&gt;0,VLOOKUP(A2196,#REF!,2,FALSE),"")</f>
        <v>#REF!</v>
      </c>
      <c r="J2196" s="336"/>
      <c r="K2196" s="222"/>
    </row>
    <row r="2197" spans="1:11" s="38" customFormat="1" ht="30">
      <c r="A2197" s="111">
        <v>88316</v>
      </c>
      <c r="B2197" s="101" t="s">
        <v>377</v>
      </c>
      <c r="C2197" s="21" t="s">
        <v>12</v>
      </c>
      <c r="D2197" s="103" t="s">
        <v>19</v>
      </c>
      <c r="E2197" s="115">
        <v>0.13</v>
      </c>
      <c r="F2197" s="113">
        <f t="shared" si="112"/>
        <v>11.798000000000002</v>
      </c>
      <c r="G2197" s="114">
        <f t="shared" si="113"/>
        <v>1.53</v>
      </c>
      <c r="H2197" s="336">
        <v>11.798000000000002</v>
      </c>
      <c r="I2197" s="38" t="e">
        <f>IF(A2197&lt;&gt;0,VLOOKUP(A2197,#REF!,2,FALSE),"")</f>
        <v>#REF!</v>
      </c>
      <c r="J2197" s="336"/>
      <c r="K2197" s="222"/>
    </row>
    <row r="2198" spans="1:11" s="38" customFormat="1">
      <c r="A2198" s="741" t="s">
        <v>1893</v>
      </c>
      <c r="B2198" s="742"/>
      <c r="C2198" s="742"/>
      <c r="D2198" s="742"/>
      <c r="E2198" s="742"/>
      <c r="F2198" s="743"/>
      <c r="G2198" s="107">
        <f>ROUND(SUM(G2192:G2197),2)</f>
        <v>10.92</v>
      </c>
      <c r="H2198" s="336"/>
      <c r="I2198" s="156"/>
      <c r="J2198" s="336"/>
      <c r="K2198" s="222"/>
    </row>
    <row r="2199" spans="1:11" ht="30.75" customHeight="1">
      <c r="A2199" s="121"/>
      <c r="B2199" s="122"/>
      <c r="C2199" s="121"/>
      <c r="D2199" s="121"/>
      <c r="E2199" s="121"/>
      <c r="F2199" s="123"/>
      <c r="G2199" s="121"/>
      <c r="I2199" s="24"/>
      <c r="K2199" s="222"/>
    </row>
    <row r="2200" spans="1:11" s="38" customFormat="1" ht="27.75" customHeight="1">
      <c r="A2200" s="749" t="s">
        <v>2028</v>
      </c>
      <c r="B2200" s="750"/>
      <c r="C2200" s="750"/>
      <c r="D2200" s="750"/>
      <c r="E2200" s="751"/>
      <c r="F2200" s="172" t="s">
        <v>1914</v>
      </c>
      <c r="G2200" s="173">
        <v>38770</v>
      </c>
      <c r="H2200" s="336"/>
      <c r="I2200" s="158"/>
      <c r="J2200" s="336"/>
      <c r="K2200" s="222"/>
    </row>
    <row r="2201" spans="1:11" s="38" customFormat="1" ht="28.5">
      <c r="A2201" s="69" t="s">
        <v>1916</v>
      </c>
      <c r="B2201" s="230"/>
      <c r="C2201" s="69" t="s">
        <v>3</v>
      </c>
      <c r="D2201" s="69" t="s">
        <v>4</v>
      </c>
      <c r="E2201" s="69" t="s">
        <v>1826</v>
      </c>
      <c r="F2201" s="69" t="s">
        <v>367</v>
      </c>
      <c r="G2201" s="69" t="s">
        <v>368</v>
      </c>
      <c r="H2201" s="336"/>
      <c r="I2201" s="158"/>
      <c r="J2201" s="336"/>
      <c r="K2201" s="222"/>
    </row>
    <row r="2202" spans="1:11" s="38" customFormat="1">
      <c r="A2202" s="174">
        <v>38194</v>
      </c>
      <c r="B2202" s="101" t="e">
        <f>I2202</f>
        <v>#REF!</v>
      </c>
      <c r="C2202" s="21" t="s">
        <v>12</v>
      </c>
      <c r="D2202" s="174" t="s">
        <v>1959</v>
      </c>
      <c r="E2202" s="175">
        <v>2</v>
      </c>
      <c r="F2202" s="113">
        <f>H2202</f>
        <v>9.2650000000000006</v>
      </c>
      <c r="G2202" s="119">
        <f>ROUND((E2202*F2202),2)</f>
        <v>18.53</v>
      </c>
      <c r="H2202" s="336">
        <v>9.2650000000000006</v>
      </c>
      <c r="I2202" s="38" t="e">
        <f>IF(A2202&lt;&gt;0,VLOOKUP(A2202,#REF!,2,FALSE),"")</f>
        <v>#REF!</v>
      </c>
      <c r="J2202" s="336"/>
      <c r="K2202" s="222"/>
    </row>
    <row r="2203" spans="1:11" s="38" customFormat="1">
      <c r="A2203" s="174">
        <v>12296</v>
      </c>
      <c r="B2203" s="101" t="e">
        <f>I2203</f>
        <v>#REF!</v>
      </c>
      <c r="C2203" s="21" t="s">
        <v>12</v>
      </c>
      <c r="D2203" s="174" t="s">
        <v>1959</v>
      </c>
      <c r="E2203" s="175">
        <v>2</v>
      </c>
      <c r="F2203" s="113">
        <f>H2203</f>
        <v>2.7454999999999998</v>
      </c>
      <c r="G2203" s="119">
        <f>ROUND((E2203*F2203),2)</f>
        <v>5.49</v>
      </c>
      <c r="H2203" s="336">
        <v>2.7454999999999998</v>
      </c>
      <c r="I2203" s="38" t="e">
        <f>IF(A2203&lt;&gt;0,VLOOKUP(A2203,#REF!,2,FALSE),"")</f>
        <v>#REF!</v>
      </c>
      <c r="J2203" s="336"/>
      <c r="K2203" s="222"/>
    </row>
    <row r="2204" spans="1:11" s="38" customFormat="1">
      <c r="A2204" s="174">
        <v>38770</v>
      </c>
      <c r="B2204" s="101" t="e">
        <f>I2204</f>
        <v>#REF!</v>
      </c>
      <c r="C2204" s="21" t="s">
        <v>12</v>
      </c>
      <c r="D2204" s="174" t="s">
        <v>1959</v>
      </c>
      <c r="E2204" s="175">
        <v>1</v>
      </c>
      <c r="F2204" s="113">
        <f>H2204</f>
        <v>37.663499999999999</v>
      </c>
      <c r="G2204" s="114">
        <f>ROUND((E2204*F2204),2)</f>
        <v>37.659999999999997</v>
      </c>
      <c r="H2204" s="336">
        <v>37.663499999999999</v>
      </c>
      <c r="I2204" s="38" t="e">
        <f>IF(A2204&lt;&gt;0,VLOOKUP(A2204,#REF!,2,FALSE),"")</f>
        <v>#REF!</v>
      </c>
      <c r="J2204" s="336"/>
      <c r="K2204" s="222"/>
    </row>
    <row r="2205" spans="1:11" s="38" customFormat="1" ht="30">
      <c r="A2205" s="174">
        <v>88247</v>
      </c>
      <c r="B2205" s="101" t="s">
        <v>510</v>
      </c>
      <c r="C2205" s="21" t="s">
        <v>12</v>
      </c>
      <c r="D2205" s="174" t="s">
        <v>19</v>
      </c>
      <c r="E2205" s="175">
        <v>0.5</v>
      </c>
      <c r="F2205" s="113">
        <f>H2205</f>
        <v>11.9085</v>
      </c>
      <c r="G2205" s="114">
        <f>ROUND((E2205*F2205),2)</f>
        <v>5.95</v>
      </c>
      <c r="H2205" s="336">
        <v>11.9085</v>
      </c>
      <c r="I2205" s="38" t="e">
        <f>IF(A2205&lt;&gt;0,VLOOKUP(A2205,#REF!,2,FALSE),"")</f>
        <v>#REF!</v>
      </c>
      <c r="J2205" s="336"/>
      <c r="K2205" s="222"/>
    </row>
    <row r="2206" spans="1:11" s="38" customFormat="1" ht="30">
      <c r="A2206" s="174">
        <v>88264</v>
      </c>
      <c r="B2206" s="101" t="s">
        <v>379</v>
      </c>
      <c r="C2206" s="21" t="s">
        <v>12</v>
      </c>
      <c r="D2206" s="174" t="s">
        <v>19</v>
      </c>
      <c r="E2206" s="175">
        <v>0.5</v>
      </c>
      <c r="F2206" s="113">
        <f>H2206</f>
        <v>15.249000000000001</v>
      </c>
      <c r="G2206" s="114">
        <f>ROUND((E2206*F2206),2)</f>
        <v>7.62</v>
      </c>
      <c r="H2206" s="336">
        <v>15.249000000000001</v>
      </c>
      <c r="I2206" s="38" t="e">
        <f>IF(A2206&lt;&gt;0,VLOOKUP(A2206,#REF!,2,FALSE),"")</f>
        <v>#REF!</v>
      </c>
      <c r="J2206" s="336"/>
      <c r="K2206" s="222"/>
    </row>
    <row r="2207" spans="1:11" s="38" customFormat="1">
      <c r="A2207" s="741" t="s">
        <v>1893</v>
      </c>
      <c r="B2207" s="742"/>
      <c r="C2207" s="742"/>
      <c r="D2207" s="742"/>
      <c r="E2207" s="742"/>
      <c r="F2207" s="743"/>
      <c r="G2207" s="120">
        <f>ROUND(SUM(G2202:G2206),2)</f>
        <v>75.25</v>
      </c>
      <c r="H2207" s="336"/>
      <c r="I2207" s="158"/>
      <c r="J2207" s="336"/>
      <c r="K2207" s="222"/>
    </row>
    <row r="2208" spans="1:11" ht="28.5" customHeight="1">
      <c r="K2208" s="222"/>
    </row>
    <row r="2209" spans="1:11" s="38" customFormat="1" ht="15" customHeight="1">
      <c r="A2209" s="738" t="s">
        <v>2023</v>
      </c>
      <c r="B2209" s="739"/>
      <c r="C2209" s="739"/>
      <c r="D2209" s="739"/>
      <c r="E2209" s="740"/>
      <c r="F2209" s="326" t="s">
        <v>44</v>
      </c>
      <c r="G2209" s="110">
        <v>12042</v>
      </c>
      <c r="H2209" s="336"/>
      <c r="I2209" s="156"/>
      <c r="J2209" s="336"/>
      <c r="K2209" s="222"/>
    </row>
    <row r="2210" spans="1:11" s="38" customFormat="1" ht="28.5">
      <c r="A2210" s="69" t="s">
        <v>1916</v>
      </c>
      <c r="B2210" s="230"/>
      <c r="C2210" s="69" t="s">
        <v>3</v>
      </c>
      <c r="D2210" s="69" t="s">
        <v>4</v>
      </c>
      <c r="E2210" s="69" t="s">
        <v>1826</v>
      </c>
      <c r="F2210" s="69" t="s">
        <v>367</v>
      </c>
      <c r="G2210" s="69" t="s">
        <v>368</v>
      </c>
      <c r="H2210" s="336"/>
      <c r="I2210" s="156"/>
      <c r="J2210" s="336"/>
      <c r="K2210" s="222"/>
    </row>
    <row r="2211" spans="1:11" s="38" customFormat="1">
      <c r="A2211" s="111">
        <v>4875</v>
      </c>
      <c r="B2211" s="101" t="s">
        <v>2024</v>
      </c>
      <c r="C2211" s="21" t="s">
        <v>44</v>
      </c>
      <c r="D2211" s="103" t="s">
        <v>17</v>
      </c>
      <c r="E2211" s="179">
        <v>1</v>
      </c>
      <c r="F2211" s="113">
        <f>H2211</f>
        <v>63.894500000000001</v>
      </c>
      <c r="G2211" s="114">
        <f>ROUND((E2211*F2211),2)</f>
        <v>63.89</v>
      </c>
      <c r="H2211" s="336">
        <v>63.894500000000001</v>
      </c>
      <c r="I2211" s="38" t="e">
        <f>IF(A2211&lt;&gt;0,VLOOKUP(A2211,#REF!,2,FALSE),"")</f>
        <v>#REF!</v>
      </c>
      <c r="J2211" s="336"/>
      <c r="K2211" s="222"/>
    </row>
    <row r="2212" spans="1:11" s="38" customFormat="1">
      <c r="A2212" s="111">
        <v>88309</v>
      </c>
      <c r="B2212" s="178" t="e">
        <f>I2212</f>
        <v>#REF!</v>
      </c>
      <c r="C2212" s="21" t="s">
        <v>12</v>
      </c>
      <c r="D2212" s="103" t="s">
        <v>19</v>
      </c>
      <c r="E2212" s="168">
        <v>0.25</v>
      </c>
      <c r="F2212" s="113">
        <f>H2212</f>
        <v>15.121499999999999</v>
      </c>
      <c r="G2212" s="114">
        <f>ROUND((E2212*F2212),2)</f>
        <v>3.78</v>
      </c>
      <c r="H2212" s="336">
        <v>15.121499999999999</v>
      </c>
      <c r="I2212" s="38" t="e">
        <f>IF(A2212&lt;&gt;0,VLOOKUP(A2212,#REF!,2,FALSE),"")</f>
        <v>#REF!</v>
      </c>
      <c r="J2212" s="336"/>
      <c r="K2212" s="222"/>
    </row>
    <row r="2213" spans="1:11" s="38" customFormat="1">
      <c r="A2213" s="735" t="s">
        <v>1893</v>
      </c>
      <c r="B2213" s="736"/>
      <c r="C2213" s="736"/>
      <c r="D2213" s="736"/>
      <c r="E2213" s="736"/>
      <c r="F2213" s="737"/>
      <c r="G2213" s="107">
        <f>ROUND(SUM(G2211:G2212),2)</f>
        <v>67.67</v>
      </c>
      <c r="H2213" s="336"/>
      <c r="I2213" s="156"/>
      <c r="J2213" s="336"/>
      <c r="K2213" s="222"/>
    </row>
    <row r="2214" spans="1:11" ht="24.75" customHeight="1">
      <c r="A2214" s="121"/>
      <c r="B2214" s="122"/>
      <c r="C2214" s="121"/>
      <c r="D2214" s="121"/>
      <c r="E2214" s="121"/>
      <c r="F2214" s="123"/>
      <c r="G2214" s="121"/>
      <c r="I2214" s="24"/>
      <c r="K2214" s="222"/>
    </row>
    <row r="2215" spans="1:11" s="38" customFormat="1" ht="15" customHeight="1">
      <c r="A2215" s="738" t="s">
        <v>2025</v>
      </c>
      <c r="B2215" s="739"/>
      <c r="C2215" s="739"/>
      <c r="D2215" s="739"/>
      <c r="E2215" s="740"/>
      <c r="F2215" s="326" t="s">
        <v>44</v>
      </c>
      <c r="G2215" s="110">
        <v>12043</v>
      </c>
      <c r="H2215" s="336"/>
      <c r="I2215" s="156"/>
      <c r="J2215" s="336"/>
      <c r="K2215" s="222"/>
    </row>
    <row r="2216" spans="1:11" s="38" customFormat="1" ht="28.5">
      <c r="A2216" s="69" t="s">
        <v>1916</v>
      </c>
      <c r="B2216" s="230"/>
      <c r="C2216" s="69" t="s">
        <v>3</v>
      </c>
      <c r="D2216" s="69" t="s">
        <v>4</v>
      </c>
      <c r="E2216" s="69" t="s">
        <v>1826</v>
      </c>
      <c r="F2216" s="69" t="s">
        <v>367</v>
      </c>
      <c r="G2216" s="69" t="s">
        <v>368</v>
      </c>
      <c r="H2216" s="336"/>
      <c r="I2216" s="156"/>
      <c r="J2216" s="336"/>
      <c r="K2216" s="222"/>
    </row>
    <row r="2217" spans="1:11" s="38" customFormat="1" ht="30">
      <c r="A2217" s="111">
        <v>10853</v>
      </c>
      <c r="B2217" s="101" t="s">
        <v>628</v>
      </c>
      <c r="C2217" s="21" t="s">
        <v>12</v>
      </c>
      <c r="D2217" s="103" t="s">
        <v>17</v>
      </c>
      <c r="E2217" s="179">
        <v>1</v>
      </c>
      <c r="F2217" s="113">
        <f>H2217</f>
        <v>54.280999999999999</v>
      </c>
      <c r="G2217" s="114">
        <f>ROUND((E2217*F2217),2)</f>
        <v>54.28</v>
      </c>
      <c r="H2217" s="336">
        <v>54.280999999999999</v>
      </c>
      <c r="I2217" s="38" t="e">
        <f>IF(A2217&lt;&gt;0,VLOOKUP(A2217,#REF!,2,FALSE),"")</f>
        <v>#REF!</v>
      </c>
      <c r="J2217" s="336"/>
      <c r="K2217" s="222"/>
    </row>
    <row r="2218" spans="1:11" s="38" customFormat="1">
      <c r="A2218" s="111">
        <v>88309</v>
      </c>
      <c r="B2218" s="178" t="e">
        <f>I2218</f>
        <v>#REF!</v>
      </c>
      <c r="C2218" s="21" t="s">
        <v>12</v>
      </c>
      <c r="D2218" s="103" t="s">
        <v>19</v>
      </c>
      <c r="E2218" s="168">
        <v>0.25</v>
      </c>
      <c r="F2218" s="113">
        <f>H2218</f>
        <v>15.121499999999999</v>
      </c>
      <c r="G2218" s="114">
        <f>ROUND((E2218*F2218),2)</f>
        <v>3.78</v>
      </c>
      <c r="H2218" s="336">
        <v>15.121499999999999</v>
      </c>
      <c r="I2218" s="38" t="e">
        <f>IF(A2218&lt;&gt;0,VLOOKUP(A2218,#REF!,2,FALSE),"")</f>
        <v>#REF!</v>
      </c>
      <c r="J2218" s="336"/>
      <c r="K2218" s="222"/>
    </row>
    <row r="2219" spans="1:11" s="38" customFormat="1">
      <c r="A2219" s="741" t="s">
        <v>1893</v>
      </c>
      <c r="B2219" s="742"/>
      <c r="C2219" s="742"/>
      <c r="D2219" s="742"/>
      <c r="E2219" s="742"/>
      <c r="F2219" s="743"/>
      <c r="G2219" s="107">
        <f>ROUND(SUM(G2217:G2218),2)</f>
        <v>58.06</v>
      </c>
      <c r="H2219" s="336"/>
      <c r="I2219" s="156"/>
      <c r="J2219" s="336"/>
      <c r="K2219" s="222"/>
    </row>
    <row r="2220" spans="1:11" ht="24" customHeight="1">
      <c r="K2220" s="222"/>
    </row>
    <row r="2221" spans="1:11" s="38" customFormat="1" ht="28.5" customHeight="1">
      <c r="A2221" s="738" t="s">
        <v>2018</v>
      </c>
      <c r="B2221" s="739"/>
      <c r="C2221" s="739"/>
      <c r="D2221" s="739"/>
      <c r="E2221" s="740"/>
      <c r="F2221" s="326" t="s">
        <v>1914</v>
      </c>
      <c r="G2221" s="110" t="s">
        <v>2494</v>
      </c>
      <c r="H2221" s="336"/>
      <c r="I2221" s="156"/>
      <c r="J2221" s="336"/>
      <c r="K2221" s="222"/>
    </row>
    <row r="2222" spans="1:11" s="38" customFormat="1" ht="28.5">
      <c r="A2222" s="69" t="s">
        <v>1916</v>
      </c>
      <c r="B2222" s="230"/>
      <c r="C2222" s="69" t="s">
        <v>3</v>
      </c>
      <c r="D2222" s="69" t="s">
        <v>4</v>
      </c>
      <c r="E2222" s="69" t="s">
        <v>1826</v>
      </c>
      <c r="F2222" s="69" t="s">
        <v>367</v>
      </c>
      <c r="G2222" s="69" t="s">
        <v>368</v>
      </c>
      <c r="H2222" s="336"/>
      <c r="I2222" s="156"/>
      <c r="J2222" s="336"/>
      <c r="K2222" s="222"/>
    </row>
    <row r="2223" spans="1:11" s="38" customFormat="1" ht="45">
      <c r="A2223" s="102" t="s">
        <v>2015</v>
      </c>
      <c r="B2223" s="171" t="s">
        <v>2019</v>
      </c>
      <c r="C2223" s="21" t="s">
        <v>1919</v>
      </c>
      <c r="D2223" s="92" t="s">
        <v>238</v>
      </c>
      <c r="E2223" s="124">
        <v>1</v>
      </c>
      <c r="F2223" s="165">
        <f t="shared" ref="F2223:F2228" si="114">H2223</f>
        <v>2232.27</v>
      </c>
      <c r="G2223" s="119">
        <f t="shared" ref="G2223:G2228" si="115">ROUND((E2223*F2223),2)</f>
        <v>2232.27</v>
      </c>
      <c r="H2223" s="336">
        <v>2232.27</v>
      </c>
      <c r="I2223" s="156"/>
      <c r="J2223" s="336"/>
      <c r="K2223" s="222"/>
    </row>
    <row r="2224" spans="1:11" s="38" customFormat="1" ht="45">
      <c r="A2224" s="102" t="s">
        <v>2016</v>
      </c>
      <c r="B2224" s="171" t="s">
        <v>2019</v>
      </c>
      <c r="C2224" s="21" t="s">
        <v>1919</v>
      </c>
      <c r="D2224" s="92" t="s">
        <v>238</v>
      </c>
      <c r="E2224" s="124">
        <v>1</v>
      </c>
      <c r="F2224" s="165">
        <f t="shared" si="114"/>
        <v>2431.9775</v>
      </c>
      <c r="G2224" s="119">
        <f t="shared" si="115"/>
        <v>2431.98</v>
      </c>
      <c r="H2224" s="336">
        <v>2431.9775</v>
      </c>
      <c r="I2224" s="156"/>
      <c r="J2224" s="336"/>
      <c r="K2224" s="222"/>
    </row>
    <row r="2225" spans="1:11" s="38" customFormat="1" ht="45">
      <c r="A2225" s="102" t="s">
        <v>2017</v>
      </c>
      <c r="B2225" s="171" t="s">
        <v>2019</v>
      </c>
      <c r="C2225" s="21" t="s">
        <v>1919</v>
      </c>
      <c r="D2225" s="92" t="s">
        <v>238</v>
      </c>
      <c r="E2225" s="124">
        <v>1</v>
      </c>
      <c r="F2225" s="165">
        <f t="shared" si="114"/>
        <v>2480.3000000000002</v>
      </c>
      <c r="G2225" s="119">
        <f t="shared" si="115"/>
        <v>2480.3000000000002</v>
      </c>
      <c r="H2225" s="336">
        <v>2480.3000000000002</v>
      </c>
      <c r="I2225" s="156"/>
      <c r="J2225" s="336"/>
      <c r="K2225" s="222"/>
    </row>
    <row r="2226" spans="1:11" s="38" customFormat="1">
      <c r="A2226" s="102" t="s">
        <v>2015</v>
      </c>
      <c r="B2226" s="180" t="s">
        <v>2020</v>
      </c>
      <c r="C2226" s="21" t="s">
        <v>1919</v>
      </c>
      <c r="D2226" s="92" t="s">
        <v>238</v>
      </c>
      <c r="E2226" s="124">
        <v>1</v>
      </c>
      <c r="F2226" s="165">
        <f t="shared" si="114"/>
        <v>689.82600000000002</v>
      </c>
      <c r="G2226" s="119">
        <f t="shared" si="115"/>
        <v>689.83</v>
      </c>
      <c r="H2226" s="336">
        <v>689.82600000000002</v>
      </c>
      <c r="I2226" s="156"/>
      <c r="J2226" s="336"/>
      <c r="K2226" s="222"/>
    </row>
    <row r="2227" spans="1:11" s="38" customFormat="1">
      <c r="A2227" s="102" t="s">
        <v>2016</v>
      </c>
      <c r="B2227" s="180" t="s">
        <v>2020</v>
      </c>
      <c r="C2227" s="21" t="s">
        <v>1919</v>
      </c>
      <c r="D2227" s="92" t="s">
        <v>238</v>
      </c>
      <c r="E2227" s="124">
        <v>1</v>
      </c>
      <c r="F2227" s="165">
        <f t="shared" si="114"/>
        <v>594.91499999999996</v>
      </c>
      <c r="G2227" s="119">
        <f t="shared" si="115"/>
        <v>594.91999999999996</v>
      </c>
      <c r="H2227" s="336">
        <v>594.91499999999996</v>
      </c>
      <c r="I2227" s="156"/>
      <c r="J2227" s="336"/>
      <c r="K2227" s="222"/>
    </row>
    <row r="2228" spans="1:11" s="38" customFormat="1">
      <c r="A2228" s="174">
        <v>88264</v>
      </c>
      <c r="B2228" s="164" t="s">
        <v>379</v>
      </c>
      <c r="C2228" s="21" t="s">
        <v>12</v>
      </c>
      <c r="D2228" s="92" t="s">
        <v>19</v>
      </c>
      <c r="E2228" s="124">
        <v>1</v>
      </c>
      <c r="F2228" s="113">
        <f t="shared" si="114"/>
        <v>15.249000000000001</v>
      </c>
      <c r="G2228" s="114">
        <f t="shared" si="115"/>
        <v>15.25</v>
      </c>
      <c r="H2228" s="336">
        <v>15.249000000000001</v>
      </c>
      <c r="I2228" s="38" t="e">
        <f>IF(A2228&lt;&gt;0,VLOOKUP(A2228,#REF!,2,FALSE),"")</f>
        <v>#REF!</v>
      </c>
      <c r="J2228" s="336"/>
      <c r="K2228" s="222"/>
    </row>
    <row r="2229" spans="1:11" s="38" customFormat="1">
      <c r="A2229" s="741" t="s">
        <v>1893</v>
      </c>
      <c r="B2229" s="742"/>
      <c r="C2229" s="742"/>
      <c r="D2229" s="742"/>
      <c r="E2229" s="742"/>
      <c r="F2229" s="743"/>
      <c r="G2229" s="120">
        <f>ROUND(G2228+AVERAGE(G2223:G2225)+AVERAGE(G2226:G2227),2)</f>
        <v>3039.14</v>
      </c>
      <c r="H2229" s="336"/>
      <c r="I2229" s="156"/>
      <c r="J2229" s="336"/>
      <c r="K2229" s="222"/>
    </row>
    <row r="2230" spans="1:11" ht="25.5" customHeight="1">
      <c r="K2230" s="222"/>
    </row>
    <row r="2231" spans="1:11" s="38" customFormat="1" ht="25.5" customHeight="1">
      <c r="A2231" s="745" t="s">
        <v>1956</v>
      </c>
      <c r="B2231" s="745"/>
      <c r="C2231" s="745"/>
      <c r="D2231" s="745"/>
      <c r="E2231" s="745"/>
      <c r="F2231" s="326" t="s">
        <v>1914</v>
      </c>
      <c r="G2231" s="116" t="s">
        <v>2446</v>
      </c>
      <c r="H2231" s="336"/>
      <c r="I2231" s="156"/>
      <c r="J2231" s="336"/>
      <c r="K2231" s="222"/>
    </row>
    <row r="2232" spans="1:11" s="38" customFormat="1" ht="28.5">
      <c r="A2232" s="69" t="s">
        <v>1916</v>
      </c>
      <c r="B2232" s="230"/>
      <c r="C2232" s="69" t="s">
        <v>3</v>
      </c>
      <c r="D2232" s="69" t="s">
        <v>4</v>
      </c>
      <c r="E2232" s="69" t="s">
        <v>1826</v>
      </c>
      <c r="F2232" s="69" t="s">
        <v>367</v>
      </c>
      <c r="G2232" s="69" t="s">
        <v>368</v>
      </c>
      <c r="H2232" s="336"/>
      <c r="I2232" s="156"/>
      <c r="J2232" s="336"/>
      <c r="K2232" s="222"/>
    </row>
    <row r="2233" spans="1:11" s="38" customFormat="1" ht="30">
      <c r="A2233" s="92">
        <v>38091</v>
      </c>
      <c r="B2233" s="171" t="s">
        <v>1957</v>
      </c>
      <c r="C2233" s="21" t="s">
        <v>12</v>
      </c>
      <c r="D2233" s="92" t="s">
        <v>238</v>
      </c>
      <c r="E2233" s="117">
        <v>1</v>
      </c>
      <c r="F2233" s="118">
        <f>H2233</f>
        <v>2.0145</v>
      </c>
      <c r="G2233" s="114">
        <f>ROUND((E2233*F2233),2)</f>
        <v>2.0099999999999998</v>
      </c>
      <c r="H2233" s="336">
        <v>2.0145</v>
      </c>
      <c r="I2233" s="38" t="e">
        <f>IF(A2233&lt;&gt;0,VLOOKUP(A2233,#REF!,2,FALSE),"")</f>
        <v>#REF!</v>
      </c>
      <c r="J2233" s="336"/>
      <c r="K2233" s="222"/>
    </row>
    <row r="2234" spans="1:11" s="38" customFormat="1" ht="30">
      <c r="A2234" s="92">
        <v>1872</v>
      </c>
      <c r="B2234" s="171" t="s">
        <v>1939</v>
      </c>
      <c r="C2234" s="21" t="s">
        <v>12</v>
      </c>
      <c r="D2234" s="92" t="s">
        <v>238</v>
      </c>
      <c r="E2234" s="117">
        <v>1</v>
      </c>
      <c r="F2234" s="118">
        <f>H2234</f>
        <v>1.7510000000000001</v>
      </c>
      <c r="G2234" s="114">
        <f>ROUND((E2234*F2234),2)</f>
        <v>1.75</v>
      </c>
      <c r="H2234" s="336">
        <v>1.7510000000000001</v>
      </c>
      <c r="I2234" s="38" t="e">
        <f>IF(A2234&lt;&gt;0,VLOOKUP(A2234,#REF!,2,FALSE),"")</f>
        <v>#REF!</v>
      </c>
      <c r="J2234" s="336"/>
      <c r="K2234" s="222"/>
    </row>
    <row r="2235" spans="1:11" s="38" customFormat="1" ht="30">
      <c r="A2235" s="92">
        <v>10243</v>
      </c>
      <c r="B2235" s="171" t="s">
        <v>1958</v>
      </c>
      <c r="C2235" s="21" t="s">
        <v>44</v>
      </c>
      <c r="D2235" s="92" t="s">
        <v>238</v>
      </c>
      <c r="E2235" s="117">
        <v>1</v>
      </c>
      <c r="F2235" s="118">
        <f>H2235</f>
        <v>12.75</v>
      </c>
      <c r="G2235" s="114">
        <f>ROUND((E2235*F2235),2)</f>
        <v>12.75</v>
      </c>
      <c r="H2235" s="336">
        <v>12.75</v>
      </c>
      <c r="I2235" s="38" t="e">
        <f>IF(A2235&lt;&gt;0,VLOOKUP(A2235,#REF!,2,FALSE),"")</f>
        <v>#REF!</v>
      </c>
      <c r="J2235" s="336"/>
      <c r="K2235" s="222"/>
    </row>
    <row r="2236" spans="1:11" s="38" customFormat="1" ht="30">
      <c r="A2236" s="92">
        <v>88316</v>
      </c>
      <c r="B2236" s="171" t="s">
        <v>377</v>
      </c>
      <c r="C2236" s="21" t="s">
        <v>12</v>
      </c>
      <c r="D2236" s="92" t="s">
        <v>19</v>
      </c>
      <c r="E2236" s="117">
        <v>0.7</v>
      </c>
      <c r="F2236" s="113">
        <f>H2236</f>
        <v>11.798000000000002</v>
      </c>
      <c r="G2236" s="114">
        <f>ROUND((E2236*F2236),2)</f>
        <v>8.26</v>
      </c>
      <c r="H2236" s="336">
        <v>11.798000000000002</v>
      </c>
      <c r="I2236" s="38" t="e">
        <f>IF(A2236&lt;&gt;0,VLOOKUP(A2236,#REF!,2,FALSE),"")</f>
        <v>#REF!</v>
      </c>
      <c r="J2236" s="336"/>
      <c r="K2236" s="222"/>
    </row>
    <row r="2237" spans="1:11" s="38" customFormat="1">
      <c r="A2237" s="92">
        <v>88264</v>
      </c>
      <c r="B2237" s="171" t="e">
        <f>I2237</f>
        <v>#REF!</v>
      </c>
      <c r="C2237" s="21" t="s">
        <v>12</v>
      </c>
      <c r="D2237" s="92" t="s">
        <v>19</v>
      </c>
      <c r="E2237" s="117">
        <v>0.7</v>
      </c>
      <c r="F2237" s="113">
        <f>H2237</f>
        <v>15.249000000000001</v>
      </c>
      <c r="G2237" s="114">
        <f>ROUND((E2237*F2237),2)</f>
        <v>10.67</v>
      </c>
      <c r="H2237" s="336">
        <v>15.249000000000001</v>
      </c>
      <c r="I2237" s="38" t="e">
        <f>IF(A2237&lt;&gt;0,VLOOKUP(A2237,#REF!,2,FALSE),"")</f>
        <v>#REF!</v>
      </c>
      <c r="J2237" s="336"/>
      <c r="K2237" s="222"/>
    </row>
    <row r="2238" spans="1:11" s="38" customFormat="1">
      <c r="A2238" s="741" t="s">
        <v>1893</v>
      </c>
      <c r="B2238" s="742"/>
      <c r="C2238" s="742"/>
      <c r="D2238" s="742"/>
      <c r="E2238" s="742"/>
      <c r="F2238" s="743"/>
      <c r="G2238" s="107">
        <f>ROUND(SUM(G2233:G2237),2)</f>
        <v>35.44</v>
      </c>
      <c r="H2238" s="336"/>
      <c r="I2238" s="156"/>
      <c r="J2238" s="336"/>
      <c r="K2238" s="222"/>
    </row>
    <row r="2239" spans="1:11" ht="22.5" customHeight="1">
      <c r="K2239" s="222"/>
    </row>
    <row r="2240" spans="1:11" s="38" customFormat="1">
      <c r="A2240" s="745" t="s">
        <v>2021</v>
      </c>
      <c r="B2240" s="745"/>
      <c r="C2240" s="745"/>
      <c r="D2240" s="745"/>
      <c r="E2240" s="745"/>
      <c r="F2240" s="326" t="s">
        <v>44</v>
      </c>
      <c r="G2240" s="110">
        <v>11173</v>
      </c>
      <c r="H2240" s="336"/>
      <c r="I2240" s="156"/>
      <c r="J2240" s="336"/>
      <c r="K2240" s="222"/>
    </row>
    <row r="2241" spans="1:11" s="38" customFormat="1" ht="28.5">
      <c r="A2241" s="744" t="s">
        <v>1915</v>
      </c>
      <c r="B2241" s="744"/>
      <c r="C2241" s="325" t="s">
        <v>1916</v>
      </c>
      <c r="D2241" s="325" t="s">
        <v>1892</v>
      </c>
      <c r="E2241" s="181" t="s">
        <v>1917</v>
      </c>
      <c r="F2241" s="182" t="s">
        <v>372</v>
      </c>
      <c r="G2241" s="182" t="s">
        <v>1893</v>
      </c>
      <c r="H2241" s="336"/>
      <c r="I2241" s="156"/>
      <c r="J2241" s="336"/>
      <c r="K2241" s="222"/>
    </row>
    <row r="2242" spans="1:11" s="38" customFormat="1">
      <c r="A2242" s="92">
        <v>7123</v>
      </c>
      <c r="B2242" s="183" t="s">
        <v>2022</v>
      </c>
      <c r="C2242" s="21" t="s">
        <v>44</v>
      </c>
      <c r="D2242" s="92" t="s">
        <v>17</v>
      </c>
      <c r="E2242" s="117">
        <v>1</v>
      </c>
      <c r="F2242" s="113">
        <f>H2242</f>
        <v>2118.9225000000001</v>
      </c>
      <c r="G2242" s="127">
        <f>ROUND(E2242*F2242,2)</f>
        <v>2118.92</v>
      </c>
      <c r="H2242" s="336">
        <v>2118.9225000000001</v>
      </c>
      <c r="I2242" s="38" t="e">
        <f>IF(A2242&lt;&gt;0,VLOOKUP(A2242,#REF!,2,FALSE),"")</f>
        <v>#REF!</v>
      </c>
      <c r="J2242" s="336"/>
      <c r="K2242" s="222"/>
    </row>
    <row r="2243" spans="1:11" s="38" customFormat="1" ht="30">
      <c r="A2243" s="92">
        <v>88264</v>
      </c>
      <c r="B2243" s="183" t="s">
        <v>379</v>
      </c>
      <c r="C2243" s="21" t="s">
        <v>12</v>
      </c>
      <c r="D2243" s="92" t="s">
        <v>19</v>
      </c>
      <c r="E2243" s="117">
        <v>1</v>
      </c>
      <c r="F2243" s="113">
        <f>H2243</f>
        <v>15.249000000000001</v>
      </c>
      <c r="G2243" s="127">
        <f>ROUND(E2243*F2243,2)</f>
        <v>15.25</v>
      </c>
      <c r="H2243" s="336">
        <v>15.249000000000001</v>
      </c>
      <c r="I2243" s="38" t="e">
        <f>IF(A2243&lt;&gt;0,VLOOKUP(A2243,#REF!,2,FALSE),"")</f>
        <v>#REF!</v>
      </c>
      <c r="J2243" s="336"/>
      <c r="K2243" s="222"/>
    </row>
    <row r="2244" spans="1:11" s="38" customFormat="1" ht="30">
      <c r="A2244" s="92">
        <v>88267</v>
      </c>
      <c r="B2244" s="183" t="s">
        <v>472</v>
      </c>
      <c r="C2244" s="21" t="s">
        <v>12</v>
      </c>
      <c r="D2244" s="92" t="s">
        <v>19</v>
      </c>
      <c r="E2244" s="117">
        <v>1</v>
      </c>
      <c r="F2244" s="113">
        <f>H2244</f>
        <v>14.7135</v>
      </c>
      <c r="G2244" s="127">
        <f>ROUND(E2244*F2244,2)</f>
        <v>14.71</v>
      </c>
      <c r="H2244" s="336">
        <v>14.7135</v>
      </c>
      <c r="I2244" s="38" t="e">
        <f>IF(A2244&lt;&gt;0,VLOOKUP(A2244,#REF!,2,FALSE),"")</f>
        <v>#REF!</v>
      </c>
      <c r="J2244" s="336"/>
      <c r="K2244" s="222"/>
    </row>
    <row r="2245" spans="1:11" s="38" customFormat="1" ht="30">
      <c r="A2245" s="92">
        <v>88316</v>
      </c>
      <c r="B2245" s="183" t="s">
        <v>377</v>
      </c>
      <c r="C2245" s="21" t="s">
        <v>12</v>
      </c>
      <c r="D2245" s="92" t="s">
        <v>19</v>
      </c>
      <c r="E2245" s="117">
        <v>2</v>
      </c>
      <c r="F2245" s="113">
        <f>H2245</f>
        <v>11.798000000000002</v>
      </c>
      <c r="G2245" s="127">
        <f>ROUND(E2245*F2245,2)</f>
        <v>23.6</v>
      </c>
      <c r="H2245" s="336">
        <v>11.798000000000002</v>
      </c>
      <c r="I2245" s="38" t="e">
        <f>IF(A2245&lt;&gt;0,VLOOKUP(A2245,#REF!,2,FALSE),"")</f>
        <v>#REF!</v>
      </c>
      <c r="J2245" s="336"/>
      <c r="K2245" s="222"/>
    </row>
    <row r="2246" spans="1:11" s="38" customFormat="1">
      <c r="A2246" s="741" t="s">
        <v>1893</v>
      </c>
      <c r="B2246" s="742"/>
      <c r="C2246" s="742"/>
      <c r="D2246" s="742"/>
      <c r="E2246" s="742"/>
      <c r="F2246" s="743"/>
      <c r="G2246" s="107">
        <f>ROUND(SUM(G2242:G2245),2)</f>
        <v>2172.48</v>
      </c>
      <c r="H2246" s="336"/>
      <c r="I2246" s="156"/>
      <c r="J2246" s="336"/>
      <c r="K2246" s="222"/>
    </row>
    <row r="2247" spans="1:11" ht="24.75" customHeight="1">
      <c r="K2247" s="222"/>
    </row>
    <row r="2248" spans="1:11" s="38" customFormat="1">
      <c r="A2248" s="738" t="s">
        <v>2036</v>
      </c>
      <c r="B2248" s="739"/>
      <c r="C2248" s="739"/>
      <c r="D2248" s="739"/>
      <c r="E2248" s="739"/>
      <c r="F2248" s="326" t="s">
        <v>44</v>
      </c>
      <c r="G2248" s="110">
        <v>9218</v>
      </c>
      <c r="H2248" s="336"/>
      <c r="J2248" s="336"/>
      <c r="K2248" s="222"/>
    </row>
    <row r="2249" spans="1:11" s="38" customFormat="1" ht="28.5">
      <c r="A2249" s="744" t="s">
        <v>1915</v>
      </c>
      <c r="B2249" s="744"/>
      <c r="C2249" s="184" t="s">
        <v>1916</v>
      </c>
      <c r="D2249" s="184" t="s">
        <v>1892</v>
      </c>
      <c r="E2249" s="185" t="s">
        <v>1917</v>
      </c>
      <c r="F2249" s="186" t="s">
        <v>372</v>
      </c>
      <c r="G2249" s="187" t="s">
        <v>1893</v>
      </c>
      <c r="H2249" s="336"/>
      <c r="J2249" s="336"/>
      <c r="K2249" s="222"/>
    </row>
    <row r="2250" spans="1:11" s="38" customFormat="1">
      <c r="A2250" s="111">
        <v>9218</v>
      </c>
      <c r="B2250" s="101" t="s">
        <v>2036</v>
      </c>
      <c r="C2250" s="21" t="s">
        <v>44</v>
      </c>
      <c r="D2250" s="103" t="s">
        <v>17</v>
      </c>
      <c r="E2250" s="104">
        <v>1</v>
      </c>
      <c r="F2250" s="113">
        <f>H2250</f>
        <v>1893.8765000000001</v>
      </c>
      <c r="G2250" s="114">
        <f>ROUND((E2250*F2250),2)</f>
        <v>1893.88</v>
      </c>
      <c r="H2250" s="336">
        <v>1893.8765000000001</v>
      </c>
      <c r="I2250" s="38" t="e">
        <f>IF(A2250&lt;&gt;0,VLOOKUP(A2250,#REF!,2,FALSE),"")</f>
        <v>#REF!</v>
      </c>
      <c r="J2250" s="336"/>
      <c r="K2250" s="222"/>
    </row>
    <row r="2251" spans="1:11" s="38" customFormat="1">
      <c r="A2251" s="728" t="s">
        <v>1893</v>
      </c>
      <c r="B2251" s="729"/>
      <c r="C2251" s="729"/>
      <c r="D2251" s="729"/>
      <c r="E2251" s="729"/>
      <c r="F2251" s="730"/>
      <c r="G2251" s="107">
        <f>ROUND(SUM(G2250:G2250),2)</f>
        <v>1893.88</v>
      </c>
      <c r="H2251" s="336"/>
      <c r="J2251" s="336"/>
      <c r="K2251" s="222"/>
    </row>
    <row r="2252" spans="1:11" ht="24.75" customHeight="1">
      <c r="K2252" s="222"/>
    </row>
    <row r="2253" spans="1:11" s="38" customFormat="1">
      <c r="A2253" s="738" t="s">
        <v>2522</v>
      </c>
      <c r="B2253" s="739"/>
      <c r="C2253" s="739"/>
      <c r="D2253" s="739"/>
      <c r="E2253" s="739"/>
      <c r="F2253" s="326" t="s">
        <v>44</v>
      </c>
      <c r="G2253" s="110">
        <v>11509</v>
      </c>
      <c r="H2253" s="336"/>
      <c r="J2253" s="336"/>
      <c r="K2253" s="222"/>
    </row>
    <row r="2254" spans="1:11" s="38" customFormat="1" ht="28.5">
      <c r="A2254" s="744" t="s">
        <v>1915</v>
      </c>
      <c r="B2254" s="744"/>
      <c r="C2254" s="184" t="s">
        <v>1916</v>
      </c>
      <c r="D2254" s="184" t="s">
        <v>1892</v>
      </c>
      <c r="E2254" s="185" t="s">
        <v>1917</v>
      </c>
      <c r="F2254" s="186" t="s">
        <v>372</v>
      </c>
      <c r="G2254" s="187" t="s">
        <v>1893</v>
      </c>
      <c r="H2254" s="336"/>
      <c r="J2254" s="336"/>
      <c r="K2254" s="222"/>
    </row>
    <row r="2255" spans="1:11" s="38" customFormat="1">
      <c r="A2255" s="111">
        <v>8151</v>
      </c>
      <c r="B2255" s="101" t="s">
        <v>2523</v>
      </c>
      <c r="C2255" s="21" t="s">
        <v>44</v>
      </c>
      <c r="D2255" s="103" t="s">
        <v>45</v>
      </c>
      <c r="E2255" s="104">
        <v>1.05</v>
      </c>
      <c r="F2255" s="103">
        <f>H2255</f>
        <v>35.853000000000002</v>
      </c>
      <c r="G2255" s="114">
        <f>ROUND((E2255*F2255),2)</f>
        <v>37.65</v>
      </c>
      <c r="H2255" s="336">
        <v>35.853000000000002</v>
      </c>
      <c r="I2255" s="38" t="e">
        <f>IF(A2255&lt;&gt;0,VLOOKUP(A2255,#REF!,2,FALSE),"")</f>
        <v>#REF!</v>
      </c>
      <c r="J2255" s="336"/>
      <c r="K2255" s="222"/>
    </row>
    <row r="2256" spans="1:11" s="38" customFormat="1" ht="30">
      <c r="A2256" s="20">
        <v>100308</v>
      </c>
      <c r="B2256" s="70" t="s">
        <v>607</v>
      </c>
      <c r="C2256" s="21" t="s">
        <v>12</v>
      </c>
      <c r="D2256" s="21" t="s">
        <v>19</v>
      </c>
      <c r="E2256" s="21">
        <v>0.25</v>
      </c>
      <c r="F2256" s="21">
        <f>H2256</f>
        <v>15.070500000000001</v>
      </c>
      <c r="G2256" s="114">
        <f>ROUND((E2256*F2256),2)</f>
        <v>3.77</v>
      </c>
      <c r="H2256" s="336">
        <v>15.070500000000001</v>
      </c>
      <c r="I2256" s="38" t="e">
        <f>IF(A2256&lt;&gt;0,VLOOKUP(A2256,#REF!,2,FALSE),"")</f>
        <v>#REF!</v>
      </c>
      <c r="J2256" s="336"/>
      <c r="K2256" s="222"/>
    </row>
    <row r="2257" spans="1:11" s="38" customFormat="1">
      <c r="A2257" s="728" t="s">
        <v>1893</v>
      </c>
      <c r="B2257" s="729"/>
      <c r="C2257" s="729"/>
      <c r="D2257" s="729"/>
      <c r="E2257" s="729"/>
      <c r="F2257" s="730"/>
      <c r="G2257" s="107">
        <f>ROUND(SUM(G2255:G2256),2)</f>
        <v>41.42</v>
      </c>
      <c r="H2257" s="336"/>
      <c r="J2257" s="336"/>
      <c r="K2257" s="222"/>
    </row>
    <row r="2258" spans="1:11">
      <c r="K2258" s="222"/>
    </row>
    <row r="2259" spans="1:11">
      <c r="K2259" s="222"/>
    </row>
    <row r="2260" spans="1:11" s="38" customFormat="1" ht="30.75" customHeight="1">
      <c r="A2260" s="738" t="s">
        <v>2540</v>
      </c>
      <c r="B2260" s="739"/>
      <c r="C2260" s="739"/>
      <c r="D2260" s="739"/>
      <c r="E2260" s="740"/>
      <c r="F2260" s="326" t="s">
        <v>1914</v>
      </c>
      <c r="G2260" s="110" t="s">
        <v>2538</v>
      </c>
      <c r="H2260" s="336"/>
      <c r="I2260" s="156"/>
      <c r="J2260" s="336"/>
      <c r="K2260" s="222"/>
    </row>
    <row r="2261" spans="1:11" s="38" customFormat="1" ht="28.5">
      <c r="A2261" s="69" t="s">
        <v>1916</v>
      </c>
      <c r="B2261" s="230"/>
      <c r="C2261" s="69" t="s">
        <v>3</v>
      </c>
      <c r="D2261" s="69" t="s">
        <v>4</v>
      </c>
      <c r="E2261" s="69" t="s">
        <v>1826</v>
      </c>
      <c r="F2261" s="69" t="s">
        <v>367</v>
      </c>
      <c r="G2261" s="69" t="s">
        <v>368</v>
      </c>
      <c r="H2261" s="336"/>
      <c r="I2261" s="156"/>
      <c r="J2261" s="336"/>
      <c r="K2261" s="222"/>
    </row>
    <row r="2262" spans="1:11" s="38" customFormat="1" ht="30">
      <c r="A2262" s="92" t="s">
        <v>1919</v>
      </c>
      <c r="B2262" s="101" t="s">
        <v>2541</v>
      </c>
      <c r="C2262" s="21" t="s">
        <v>2014</v>
      </c>
      <c r="D2262" s="92" t="s">
        <v>238</v>
      </c>
      <c r="E2262" s="166">
        <v>1</v>
      </c>
      <c r="F2262" s="113">
        <f>H2262</f>
        <v>1945.7775000000001</v>
      </c>
      <c r="G2262" s="165">
        <f>ROUND((E2262*F2262),2)</f>
        <v>1945.78</v>
      </c>
      <c r="H2262" s="336">
        <v>1945.7775000000001</v>
      </c>
      <c r="I2262" s="156"/>
      <c r="J2262" s="336"/>
      <c r="K2262" s="222"/>
    </row>
    <row r="2263" spans="1:11" s="38" customFormat="1" ht="30">
      <c r="A2263" s="92">
        <v>88247</v>
      </c>
      <c r="B2263" s="101" t="s">
        <v>510</v>
      </c>
      <c r="C2263" s="21" t="s">
        <v>12</v>
      </c>
      <c r="D2263" s="92" t="s">
        <v>19</v>
      </c>
      <c r="E2263" s="166">
        <v>0.3</v>
      </c>
      <c r="F2263" s="113">
        <f>H2263</f>
        <v>11.9085</v>
      </c>
      <c r="G2263" s="114">
        <f>ROUND((E2263*F2263),2)</f>
        <v>3.57</v>
      </c>
      <c r="H2263" s="336">
        <v>11.9085</v>
      </c>
      <c r="I2263" s="38" t="e">
        <f>IF(A2263&lt;&gt;0,VLOOKUP(A2263,#REF!,2,FALSE),"")</f>
        <v>#REF!</v>
      </c>
      <c r="J2263" s="336"/>
      <c r="K2263" s="222"/>
    </row>
    <row r="2264" spans="1:11" s="38" customFormat="1" ht="30">
      <c r="A2264" s="92">
        <v>88264</v>
      </c>
      <c r="B2264" s="101" t="s">
        <v>379</v>
      </c>
      <c r="C2264" s="21" t="s">
        <v>12</v>
      </c>
      <c r="D2264" s="92" t="s">
        <v>19</v>
      </c>
      <c r="E2264" s="166">
        <v>0.3</v>
      </c>
      <c r="F2264" s="113">
        <f>H2264</f>
        <v>15.249000000000001</v>
      </c>
      <c r="G2264" s="114">
        <f>ROUND((E2264*F2264),2)</f>
        <v>4.57</v>
      </c>
      <c r="H2264" s="336">
        <v>15.249000000000001</v>
      </c>
      <c r="I2264" s="38" t="e">
        <f>IF(A2264&lt;&gt;0,VLOOKUP(A2264,#REF!,2,FALSE),"")</f>
        <v>#REF!</v>
      </c>
      <c r="J2264" s="336"/>
      <c r="K2264" s="222"/>
    </row>
    <row r="2265" spans="1:11" s="38" customFormat="1">
      <c r="A2265" s="735" t="s">
        <v>1893</v>
      </c>
      <c r="B2265" s="736"/>
      <c r="C2265" s="736"/>
      <c r="D2265" s="736"/>
      <c r="E2265" s="736"/>
      <c r="F2265" s="737"/>
      <c r="G2265" s="107">
        <f>ROUND(SUM(G2262:G2264),2)</f>
        <v>1953.92</v>
      </c>
      <c r="H2265" s="336"/>
      <c r="I2265" s="156"/>
      <c r="J2265" s="336"/>
      <c r="K2265" s="222"/>
    </row>
    <row r="2266" spans="1:11">
      <c r="K2266" s="222"/>
    </row>
    <row r="2267" spans="1:11">
      <c r="K2267" s="222"/>
    </row>
    <row r="2268" spans="1:11" s="38" customFormat="1" ht="39" customHeight="1">
      <c r="A2268" s="738" t="s">
        <v>2560</v>
      </c>
      <c r="B2268" s="739"/>
      <c r="C2268" s="739"/>
      <c r="D2268" s="739"/>
      <c r="E2268" s="739"/>
      <c r="F2268" s="326" t="s">
        <v>44</v>
      </c>
      <c r="G2268" s="110">
        <v>10481</v>
      </c>
      <c r="H2268" s="336"/>
      <c r="J2268" s="336"/>
      <c r="K2268" s="222"/>
    </row>
    <row r="2269" spans="1:11" s="38" customFormat="1" ht="28.5">
      <c r="A2269" s="744" t="s">
        <v>1915</v>
      </c>
      <c r="B2269" s="744"/>
      <c r="C2269" s="184" t="s">
        <v>1916</v>
      </c>
      <c r="D2269" s="184" t="s">
        <v>1892</v>
      </c>
      <c r="E2269" s="185" t="s">
        <v>1917</v>
      </c>
      <c r="F2269" s="186" t="s">
        <v>372</v>
      </c>
      <c r="G2269" s="187" t="s">
        <v>1893</v>
      </c>
      <c r="H2269" s="336"/>
      <c r="J2269" s="336"/>
      <c r="K2269" s="222"/>
    </row>
    <row r="2270" spans="1:11" s="38" customFormat="1" ht="45">
      <c r="A2270" s="111">
        <v>10481</v>
      </c>
      <c r="B2270" s="101" t="s">
        <v>2559</v>
      </c>
      <c r="C2270" s="21" t="s">
        <v>44</v>
      </c>
      <c r="D2270" s="103" t="s">
        <v>238</v>
      </c>
      <c r="E2270" s="104">
        <v>1</v>
      </c>
      <c r="F2270" s="103">
        <f>H2270</f>
        <v>4369.799</v>
      </c>
      <c r="G2270" s="114">
        <f>ROUND((E2270*F2270),2)</f>
        <v>4369.8</v>
      </c>
      <c r="H2270" s="336">
        <v>4369.799</v>
      </c>
      <c r="I2270" s="38" t="e">
        <f>IF(A2270&lt;&gt;0,VLOOKUP(A2270,#REF!,2,FALSE),"")</f>
        <v>#REF!</v>
      </c>
      <c r="J2270" s="336"/>
      <c r="K2270" s="222"/>
    </row>
    <row r="2271" spans="1:11" s="38" customFormat="1" ht="30">
      <c r="A2271" s="92">
        <v>88264</v>
      </c>
      <c r="B2271" s="101" t="s">
        <v>379</v>
      </c>
      <c r="C2271" s="21" t="s">
        <v>12</v>
      </c>
      <c r="D2271" s="21" t="s">
        <v>19</v>
      </c>
      <c r="E2271" s="21">
        <v>1</v>
      </c>
      <c r="F2271" s="21">
        <f>H2271</f>
        <v>15.249000000000001</v>
      </c>
      <c r="G2271" s="21">
        <f>ROUND(F2271*E2271,2)</f>
        <v>15.25</v>
      </c>
      <c r="H2271" s="336">
        <v>15.249000000000001</v>
      </c>
      <c r="I2271" s="38" t="e">
        <f>IF(A2271&lt;&gt;0,VLOOKUP(A2271,#REF!,2,FALSE),"")</f>
        <v>#REF!</v>
      </c>
      <c r="J2271" s="336"/>
      <c r="K2271" s="222"/>
    </row>
    <row r="2272" spans="1:11" s="38" customFormat="1">
      <c r="A2272" s="728" t="s">
        <v>1893</v>
      </c>
      <c r="B2272" s="729"/>
      <c r="C2272" s="729"/>
      <c r="D2272" s="729"/>
      <c r="E2272" s="729"/>
      <c r="F2272" s="730"/>
      <c r="G2272" s="107">
        <f>ROUND(SUM(G2270:G2271),2)</f>
        <v>4385.05</v>
      </c>
      <c r="H2272" s="336"/>
      <c r="J2272" s="336"/>
      <c r="K2272" s="222"/>
    </row>
    <row r="2273" spans="1:11" ht="28.5" customHeight="1">
      <c r="K2273" s="222"/>
    </row>
    <row r="2274" spans="1:11" s="38" customFormat="1" ht="63" customHeight="1">
      <c r="A2274" s="732" t="s">
        <v>2567</v>
      </c>
      <c r="B2274" s="733"/>
      <c r="C2274" s="733"/>
      <c r="D2274" s="733"/>
      <c r="E2274" s="734"/>
      <c r="F2274" s="188" t="s">
        <v>1914</v>
      </c>
      <c r="G2274" s="188">
        <v>72111</v>
      </c>
      <c r="H2274" s="336"/>
      <c r="J2274" s="336"/>
      <c r="K2274" s="222"/>
    </row>
    <row r="2275" spans="1:11" s="38" customFormat="1">
      <c r="A2275" s="189" t="s">
        <v>1</v>
      </c>
      <c r="B2275" s="324" t="s">
        <v>364</v>
      </c>
      <c r="C2275" s="189" t="s">
        <v>3</v>
      </c>
      <c r="D2275" s="189" t="s">
        <v>1941</v>
      </c>
      <c r="E2275" s="189" t="s">
        <v>1826</v>
      </c>
      <c r="F2275" s="189" t="s">
        <v>2562</v>
      </c>
      <c r="G2275" s="322" t="s">
        <v>368</v>
      </c>
      <c r="H2275" s="336"/>
      <c r="J2275" s="336"/>
      <c r="K2275" s="222"/>
    </row>
    <row r="2276" spans="1:11" s="38" customFormat="1">
      <c r="A2276" s="190">
        <v>10966</v>
      </c>
      <c r="B2276" s="191" t="s">
        <v>2563</v>
      </c>
      <c r="C2276" s="190" t="s">
        <v>12</v>
      </c>
      <c r="D2276" s="190" t="s">
        <v>45</v>
      </c>
      <c r="E2276" s="192">
        <v>11</v>
      </c>
      <c r="F2276" s="103">
        <f>H2276</f>
        <v>7.7945000000000002</v>
      </c>
      <c r="G2276" s="114">
        <f>ROUND((E2276*F2276),2)</f>
        <v>85.74</v>
      </c>
      <c r="H2276" s="336">
        <v>7.7945000000000002</v>
      </c>
      <c r="I2276" s="38" t="e">
        <f>IF(A2276&lt;&gt;0,VLOOKUP(A2276,#REF!,2,FALSE),"")</f>
        <v>#REF!</v>
      </c>
      <c r="J2276" s="336"/>
      <c r="K2276" s="222"/>
    </row>
    <row r="2277" spans="1:11" s="38" customFormat="1" ht="30">
      <c r="A2277" s="190">
        <v>88278</v>
      </c>
      <c r="B2277" s="191" t="s">
        <v>2564</v>
      </c>
      <c r="C2277" s="190" t="s">
        <v>12</v>
      </c>
      <c r="D2277" s="190" t="s">
        <v>19</v>
      </c>
      <c r="E2277" s="192">
        <v>0.75</v>
      </c>
      <c r="F2277" s="103">
        <f>H2277</f>
        <v>15.3</v>
      </c>
      <c r="G2277" s="114">
        <f>ROUND((E2277*F2277),2)</f>
        <v>11.48</v>
      </c>
      <c r="H2277" s="336">
        <v>15.3</v>
      </c>
      <c r="I2277" s="38" t="e">
        <f>IF(A2277&lt;&gt;0,VLOOKUP(A2277,#REF!,2,FALSE),"")</f>
        <v>#REF!</v>
      </c>
      <c r="J2277" s="336"/>
      <c r="K2277" s="222"/>
    </row>
    <row r="2278" spans="1:11" s="38" customFormat="1" ht="30">
      <c r="A2278" s="190">
        <v>88316</v>
      </c>
      <c r="B2278" s="191" t="s">
        <v>2565</v>
      </c>
      <c r="C2278" s="190" t="s">
        <v>12</v>
      </c>
      <c r="D2278" s="190" t="s">
        <v>19</v>
      </c>
      <c r="E2278" s="192">
        <v>0.75</v>
      </c>
      <c r="F2278" s="103">
        <f>H2278</f>
        <v>11.798000000000002</v>
      </c>
      <c r="G2278" s="114">
        <f>ROUND((E2278*F2278),2)</f>
        <v>8.85</v>
      </c>
      <c r="H2278" s="336">
        <v>11.798000000000002</v>
      </c>
      <c r="I2278" s="38" t="e">
        <f>IF(A2278&lt;&gt;0,VLOOKUP(A2278,#REF!,2,FALSE),"")</f>
        <v>#REF!</v>
      </c>
      <c r="J2278" s="336"/>
      <c r="K2278" s="222"/>
    </row>
    <row r="2279" spans="1:11" s="38" customFormat="1">
      <c r="A2279" s="735" t="s">
        <v>1893</v>
      </c>
      <c r="B2279" s="736"/>
      <c r="C2279" s="736"/>
      <c r="D2279" s="736"/>
      <c r="E2279" s="736"/>
      <c r="F2279" s="737"/>
      <c r="G2279" s="128">
        <f>ROUND(SUM(G2276:G2278),2)</f>
        <v>106.07</v>
      </c>
      <c r="H2279" s="336"/>
      <c r="J2279" s="336"/>
      <c r="K2279" s="222"/>
    </row>
    <row r="2280" spans="1:11" ht="27" customHeight="1">
      <c r="K2280" s="222"/>
    </row>
    <row r="2281" spans="1:11" s="38" customFormat="1">
      <c r="A2281" s="738" t="s">
        <v>2571</v>
      </c>
      <c r="B2281" s="739"/>
      <c r="C2281" s="739"/>
      <c r="D2281" s="739"/>
      <c r="E2281" s="740"/>
      <c r="F2281" s="326" t="s">
        <v>1914</v>
      </c>
      <c r="G2281" s="110" t="s">
        <v>2568</v>
      </c>
      <c r="H2281" s="336"/>
      <c r="I2281" s="156"/>
      <c r="J2281" s="336"/>
      <c r="K2281" s="222"/>
    </row>
    <row r="2282" spans="1:11" s="38" customFormat="1" ht="28.5">
      <c r="A2282" s="69" t="s">
        <v>1916</v>
      </c>
      <c r="B2282" s="230"/>
      <c r="C2282" s="69" t="s">
        <v>3</v>
      </c>
      <c r="D2282" s="69" t="s">
        <v>4</v>
      </c>
      <c r="E2282" s="69" t="s">
        <v>1826</v>
      </c>
      <c r="F2282" s="69" t="s">
        <v>367</v>
      </c>
      <c r="G2282" s="69" t="s">
        <v>368</v>
      </c>
      <c r="H2282" s="336"/>
      <c r="I2282" s="156"/>
      <c r="J2282" s="336"/>
      <c r="K2282" s="222"/>
    </row>
    <row r="2283" spans="1:11" s="38" customFormat="1" ht="30">
      <c r="A2283" s="102" t="s">
        <v>1919</v>
      </c>
      <c r="B2283" s="171" t="s">
        <v>2667</v>
      </c>
      <c r="C2283" s="21" t="s">
        <v>634</v>
      </c>
      <c r="D2283" s="92" t="s">
        <v>238</v>
      </c>
      <c r="E2283" s="117">
        <v>1</v>
      </c>
      <c r="F2283" s="165">
        <f>H2283</f>
        <v>39969.550000000003</v>
      </c>
      <c r="G2283" s="119">
        <f>ROUND((E2283*F2283),2)</f>
        <v>39969.550000000003</v>
      </c>
      <c r="H2283" s="336">
        <v>39969.550000000003</v>
      </c>
      <c r="I2283" s="156"/>
      <c r="J2283" s="336"/>
      <c r="K2283" s="222"/>
    </row>
    <row r="2284" spans="1:11" s="38" customFormat="1">
      <c r="A2284" s="741" t="s">
        <v>1893</v>
      </c>
      <c r="B2284" s="742"/>
      <c r="C2284" s="742"/>
      <c r="D2284" s="742"/>
      <c r="E2284" s="742"/>
      <c r="F2284" s="743"/>
      <c r="G2284" s="120">
        <f>ROUND(G2283,2)</f>
        <v>39969.550000000003</v>
      </c>
      <c r="H2284" s="336"/>
      <c r="I2284" s="156"/>
      <c r="J2284" s="336"/>
      <c r="K2284" s="222"/>
    </row>
    <row r="2285" spans="1:11" ht="23.25" customHeight="1">
      <c r="K2285" s="222"/>
    </row>
    <row r="2286" spans="1:11" s="38" customFormat="1">
      <c r="A2286" s="738" t="s">
        <v>2572</v>
      </c>
      <c r="B2286" s="739"/>
      <c r="C2286" s="739"/>
      <c r="D2286" s="739"/>
      <c r="E2286" s="740"/>
      <c r="F2286" s="326" t="s">
        <v>1914</v>
      </c>
      <c r="G2286" s="110" t="s">
        <v>2569</v>
      </c>
      <c r="H2286" s="336"/>
      <c r="J2286" s="336"/>
      <c r="K2286" s="222"/>
    </row>
    <row r="2287" spans="1:11" s="38" customFormat="1" ht="28.5">
      <c r="A2287" s="69" t="s">
        <v>1916</v>
      </c>
      <c r="B2287" s="230"/>
      <c r="C2287" s="69" t="s">
        <v>3</v>
      </c>
      <c r="D2287" s="69" t="s">
        <v>4</v>
      </c>
      <c r="E2287" s="69" t="s">
        <v>1826</v>
      </c>
      <c r="F2287" s="69" t="s">
        <v>367</v>
      </c>
      <c r="G2287" s="69" t="s">
        <v>368</v>
      </c>
      <c r="H2287" s="336"/>
      <c r="J2287" s="336"/>
      <c r="K2287" s="222"/>
    </row>
    <row r="2288" spans="1:11" s="38" customFormat="1" ht="30">
      <c r="A2288" s="102" t="s">
        <v>1919</v>
      </c>
      <c r="B2288" s="171" t="s">
        <v>2575</v>
      </c>
      <c r="C2288" s="21" t="s">
        <v>634</v>
      </c>
      <c r="D2288" s="92" t="s">
        <v>238</v>
      </c>
      <c r="E2288" s="117">
        <v>1</v>
      </c>
      <c r="F2288" s="165">
        <f>H2288</f>
        <v>28041.5</v>
      </c>
      <c r="G2288" s="119">
        <f>ROUND((E2288*F2288),2)</f>
        <v>28041.5</v>
      </c>
      <c r="H2288" s="336">
        <v>28041.5</v>
      </c>
      <c r="J2288" s="336"/>
      <c r="K2288" s="222"/>
    </row>
    <row r="2289" spans="1:13" s="38" customFormat="1">
      <c r="A2289" s="741" t="s">
        <v>1893</v>
      </c>
      <c r="B2289" s="742"/>
      <c r="C2289" s="742"/>
      <c r="D2289" s="742"/>
      <c r="E2289" s="742"/>
      <c r="F2289" s="743"/>
      <c r="G2289" s="120">
        <f>ROUND(G2288,2)</f>
        <v>28041.5</v>
      </c>
      <c r="H2289" s="336"/>
      <c r="J2289" s="336"/>
      <c r="K2289" s="222"/>
    </row>
    <row r="2290" spans="1:13" ht="24.75" customHeight="1">
      <c r="K2290" s="222"/>
    </row>
    <row r="2291" spans="1:13" s="38" customFormat="1">
      <c r="A2291" s="738" t="s">
        <v>2573</v>
      </c>
      <c r="B2291" s="739"/>
      <c r="C2291" s="739"/>
      <c r="D2291" s="739"/>
      <c r="E2291" s="740"/>
      <c r="F2291" s="326" t="s">
        <v>1914</v>
      </c>
      <c r="G2291" s="110" t="s">
        <v>2570</v>
      </c>
      <c r="H2291" s="336"/>
      <c r="J2291" s="336"/>
      <c r="K2291" s="222"/>
    </row>
    <row r="2292" spans="1:13" s="38" customFormat="1" ht="28.5">
      <c r="A2292" s="69" t="s">
        <v>1916</v>
      </c>
      <c r="B2292" s="230"/>
      <c r="C2292" s="69" t="s">
        <v>3</v>
      </c>
      <c r="D2292" s="69" t="s">
        <v>4</v>
      </c>
      <c r="E2292" s="69" t="s">
        <v>1826</v>
      </c>
      <c r="F2292" s="69" t="s">
        <v>367</v>
      </c>
      <c r="G2292" s="69" t="s">
        <v>368</v>
      </c>
      <c r="H2292" s="336"/>
      <c r="J2292" s="336"/>
      <c r="K2292" s="222"/>
    </row>
    <row r="2293" spans="1:13" s="38" customFormat="1" ht="30">
      <c r="A2293" s="102" t="s">
        <v>1919</v>
      </c>
      <c r="B2293" s="171" t="s">
        <v>2576</v>
      </c>
      <c r="C2293" s="21" t="s">
        <v>634</v>
      </c>
      <c r="D2293" s="92" t="s">
        <v>238</v>
      </c>
      <c r="E2293" s="117">
        <v>1</v>
      </c>
      <c r="F2293" s="165">
        <f>H2293</f>
        <v>21038.35</v>
      </c>
      <c r="G2293" s="119">
        <f>ROUND((E2293*F2293),2)</f>
        <v>21038.35</v>
      </c>
      <c r="H2293" s="336">
        <v>21038.35</v>
      </c>
      <c r="J2293" s="336"/>
      <c r="K2293" s="222"/>
    </row>
    <row r="2294" spans="1:13" s="38" customFormat="1">
      <c r="A2294" s="741" t="s">
        <v>1893</v>
      </c>
      <c r="B2294" s="742"/>
      <c r="C2294" s="742"/>
      <c r="D2294" s="742"/>
      <c r="E2294" s="742"/>
      <c r="F2294" s="743"/>
      <c r="G2294" s="120">
        <f>ROUND(G2293,2)</f>
        <v>21038.35</v>
      </c>
      <c r="H2294" s="336"/>
      <c r="J2294" s="336"/>
      <c r="K2294" s="222"/>
    </row>
    <row r="2295" spans="1:13" ht="24.75" customHeight="1">
      <c r="K2295" s="222"/>
    </row>
    <row r="2296" spans="1:13" s="38" customFormat="1">
      <c r="A2296" s="738" t="s">
        <v>2558</v>
      </c>
      <c r="B2296" s="739"/>
      <c r="C2296" s="739"/>
      <c r="D2296" s="739"/>
      <c r="E2296" s="740"/>
      <c r="F2296" s="326" t="s">
        <v>1914</v>
      </c>
      <c r="G2296" s="110" t="s">
        <v>2574</v>
      </c>
      <c r="H2296" s="336"/>
      <c r="J2296" s="336"/>
      <c r="K2296" s="222"/>
    </row>
    <row r="2297" spans="1:13" s="38" customFormat="1" ht="28.5">
      <c r="A2297" s="69" t="s">
        <v>1916</v>
      </c>
      <c r="B2297" s="230"/>
      <c r="C2297" s="69" t="s">
        <v>3</v>
      </c>
      <c r="D2297" s="69" t="s">
        <v>4</v>
      </c>
      <c r="E2297" s="69" t="s">
        <v>1826</v>
      </c>
      <c r="F2297" s="69" t="s">
        <v>367</v>
      </c>
      <c r="G2297" s="69" t="s">
        <v>368</v>
      </c>
      <c r="H2297" s="336"/>
      <c r="J2297" s="336"/>
      <c r="K2297" s="222"/>
    </row>
    <row r="2298" spans="1:13" s="38" customFormat="1" ht="30">
      <c r="A2298" s="102" t="s">
        <v>1919</v>
      </c>
      <c r="B2298" s="171" t="s">
        <v>2558</v>
      </c>
      <c r="C2298" s="21" t="s">
        <v>634</v>
      </c>
      <c r="D2298" s="92" t="s">
        <v>238</v>
      </c>
      <c r="E2298" s="117">
        <v>1</v>
      </c>
      <c r="F2298" s="165">
        <f>H2298</f>
        <v>1491.75</v>
      </c>
      <c r="G2298" s="119">
        <f>ROUND((E2298*F2298),2)</f>
        <v>1491.75</v>
      </c>
      <c r="H2298" s="336">
        <v>1491.75</v>
      </c>
      <c r="J2298" s="336"/>
      <c r="K2298" s="222"/>
    </row>
    <row r="2299" spans="1:13" s="38" customFormat="1">
      <c r="A2299" s="741" t="s">
        <v>1893</v>
      </c>
      <c r="B2299" s="742"/>
      <c r="C2299" s="742"/>
      <c r="D2299" s="742"/>
      <c r="E2299" s="742"/>
      <c r="F2299" s="743"/>
      <c r="G2299" s="120">
        <f>ROUND(G2298,2)</f>
        <v>1491.75</v>
      </c>
      <c r="H2299" s="336"/>
      <c r="J2299" s="336"/>
      <c r="K2299" s="222"/>
    </row>
    <row r="2300" spans="1:13" ht="23.25" customHeight="1">
      <c r="K2300" s="222"/>
    </row>
    <row r="2301" spans="1:13" s="38" customFormat="1">
      <c r="A2301" s="612" t="s">
        <v>2626</v>
      </c>
      <c r="B2301" s="613"/>
      <c r="C2301" s="613"/>
      <c r="D2301" s="613"/>
      <c r="E2301" s="614"/>
      <c r="F2301" s="193" t="s">
        <v>44</v>
      </c>
      <c r="G2301" s="87">
        <v>6801</v>
      </c>
      <c r="H2301" s="430"/>
      <c r="I2301" s="194" t="s">
        <v>2627</v>
      </c>
      <c r="J2301" s="434"/>
      <c r="K2301" s="222"/>
      <c r="L2301" s="434"/>
      <c r="M2301" s="82"/>
    </row>
    <row r="2302" spans="1:13" s="38" customFormat="1" ht="28.5">
      <c r="A2302" s="194" t="s">
        <v>366</v>
      </c>
      <c r="B2302" s="80"/>
      <c r="C2302" s="69" t="s">
        <v>3</v>
      </c>
      <c r="D2302" s="69" t="s">
        <v>4</v>
      </c>
      <c r="E2302" s="69" t="s">
        <v>1826</v>
      </c>
      <c r="F2302" s="69" t="s">
        <v>367</v>
      </c>
      <c r="G2302" s="69" t="s">
        <v>368</v>
      </c>
      <c r="H2302" s="336"/>
      <c r="J2302" s="336"/>
      <c r="K2302" s="222"/>
    </row>
    <row r="2303" spans="1:13" s="38" customFormat="1">
      <c r="A2303" s="76">
        <v>6801</v>
      </c>
      <c r="B2303" s="77" t="s">
        <v>2627</v>
      </c>
      <c r="C2303" s="78" t="s">
        <v>44</v>
      </c>
      <c r="D2303" s="78" t="s">
        <v>17</v>
      </c>
      <c r="E2303" s="73">
        <v>1</v>
      </c>
      <c r="F2303" s="245">
        <f>H2303</f>
        <v>2782.9</v>
      </c>
      <c r="G2303" s="245">
        <f>ROUND(F2303*E2303,2)</f>
        <v>2782.9</v>
      </c>
      <c r="H2303" s="336">
        <v>2782.9</v>
      </c>
      <c r="I2303" s="38" t="e">
        <f>IF(A2303&lt;&gt;0,VLOOKUP(A2303,#REF!,2,FALSE),"")</f>
        <v>#REF!</v>
      </c>
      <c r="J2303" s="336"/>
      <c r="K2303" s="222"/>
    </row>
    <row r="2304" spans="1:13" s="38" customFormat="1" ht="30">
      <c r="A2304" s="161">
        <v>88316</v>
      </c>
      <c r="B2304" s="246" t="s">
        <v>377</v>
      </c>
      <c r="C2304" s="247" t="s">
        <v>12</v>
      </c>
      <c r="D2304" s="247" t="s">
        <v>19</v>
      </c>
      <c r="E2304" s="245">
        <v>4</v>
      </c>
      <c r="F2304" s="245">
        <f>H2304</f>
        <v>11.798000000000002</v>
      </c>
      <c r="G2304" s="245">
        <f>ROUND(F2304*E2304,2)</f>
        <v>47.19</v>
      </c>
      <c r="H2304" s="336">
        <v>11.798000000000002</v>
      </c>
      <c r="I2304" s="38" t="e">
        <f>IF(A2304&lt;&gt;0,VLOOKUP(A2304,#REF!,2,FALSE),"")</f>
        <v>#REF!</v>
      </c>
      <c r="J2304" s="336"/>
      <c r="K2304" s="222"/>
    </row>
    <row r="2305" spans="1:11" s="38" customFormat="1">
      <c r="A2305" s="161">
        <v>88267</v>
      </c>
      <c r="B2305" s="246" t="e">
        <f>I2305</f>
        <v>#REF!</v>
      </c>
      <c r="C2305" s="247" t="s">
        <v>12</v>
      </c>
      <c r="D2305" s="247" t="s">
        <v>19</v>
      </c>
      <c r="E2305" s="245">
        <v>4</v>
      </c>
      <c r="F2305" s="245">
        <f>H2305</f>
        <v>14.7135</v>
      </c>
      <c r="G2305" s="245">
        <f>ROUND(F2305*E2305,2)</f>
        <v>58.85</v>
      </c>
      <c r="H2305" s="336">
        <v>14.7135</v>
      </c>
      <c r="I2305" s="38" t="e">
        <f>IF(A2305&lt;&gt;0,VLOOKUP(A2305,#REF!,2,FALSE),"")</f>
        <v>#REF!</v>
      </c>
      <c r="J2305" s="336"/>
      <c r="K2305" s="222"/>
    </row>
    <row r="2306" spans="1:11" s="38" customFormat="1">
      <c r="A2306" s="717" t="s">
        <v>1893</v>
      </c>
      <c r="B2306" s="717"/>
      <c r="C2306" s="717"/>
      <c r="D2306" s="717"/>
      <c r="E2306" s="717"/>
      <c r="F2306" s="717"/>
      <c r="G2306" s="195">
        <f>ROUND(SUM(G2303:G2305),2)</f>
        <v>2888.94</v>
      </c>
      <c r="H2306" s="336"/>
      <c r="J2306" s="336"/>
      <c r="K2306" s="222"/>
    </row>
    <row r="2307" spans="1:11" ht="28.5" customHeight="1">
      <c r="K2307" s="222"/>
    </row>
    <row r="2308" spans="1:11" s="38" customFormat="1" ht="30.75" customHeight="1">
      <c r="A2308" s="612" t="s">
        <v>2639</v>
      </c>
      <c r="B2308" s="613"/>
      <c r="C2308" s="613"/>
      <c r="D2308" s="613"/>
      <c r="E2308" s="613"/>
      <c r="F2308" s="196" t="s">
        <v>44</v>
      </c>
      <c r="G2308" s="87">
        <v>11808</v>
      </c>
      <c r="H2308" s="336"/>
      <c r="I2308" s="159"/>
      <c r="J2308" s="336"/>
      <c r="K2308" s="222"/>
    </row>
    <row r="2309" spans="1:11" s="38" customFormat="1" ht="28.5">
      <c r="A2309" s="623" t="s">
        <v>364</v>
      </c>
      <c r="B2309" s="624"/>
      <c r="C2309" s="69" t="s">
        <v>3</v>
      </c>
      <c r="D2309" s="69" t="s">
        <v>4</v>
      </c>
      <c r="E2309" s="69" t="s">
        <v>1826</v>
      </c>
      <c r="F2309" s="69" t="s">
        <v>367</v>
      </c>
      <c r="G2309" s="69" t="s">
        <v>368</v>
      </c>
      <c r="H2309" s="336"/>
      <c r="I2309" s="159"/>
      <c r="J2309" s="336"/>
      <c r="K2309" s="222"/>
    </row>
    <row r="2310" spans="1:11" s="38" customFormat="1">
      <c r="A2310" s="20">
        <v>2540</v>
      </c>
      <c r="B2310" s="70" t="s">
        <v>2640</v>
      </c>
      <c r="C2310" s="21" t="s">
        <v>12</v>
      </c>
      <c r="D2310" s="21" t="s">
        <v>45</v>
      </c>
      <c r="E2310" s="22">
        <v>0.38</v>
      </c>
      <c r="F2310" s="197">
        <f>H2310</f>
        <v>4.6749999999999998</v>
      </c>
      <c r="G2310" s="197">
        <f>ROUND(F2310*E2310,2)</f>
        <v>1.78</v>
      </c>
      <c r="H2310" s="336">
        <v>4.6749999999999998</v>
      </c>
      <c r="I2310" s="160" t="e">
        <f>IF(A2310&lt;&gt;0,VLOOKUP(A2310,#REF!,2,FALSE),"")</f>
        <v>#REF!</v>
      </c>
      <c r="J2310" s="336"/>
      <c r="K2310" s="222"/>
    </row>
    <row r="2311" spans="1:11" s="38" customFormat="1">
      <c r="A2311" s="20">
        <v>371</v>
      </c>
      <c r="B2311" s="70" t="e">
        <f>I2311</f>
        <v>#REF!</v>
      </c>
      <c r="C2311" s="21" t="s">
        <v>12</v>
      </c>
      <c r="D2311" s="21" t="s">
        <v>45</v>
      </c>
      <c r="E2311" s="22">
        <v>4.5</v>
      </c>
      <c r="F2311" s="197">
        <f>H2311</f>
        <v>0.52700000000000002</v>
      </c>
      <c r="G2311" s="197">
        <f>ROUND(F2311*E2311,2)</f>
        <v>2.37</v>
      </c>
      <c r="H2311" s="336">
        <v>0.52700000000000002</v>
      </c>
      <c r="I2311" s="159" t="e">
        <f>IF(A2311&lt;&gt;0,VLOOKUP(A2311,#REF!,2,FALSE),"")</f>
        <v>#REF!</v>
      </c>
      <c r="J2311" s="336"/>
      <c r="K2311" s="222"/>
    </row>
    <row r="2312" spans="1:11" s="38" customFormat="1" ht="30">
      <c r="A2312" s="20">
        <v>12659</v>
      </c>
      <c r="B2312" s="70" t="s">
        <v>2641</v>
      </c>
      <c r="C2312" s="21" t="s">
        <v>44</v>
      </c>
      <c r="D2312" s="21" t="s">
        <v>26</v>
      </c>
      <c r="E2312" s="22">
        <v>1.05</v>
      </c>
      <c r="F2312" s="197">
        <f>H2312</f>
        <v>61.284999999999997</v>
      </c>
      <c r="G2312" s="197">
        <f>ROUND(F2312*E2312,2)</f>
        <v>64.349999999999994</v>
      </c>
      <c r="H2312" s="336">
        <v>61.284999999999997</v>
      </c>
      <c r="I2312" s="38" t="e">
        <f>IF(A2312&lt;&gt;0,VLOOKUP(A2312,#REF!,2,FALSE),"")</f>
        <v>#REF!</v>
      </c>
      <c r="J2312" s="336"/>
      <c r="K2312" s="222"/>
    </row>
    <row r="2313" spans="1:11" s="38" customFormat="1" ht="30">
      <c r="A2313" s="198">
        <v>88309</v>
      </c>
      <c r="B2313" s="101" t="s">
        <v>390</v>
      </c>
      <c r="C2313" s="21" t="s">
        <v>12</v>
      </c>
      <c r="D2313" s="21" t="s">
        <v>19</v>
      </c>
      <c r="E2313" s="22">
        <v>0.55000000000000004</v>
      </c>
      <c r="F2313" s="197">
        <f>H2313</f>
        <v>15.121499999999999</v>
      </c>
      <c r="G2313" s="197">
        <f>ROUND(F2313*E2313,2)</f>
        <v>8.32</v>
      </c>
      <c r="H2313" s="336">
        <v>15.121499999999999</v>
      </c>
      <c r="I2313" s="38" t="e">
        <f>IF(A2313&lt;&gt;0,VLOOKUP(A2313,#REF!,2,FALSE),"")</f>
        <v>#REF!</v>
      </c>
      <c r="J2313" s="336"/>
      <c r="K2313" s="222"/>
    </row>
    <row r="2314" spans="1:11" s="38" customFormat="1" ht="30">
      <c r="A2314" s="20">
        <v>88316</v>
      </c>
      <c r="B2314" s="70" t="s">
        <v>377</v>
      </c>
      <c r="C2314" s="21" t="s">
        <v>12</v>
      </c>
      <c r="D2314" s="21" t="s">
        <v>19</v>
      </c>
      <c r="E2314" s="22">
        <v>0.45</v>
      </c>
      <c r="F2314" s="197">
        <f>H2314</f>
        <v>11.798000000000002</v>
      </c>
      <c r="G2314" s="197">
        <f>ROUND(F2314*E2314,2)</f>
        <v>5.31</v>
      </c>
      <c r="H2314" s="336">
        <v>11.798000000000002</v>
      </c>
      <c r="I2314" s="38" t="e">
        <f>IF(A2314&lt;&gt;0,VLOOKUP(A2314,#REF!,2,FALSE),"")</f>
        <v>#REF!</v>
      </c>
      <c r="J2314" s="336"/>
      <c r="K2314" s="222"/>
    </row>
    <row r="2315" spans="1:11" s="38" customFormat="1">
      <c r="A2315" s="731" t="s">
        <v>1893</v>
      </c>
      <c r="B2315" s="731"/>
      <c r="C2315" s="731"/>
      <c r="D2315" s="731"/>
      <c r="E2315" s="731"/>
      <c r="F2315" s="731"/>
      <c r="G2315" s="199">
        <f>ROUND(SUM(G2310:G2314),2)</f>
        <v>82.13</v>
      </c>
      <c r="H2315" s="336"/>
      <c r="I2315" s="159"/>
      <c r="J2315" s="336"/>
      <c r="K2315" s="222"/>
    </row>
    <row r="2316" spans="1:11" ht="27" customHeight="1">
      <c r="K2316" s="222"/>
    </row>
    <row r="2317" spans="1:11" s="38" customFormat="1" ht="20.25" customHeight="1">
      <c r="A2317" s="726" t="s">
        <v>2652</v>
      </c>
      <c r="B2317" s="727"/>
      <c r="C2317" s="727"/>
      <c r="D2317" s="727"/>
      <c r="E2317" s="727"/>
      <c r="F2317" s="200" t="s">
        <v>44</v>
      </c>
      <c r="G2317" s="201">
        <v>3167</v>
      </c>
      <c r="H2317" s="336"/>
      <c r="I2317" s="159"/>
      <c r="J2317" s="336"/>
      <c r="K2317" s="222"/>
    </row>
    <row r="2318" spans="1:11" s="38" customFormat="1" ht="28.5">
      <c r="A2318" s="623" t="s">
        <v>364</v>
      </c>
      <c r="B2318" s="624"/>
      <c r="C2318" s="69" t="s">
        <v>3</v>
      </c>
      <c r="D2318" s="69" t="s">
        <v>4</v>
      </c>
      <c r="E2318" s="69" t="s">
        <v>1826</v>
      </c>
      <c r="F2318" s="69" t="s">
        <v>367</v>
      </c>
      <c r="G2318" s="69" t="s">
        <v>368</v>
      </c>
      <c r="H2318" s="336"/>
      <c r="I2318" s="159"/>
      <c r="J2318" s="336"/>
      <c r="K2318" s="222"/>
    </row>
    <row r="2319" spans="1:11" s="38" customFormat="1" ht="45">
      <c r="A2319" s="202">
        <v>1903</v>
      </c>
      <c r="B2319" s="101" t="s">
        <v>2653</v>
      </c>
      <c r="C2319" s="21" t="s">
        <v>44</v>
      </c>
      <c r="D2319" s="202" t="s">
        <v>35</v>
      </c>
      <c r="E2319" s="243">
        <v>0.04</v>
      </c>
      <c r="F2319" s="113">
        <f>H2319</f>
        <v>382.27050000000003</v>
      </c>
      <c r="G2319" s="114">
        <f>ROUND((E2319*F2319),2)</f>
        <v>15.29</v>
      </c>
      <c r="H2319" s="336">
        <v>382.27050000000003</v>
      </c>
      <c r="I2319" s="159"/>
      <c r="J2319" s="336"/>
      <c r="K2319" s="222"/>
    </row>
    <row r="2320" spans="1:11" s="38" customFormat="1" ht="30">
      <c r="A2320" s="202">
        <v>2614</v>
      </c>
      <c r="B2320" s="101" t="s">
        <v>2654</v>
      </c>
      <c r="C2320" s="21" t="s">
        <v>44</v>
      </c>
      <c r="D2320" s="202" t="s">
        <v>26</v>
      </c>
      <c r="E2320" s="243">
        <v>1</v>
      </c>
      <c r="F2320" s="113">
        <f>H2320</f>
        <v>1329.893</v>
      </c>
      <c r="G2320" s="114">
        <f>ROUND((E2320*F2320),2)</f>
        <v>1329.89</v>
      </c>
      <c r="H2320" s="336">
        <v>1329.893</v>
      </c>
      <c r="I2320" s="38" t="e">
        <f>IF(A2320&lt;&gt;0,VLOOKUP(A2320,#REF!,2,FALSE),"")</f>
        <v>#REF!</v>
      </c>
      <c r="J2320" s="336"/>
      <c r="K2320" s="222"/>
    </row>
    <row r="2321" spans="1:11" s="38" customFormat="1" ht="30">
      <c r="A2321" s="202">
        <v>88309</v>
      </c>
      <c r="B2321" s="101" t="s">
        <v>390</v>
      </c>
      <c r="C2321" s="21" t="s">
        <v>12</v>
      </c>
      <c r="D2321" s="103" t="s">
        <v>19</v>
      </c>
      <c r="E2321" s="168">
        <v>0.6</v>
      </c>
      <c r="F2321" s="113">
        <f>H2321</f>
        <v>15.121499999999999</v>
      </c>
      <c r="G2321" s="114">
        <f>ROUND((E2321*F2321),2)</f>
        <v>9.07</v>
      </c>
      <c r="H2321" s="336">
        <v>15.121499999999999</v>
      </c>
      <c r="I2321" s="38" t="e">
        <f>IF(A2321&lt;&gt;0,VLOOKUP(A2321,#REF!,2,FALSE),"")</f>
        <v>#REF!</v>
      </c>
      <c r="J2321" s="336"/>
      <c r="K2321" s="222"/>
    </row>
    <row r="2322" spans="1:11" s="38" customFormat="1" ht="30">
      <c r="A2322" s="202">
        <v>88316</v>
      </c>
      <c r="B2322" s="101" t="s">
        <v>377</v>
      </c>
      <c r="C2322" s="21" t="s">
        <v>12</v>
      </c>
      <c r="D2322" s="103" t="s">
        <v>19</v>
      </c>
      <c r="E2322" s="168">
        <v>0.6</v>
      </c>
      <c r="F2322" s="113">
        <f>H2322</f>
        <v>11.798000000000002</v>
      </c>
      <c r="G2322" s="114">
        <f>ROUND((E2322*F2322),2)</f>
        <v>7.08</v>
      </c>
      <c r="H2322" s="336">
        <v>11.798000000000002</v>
      </c>
      <c r="I2322" s="38" t="e">
        <f>IF(A2322&lt;&gt;0,VLOOKUP(A2322,#REF!,2,FALSE),"")</f>
        <v>#REF!</v>
      </c>
      <c r="J2322" s="336"/>
      <c r="K2322" s="222"/>
    </row>
    <row r="2323" spans="1:11" s="38" customFormat="1">
      <c r="A2323" s="728" t="s">
        <v>1893</v>
      </c>
      <c r="B2323" s="729"/>
      <c r="C2323" s="729"/>
      <c r="D2323" s="729"/>
      <c r="E2323" s="729"/>
      <c r="F2323" s="730"/>
      <c r="G2323" s="107">
        <f>ROUND(SUM(G2319:G2322),2)</f>
        <v>1361.33</v>
      </c>
      <c r="H2323" s="336"/>
      <c r="I2323" s="159"/>
      <c r="J2323" s="336"/>
      <c r="K2323" s="222"/>
    </row>
    <row r="2324" spans="1:11" ht="22.5" customHeight="1">
      <c r="K2324" s="222"/>
    </row>
    <row r="2325" spans="1:11" s="38" customFormat="1" ht="36.75" customHeight="1">
      <c r="A2325" s="612" t="s">
        <v>91</v>
      </c>
      <c r="B2325" s="613"/>
      <c r="C2325" s="613"/>
      <c r="D2325" s="613"/>
      <c r="E2325" s="718"/>
      <c r="F2325" s="203" t="s">
        <v>12</v>
      </c>
      <c r="G2325" s="321" t="s">
        <v>2675</v>
      </c>
      <c r="H2325" s="336"/>
      <c r="J2325" s="336"/>
      <c r="K2325" s="222"/>
    </row>
    <row r="2326" spans="1:11" s="38" customFormat="1" ht="28.5">
      <c r="A2326" s="612" t="s">
        <v>364</v>
      </c>
      <c r="B2326" s="616"/>
      <c r="C2326" s="69" t="s">
        <v>3</v>
      </c>
      <c r="D2326" s="69" t="s">
        <v>4</v>
      </c>
      <c r="E2326" s="69" t="s">
        <v>1826</v>
      </c>
      <c r="F2326" s="69" t="s">
        <v>367</v>
      </c>
      <c r="G2326" s="69" t="s">
        <v>368</v>
      </c>
      <c r="H2326" s="336"/>
      <c r="J2326" s="336"/>
      <c r="K2326" s="222"/>
    </row>
    <row r="2327" spans="1:11" s="38" customFormat="1" ht="30">
      <c r="A2327" s="20">
        <v>587</v>
      </c>
      <c r="B2327" s="70" t="s">
        <v>446</v>
      </c>
      <c r="C2327" s="21" t="s">
        <v>12</v>
      </c>
      <c r="D2327" s="21" t="s">
        <v>45</v>
      </c>
      <c r="E2327" s="204">
        <v>1.54</v>
      </c>
      <c r="F2327" s="205">
        <f t="shared" ref="F2327:F2332" si="116">H2327</f>
        <v>29.41</v>
      </c>
      <c r="G2327" s="205">
        <f t="shared" ref="G2327:G2332" si="117">ROUND(F2327*E2327,2)</f>
        <v>45.29</v>
      </c>
      <c r="H2327" s="336">
        <v>29.41</v>
      </c>
      <c r="I2327" s="159" t="e">
        <f>IF(A2327&lt;&gt;0,VLOOKUP(A2327,#REF!,2,FALSE),"")</f>
        <v>#REF!</v>
      </c>
      <c r="J2327" s="336"/>
      <c r="K2327" s="222"/>
    </row>
    <row r="2328" spans="1:11" s="38" customFormat="1" ht="45">
      <c r="A2328" s="20">
        <v>1360</v>
      </c>
      <c r="B2328" s="70" t="s">
        <v>447</v>
      </c>
      <c r="C2328" s="21" t="s">
        <v>12</v>
      </c>
      <c r="D2328" s="21" t="s">
        <v>26</v>
      </c>
      <c r="E2328" s="204">
        <v>1.05</v>
      </c>
      <c r="F2328" s="205">
        <f t="shared" si="116"/>
        <v>23.910499999999999</v>
      </c>
      <c r="G2328" s="205">
        <f t="shared" si="117"/>
        <v>25.11</v>
      </c>
      <c r="H2328" s="336">
        <v>23.910499999999999</v>
      </c>
      <c r="I2328" s="159" t="e">
        <f>IF(A2328&lt;&gt;0,VLOOKUP(A2328,#REF!,2,FALSE),"")</f>
        <v>#REF!</v>
      </c>
      <c r="J2328" s="336"/>
      <c r="K2328" s="222"/>
    </row>
    <row r="2329" spans="1:11" s="38" customFormat="1" ht="45">
      <c r="A2329" s="20">
        <v>7334</v>
      </c>
      <c r="B2329" s="70" t="s">
        <v>448</v>
      </c>
      <c r="C2329" s="21" t="s">
        <v>12</v>
      </c>
      <c r="D2329" s="21" t="s">
        <v>381</v>
      </c>
      <c r="E2329" s="204">
        <v>0.18</v>
      </c>
      <c r="F2329" s="205">
        <f t="shared" si="116"/>
        <v>11.866000000000001</v>
      </c>
      <c r="G2329" s="205">
        <f t="shared" si="117"/>
        <v>2.14</v>
      </c>
      <c r="H2329" s="336">
        <v>11.866000000000001</v>
      </c>
      <c r="I2329" s="159" t="e">
        <f>IF(A2329&lt;&gt;0,VLOOKUP(A2329,#REF!,2,FALSE),"")</f>
        <v>#REF!</v>
      </c>
      <c r="J2329" s="336"/>
      <c r="K2329" s="222"/>
    </row>
    <row r="2330" spans="1:11" s="38" customFormat="1">
      <c r="A2330" s="20">
        <v>11186</v>
      </c>
      <c r="B2330" s="70" t="s">
        <v>449</v>
      </c>
      <c r="C2330" s="21" t="s">
        <v>12</v>
      </c>
      <c r="D2330" s="21" t="s">
        <v>26</v>
      </c>
      <c r="E2330" s="204">
        <v>1</v>
      </c>
      <c r="F2330" s="205">
        <f t="shared" si="116"/>
        <v>389.86099999999999</v>
      </c>
      <c r="G2330" s="205">
        <f t="shared" si="117"/>
        <v>389.86</v>
      </c>
      <c r="H2330" s="336">
        <v>389.86099999999999</v>
      </c>
      <c r="I2330" s="159" t="e">
        <f>IF(A2330&lt;&gt;0,VLOOKUP(A2330,#REF!,2,FALSE),"")</f>
        <v>#REF!</v>
      </c>
      <c r="J2330" s="336"/>
      <c r="K2330" s="222"/>
    </row>
    <row r="2331" spans="1:11" s="38" customFormat="1" ht="30">
      <c r="A2331" s="20">
        <v>88239</v>
      </c>
      <c r="B2331" s="70" t="s">
        <v>393</v>
      </c>
      <c r="C2331" s="21" t="s">
        <v>12</v>
      </c>
      <c r="D2331" s="21" t="s">
        <v>19</v>
      </c>
      <c r="E2331" s="204">
        <v>1.8</v>
      </c>
      <c r="F2331" s="205">
        <f t="shared" si="116"/>
        <v>12.622499999999999</v>
      </c>
      <c r="G2331" s="205">
        <f t="shared" si="117"/>
        <v>22.72</v>
      </c>
      <c r="H2331" s="336">
        <v>12.622499999999999</v>
      </c>
      <c r="I2331" s="38" t="e">
        <f>IF(A2331&lt;&gt;0,VLOOKUP(A2331,#REF!,2,FALSE),"")</f>
        <v>#REF!</v>
      </c>
      <c r="J2331" s="336"/>
      <c r="K2331" s="222"/>
    </row>
    <row r="2332" spans="1:11" s="38" customFormat="1" ht="30">
      <c r="A2332" s="20">
        <v>88325</v>
      </c>
      <c r="B2332" s="70" t="s">
        <v>450</v>
      </c>
      <c r="C2332" s="21" t="s">
        <v>12</v>
      </c>
      <c r="D2332" s="21" t="s">
        <v>19</v>
      </c>
      <c r="E2332" s="204">
        <v>1.8</v>
      </c>
      <c r="F2332" s="205">
        <f t="shared" si="116"/>
        <v>12.699</v>
      </c>
      <c r="G2332" s="205">
        <f t="shared" si="117"/>
        <v>22.86</v>
      </c>
      <c r="H2332" s="336">
        <v>12.699</v>
      </c>
      <c r="I2332" s="38" t="e">
        <f>IF(A2332&lt;&gt;0,VLOOKUP(A2332,#REF!,2,FALSE),"")</f>
        <v>#REF!</v>
      </c>
      <c r="J2332" s="336"/>
      <c r="K2332" s="222"/>
    </row>
    <row r="2333" spans="1:11" s="38" customFormat="1">
      <c r="A2333" s="721" t="s">
        <v>1893</v>
      </c>
      <c r="B2333" s="721"/>
      <c r="C2333" s="721"/>
      <c r="D2333" s="721"/>
      <c r="E2333" s="721"/>
      <c r="F2333" s="721"/>
      <c r="G2333" s="206">
        <f>ROUND(SUM(G2327:G2332),2)</f>
        <v>507.98</v>
      </c>
      <c r="H2333" s="336"/>
      <c r="J2333" s="336"/>
      <c r="K2333" s="222"/>
    </row>
    <row r="2334" spans="1:11" ht="24.75" customHeight="1">
      <c r="K2334" s="222"/>
    </row>
    <row r="2335" spans="1:11" s="38" customFormat="1" ht="36.75" customHeight="1">
      <c r="A2335" s="612" t="s">
        <v>2676</v>
      </c>
      <c r="B2335" s="613"/>
      <c r="C2335" s="613"/>
      <c r="D2335" s="613"/>
      <c r="E2335" s="614"/>
      <c r="F2335" s="193" t="s">
        <v>44</v>
      </c>
      <c r="G2335" s="87">
        <v>13294</v>
      </c>
      <c r="H2335" s="336"/>
      <c r="J2335" s="336"/>
      <c r="K2335" s="222"/>
    </row>
    <row r="2336" spans="1:11" s="38" customFormat="1" ht="28.5">
      <c r="A2336" s="194" t="s">
        <v>366</v>
      </c>
      <c r="B2336" s="80"/>
      <c r="C2336" s="69" t="s">
        <v>3</v>
      </c>
      <c r="D2336" s="69" t="s">
        <v>4</v>
      </c>
      <c r="E2336" s="69" t="s">
        <v>1826</v>
      </c>
      <c r="F2336" s="69" t="s">
        <v>367</v>
      </c>
      <c r="G2336" s="69" t="s">
        <v>368</v>
      </c>
      <c r="H2336" s="336"/>
      <c r="J2336" s="336"/>
      <c r="K2336" s="222"/>
    </row>
    <row r="2337" spans="1:11" s="38" customFormat="1" ht="45">
      <c r="A2337" s="20">
        <v>13294</v>
      </c>
      <c r="B2337" s="70" t="s">
        <v>2677</v>
      </c>
      <c r="C2337" s="21" t="s">
        <v>44</v>
      </c>
      <c r="D2337" s="21" t="s">
        <v>17</v>
      </c>
      <c r="E2337" s="22">
        <v>1</v>
      </c>
      <c r="F2337" s="245">
        <f>H2337</f>
        <v>71.697499999999991</v>
      </c>
      <c r="G2337" s="245">
        <f>ROUND(F2337*E2337,2)</f>
        <v>71.7</v>
      </c>
      <c r="H2337" s="336">
        <v>71.697499999999991</v>
      </c>
      <c r="I2337" s="38" t="e">
        <f>IF(A2337&lt;&gt;0,VLOOKUP(A2337,#REF!,2,FALSE),"")</f>
        <v>#REF!</v>
      </c>
      <c r="J2337" s="336"/>
      <c r="K2337" s="222"/>
    </row>
    <row r="2338" spans="1:11" s="38" customFormat="1">
      <c r="A2338" s="717" t="s">
        <v>1893</v>
      </c>
      <c r="B2338" s="717"/>
      <c r="C2338" s="717"/>
      <c r="D2338" s="717"/>
      <c r="E2338" s="717"/>
      <c r="F2338" s="717"/>
      <c r="G2338" s="195">
        <f>ROUND(SUM(G2337),2)</f>
        <v>71.7</v>
      </c>
      <c r="H2338" s="336"/>
      <c r="J2338" s="336"/>
      <c r="K2338" s="222"/>
    </row>
    <row r="2339" spans="1:11" ht="24.75" customHeight="1">
      <c r="K2339" s="222"/>
    </row>
    <row r="2340" spans="1:11">
      <c r="A2340" s="612" t="s">
        <v>2969</v>
      </c>
      <c r="B2340" s="613"/>
      <c r="C2340" s="613"/>
      <c r="D2340" s="613"/>
      <c r="E2340" s="613"/>
      <c r="F2340" s="203" t="s">
        <v>1914</v>
      </c>
      <c r="G2340" s="321" t="s">
        <v>2689</v>
      </c>
      <c r="K2340" s="222"/>
    </row>
    <row r="2341" spans="1:11" ht="28.5">
      <c r="A2341" s="623" t="s">
        <v>364</v>
      </c>
      <c r="B2341" s="624"/>
      <c r="C2341" s="69" t="s">
        <v>3</v>
      </c>
      <c r="D2341" s="69" t="s">
        <v>4</v>
      </c>
      <c r="E2341" s="69" t="s">
        <v>1826</v>
      </c>
      <c r="F2341" s="69" t="s">
        <v>367</v>
      </c>
      <c r="G2341" s="69" t="s">
        <v>368</v>
      </c>
      <c r="K2341" s="222"/>
    </row>
    <row r="2342" spans="1:11" ht="30">
      <c r="A2342" s="20">
        <v>5067</v>
      </c>
      <c r="B2342" s="70" t="s">
        <v>466</v>
      </c>
      <c r="C2342" s="21" t="s">
        <v>12</v>
      </c>
      <c r="D2342" s="21" t="s">
        <v>45</v>
      </c>
      <c r="E2342" s="22">
        <v>0.4</v>
      </c>
      <c r="F2342" s="205">
        <f>H2342</f>
        <v>17.050999999999998</v>
      </c>
      <c r="G2342" s="205">
        <f>ROUND(F2342*E2342,2)</f>
        <v>6.82</v>
      </c>
      <c r="H2342" s="337">
        <v>17.050999999999998</v>
      </c>
      <c r="I2342" s="159" t="e">
        <f>IF(A2342&lt;&gt;0,VLOOKUP(A2342,#REF!,2,FALSE),"")</f>
        <v>#REF!</v>
      </c>
      <c r="K2342" s="222"/>
    </row>
    <row r="2343" spans="1:11" ht="30">
      <c r="A2343" s="20">
        <v>88239</v>
      </c>
      <c r="B2343" s="70" t="s">
        <v>393</v>
      </c>
      <c r="C2343" s="21" t="s">
        <v>12</v>
      </c>
      <c r="D2343" s="21" t="s">
        <v>19</v>
      </c>
      <c r="E2343" s="22">
        <v>4</v>
      </c>
      <c r="F2343" s="205">
        <f>H2343</f>
        <v>12.622499999999999</v>
      </c>
      <c r="G2343" s="205">
        <f>ROUND(F2343*E2343,2)</f>
        <v>50.49</v>
      </c>
      <c r="H2343" s="337">
        <v>12.622499999999999</v>
      </c>
      <c r="I2343" s="38" t="e">
        <f>IF(A2343&lt;&gt;0,VLOOKUP(A2343,#REF!,2,FALSE),"")</f>
        <v>#REF!</v>
      </c>
      <c r="K2343" s="222"/>
    </row>
    <row r="2344" spans="1:11" ht="30">
      <c r="A2344" s="20">
        <v>88261</v>
      </c>
      <c r="B2344" s="70" t="s">
        <v>435</v>
      </c>
      <c r="C2344" s="21" t="s">
        <v>12</v>
      </c>
      <c r="D2344" s="21" t="s">
        <v>19</v>
      </c>
      <c r="E2344" s="22">
        <v>4</v>
      </c>
      <c r="F2344" s="205">
        <f>H2344</f>
        <v>14.314</v>
      </c>
      <c r="G2344" s="205">
        <f>ROUND(F2344*E2344,2)</f>
        <v>57.26</v>
      </c>
      <c r="H2344" s="337">
        <v>14.314</v>
      </c>
      <c r="I2344" s="38" t="e">
        <f>IF(A2344&lt;&gt;0,VLOOKUP(A2344,#REF!,2,FALSE),"")</f>
        <v>#REF!</v>
      </c>
      <c r="K2344" s="222"/>
    </row>
    <row r="2345" spans="1:11" s="38" customFormat="1" ht="120">
      <c r="A2345" s="20">
        <v>12779</v>
      </c>
      <c r="B2345" s="70" t="s">
        <v>2970</v>
      </c>
      <c r="C2345" s="21" t="s">
        <v>44</v>
      </c>
      <c r="D2345" s="21" t="s">
        <v>26</v>
      </c>
      <c r="E2345" s="22">
        <v>1</v>
      </c>
      <c r="F2345" s="205">
        <f>H2345</f>
        <v>113.9</v>
      </c>
      <c r="G2345" s="205">
        <f>ROUND(F2345*E2345,2)</f>
        <v>113.9</v>
      </c>
      <c r="H2345" s="336">
        <v>113.9</v>
      </c>
      <c r="I2345" s="38" t="e">
        <f>IF(A2345&lt;&gt;0,VLOOKUP(A2345,#REF!,2,FALSE),"")</f>
        <v>#REF!</v>
      </c>
      <c r="J2345" s="336"/>
      <c r="K2345" s="222"/>
    </row>
    <row r="2346" spans="1:11">
      <c r="A2346" s="721" t="s">
        <v>1893</v>
      </c>
      <c r="B2346" s="721"/>
      <c r="C2346" s="721"/>
      <c r="D2346" s="721"/>
      <c r="E2346" s="721"/>
      <c r="F2346" s="721"/>
      <c r="G2346" s="206">
        <f>ROUND(SUM(G2342:G2345),2)</f>
        <v>228.47</v>
      </c>
      <c r="K2346" s="222"/>
    </row>
    <row r="2347" spans="1:11" ht="30" customHeight="1">
      <c r="A2347" s="248"/>
      <c r="B2347" s="248"/>
      <c r="C2347" s="248"/>
      <c r="D2347" s="248"/>
      <c r="E2347" s="248"/>
      <c r="F2347" s="323"/>
      <c r="G2347" s="249"/>
      <c r="K2347" s="222"/>
    </row>
    <row r="2348" spans="1:11" ht="49.5" customHeight="1">
      <c r="A2348" s="612" t="s">
        <v>2971</v>
      </c>
      <c r="B2348" s="613"/>
      <c r="C2348" s="613"/>
      <c r="D2348" s="613"/>
      <c r="E2348" s="613"/>
      <c r="F2348" s="203" t="s">
        <v>1914</v>
      </c>
      <c r="G2348" s="321" t="s">
        <v>2696</v>
      </c>
      <c r="K2348" s="222"/>
    </row>
    <row r="2349" spans="1:11" ht="28.5">
      <c r="A2349" s="623" t="s">
        <v>364</v>
      </c>
      <c r="B2349" s="624"/>
      <c r="C2349" s="69" t="s">
        <v>3</v>
      </c>
      <c r="D2349" s="69" t="s">
        <v>4</v>
      </c>
      <c r="E2349" s="69" t="s">
        <v>1826</v>
      </c>
      <c r="F2349" s="69" t="s">
        <v>367</v>
      </c>
      <c r="G2349" s="69" t="s">
        <v>368</v>
      </c>
      <c r="K2349" s="222"/>
    </row>
    <row r="2350" spans="1:11" s="38" customFormat="1" ht="30">
      <c r="A2350" s="20">
        <v>13701</v>
      </c>
      <c r="B2350" s="70" t="s">
        <v>2972</v>
      </c>
      <c r="C2350" s="21" t="s">
        <v>44</v>
      </c>
      <c r="D2350" s="21" t="s">
        <v>17</v>
      </c>
      <c r="E2350" s="22">
        <v>1</v>
      </c>
      <c r="F2350" s="205">
        <f>H2350</f>
        <v>2280.3289999999997</v>
      </c>
      <c r="G2350" s="205">
        <f>ROUND(F2350*E2350,2)</f>
        <v>2280.33</v>
      </c>
      <c r="H2350" s="336">
        <v>2280.3289999999997</v>
      </c>
      <c r="I2350" s="38" t="e">
        <f>IF(A2350&lt;&gt;0,VLOOKUP(A2350,#REF!,2,FALSE),"")</f>
        <v>#REF!</v>
      </c>
      <c r="J2350" s="336"/>
      <c r="K2350" s="222"/>
    </row>
    <row r="2351" spans="1:11">
      <c r="A2351" s="161">
        <v>90801</v>
      </c>
      <c r="B2351" s="70" t="e">
        <f>I2351</f>
        <v>#REF!</v>
      </c>
      <c r="C2351" s="21" t="s">
        <v>12</v>
      </c>
      <c r="D2351" s="21" t="s">
        <v>17</v>
      </c>
      <c r="E2351" s="22">
        <v>1</v>
      </c>
      <c r="F2351" s="205">
        <f>H2351</f>
        <v>170.595</v>
      </c>
      <c r="G2351" s="205">
        <f>ROUND(F2351*E2351,2)</f>
        <v>170.6</v>
      </c>
      <c r="H2351" s="337">
        <v>170.595</v>
      </c>
      <c r="I2351" s="38" t="e">
        <f>IF(A2351&lt;&gt;0,VLOOKUP(A2351,#REF!,2,FALSE),"")</f>
        <v>#REF!</v>
      </c>
      <c r="K2351" s="222"/>
    </row>
    <row r="2352" spans="1:11">
      <c r="A2352" s="20">
        <v>100659</v>
      </c>
      <c r="B2352" s="70" t="e">
        <f>I2352</f>
        <v>#REF!</v>
      </c>
      <c r="C2352" s="21" t="s">
        <v>12</v>
      </c>
      <c r="D2352" s="21" t="s">
        <v>52</v>
      </c>
      <c r="E2352" s="22">
        <v>10</v>
      </c>
      <c r="F2352" s="22">
        <f>H2352</f>
        <v>5.4994999999999994</v>
      </c>
      <c r="G2352" s="22">
        <f>ROUND(F2352*E2352,2)</f>
        <v>55</v>
      </c>
      <c r="H2352" s="337">
        <v>5.4994999999999994</v>
      </c>
      <c r="I2352" s="38" t="e">
        <f>IF(A2352&lt;&gt;0,VLOOKUP(A2352,#REF!,2,FALSE),"")</f>
        <v>#REF!</v>
      </c>
      <c r="K2352" s="222"/>
    </row>
    <row r="2353" spans="1:11" s="38" customFormat="1" ht="30">
      <c r="A2353" s="20">
        <v>3528</v>
      </c>
      <c r="B2353" s="70" t="s">
        <v>2973</v>
      </c>
      <c r="C2353" s="21" t="s">
        <v>44</v>
      </c>
      <c r="D2353" s="21" t="s">
        <v>17</v>
      </c>
      <c r="E2353" s="22">
        <v>1</v>
      </c>
      <c r="F2353" s="205">
        <f>H2353</f>
        <v>116.28000000000002</v>
      </c>
      <c r="G2353" s="205">
        <f>ROUND(F2353*E2353,2)</f>
        <v>116.28</v>
      </c>
      <c r="H2353" s="336">
        <v>116.28000000000002</v>
      </c>
      <c r="I2353" s="38" t="e">
        <f>IF(A2353&lt;&gt;0,VLOOKUP(A2353,#REF!,2,FALSE),"")</f>
        <v>#REF!</v>
      </c>
      <c r="J2353" s="336"/>
      <c r="K2353" s="222"/>
    </row>
    <row r="2354" spans="1:11">
      <c r="A2354" s="721" t="s">
        <v>1893</v>
      </c>
      <c r="B2354" s="721"/>
      <c r="C2354" s="721"/>
      <c r="D2354" s="721"/>
      <c r="E2354" s="721"/>
      <c r="F2354" s="721"/>
      <c r="G2354" s="206">
        <f>ROUND(SUM(G2350:G2353),2)</f>
        <v>2622.21</v>
      </c>
      <c r="K2354" s="222"/>
    </row>
    <row r="2355" spans="1:11" ht="24" customHeight="1">
      <c r="K2355" s="222"/>
    </row>
    <row r="2356" spans="1:11">
      <c r="A2356" s="722" t="s">
        <v>2714</v>
      </c>
      <c r="B2356" s="723"/>
      <c r="C2356" s="723"/>
      <c r="D2356" s="723"/>
      <c r="E2356" s="724"/>
      <c r="F2356" s="203" t="s">
        <v>44</v>
      </c>
      <c r="G2356" s="250">
        <v>9083</v>
      </c>
      <c r="K2356" s="222"/>
    </row>
    <row r="2357" spans="1:11" ht="28.5">
      <c r="A2357" s="251" t="s">
        <v>1916</v>
      </c>
      <c r="B2357" s="252"/>
      <c r="C2357" s="251" t="s">
        <v>3</v>
      </c>
      <c r="D2357" s="251" t="s">
        <v>4</v>
      </c>
      <c r="E2357" s="251" t="s">
        <v>1826</v>
      </c>
      <c r="F2357" s="251" t="s">
        <v>367</v>
      </c>
      <c r="G2357" s="251" t="s">
        <v>368</v>
      </c>
      <c r="K2357" s="222"/>
    </row>
    <row r="2358" spans="1:11" s="38" customFormat="1" ht="60">
      <c r="A2358" s="253">
        <v>9369</v>
      </c>
      <c r="B2358" s="254" t="s">
        <v>2974</v>
      </c>
      <c r="C2358" s="255" t="s">
        <v>44</v>
      </c>
      <c r="D2358" s="255" t="s">
        <v>26</v>
      </c>
      <c r="E2358" s="205">
        <v>1</v>
      </c>
      <c r="F2358" s="205">
        <f>H2358</f>
        <v>76.5</v>
      </c>
      <c r="G2358" s="205">
        <f>ROUND(F2358*E2358,2)</f>
        <v>76.5</v>
      </c>
      <c r="H2358" s="336">
        <v>76.5</v>
      </c>
      <c r="I2358" s="38" t="e">
        <f>IF(A2358&lt;&gt;0,VLOOKUP(A2358,#REF!,2,FALSE),"")</f>
        <v>#REF!</v>
      </c>
      <c r="J2358" s="336"/>
      <c r="K2358" s="222"/>
    </row>
    <row r="2359" spans="1:11">
      <c r="A2359" s="721" t="s">
        <v>1893</v>
      </c>
      <c r="B2359" s="721"/>
      <c r="C2359" s="721"/>
      <c r="D2359" s="721"/>
      <c r="E2359" s="721"/>
      <c r="F2359" s="721"/>
      <c r="G2359" s="206">
        <f>ROUND(SUM(G2358:G2358),2)</f>
        <v>76.5</v>
      </c>
      <c r="K2359" s="222"/>
    </row>
    <row r="2360" spans="1:11" ht="25.5" customHeight="1">
      <c r="K2360" s="222"/>
    </row>
    <row r="2361" spans="1:11" ht="53.25" customHeight="1">
      <c r="A2361" s="612" t="s">
        <v>2975</v>
      </c>
      <c r="B2361" s="613"/>
      <c r="C2361" s="613"/>
      <c r="D2361" s="613"/>
      <c r="E2361" s="718"/>
      <c r="F2361" s="203" t="s">
        <v>1914</v>
      </c>
      <c r="G2361" s="321" t="s">
        <v>2698</v>
      </c>
      <c r="K2361" s="222"/>
    </row>
    <row r="2362" spans="1:11" ht="28.5">
      <c r="A2362" s="623" t="s">
        <v>364</v>
      </c>
      <c r="B2362" s="624"/>
      <c r="C2362" s="69" t="s">
        <v>3</v>
      </c>
      <c r="D2362" s="69" t="s">
        <v>4</v>
      </c>
      <c r="E2362" s="69" t="s">
        <v>1826</v>
      </c>
      <c r="F2362" s="69" t="s">
        <v>367</v>
      </c>
      <c r="G2362" s="69" t="s">
        <v>368</v>
      </c>
      <c r="K2362" s="222"/>
    </row>
    <row r="2363" spans="1:11" ht="45">
      <c r="A2363" s="20">
        <v>142</v>
      </c>
      <c r="B2363" s="70" t="s">
        <v>423</v>
      </c>
      <c r="C2363" s="21" t="s">
        <v>12</v>
      </c>
      <c r="D2363" s="21" t="s">
        <v>424</v>
      </c>
      <c r="E2363" s="22">
        <v>0.88290000000000002</v>
      </c>
      <c r="F2363" s="205">
        <f t="shared" ref="F2363:F2369" si="118">H2363</f>
        <v>28.126500000000004</v>
      </c>
      <c r="G2363" s="205">
        <f t="shared" ref="G2363:G2369" si="119">ROUND(F2363*E2363,2)</f>
        <v>24.83</v>
      </c>
      <c r="H2363" s="337">
        <v>28.126500000000004</v>
      </c>
      <c r="I2363" s="159" t="e">
        <f>IF(A2363&lt;&gt;0,VLOOKUP(A2363,#REF!,2,FALSE),"")</f>
        <v>#REF!</v>
      </c>
      <c r="K2363" s="222"/>
    </row>
    <row r="2364" spans="1:11" ht="60">
      <c r="A2364" s="20">
        <v>7568</v>
      </c>
      <c r="B2364" s="70" t="s">
        <v>425</v>
      </c>
      <c r="C2364" s="21" t="s">
        <v>12</v>
      </c>
      <c r="D2364" s="21" t="s">
        <v>17</v>
      </c>
      <c r="E2364" s="22">
        <v>4.8166000000000002</v>
      </c>
      <c r="F2364" s="205">
        <f t="shared" si="118"/>
        <v>0.30599999999999999</v>
      </c>
      <c r="G2364" s="205">
        <f t="shared" si="119"/>
        <v>1.47</v>
      </c>
      <c r="H2364" s="337">
        <v>0.30599999999999999</v>
      </c>
      <c r="I2364" s="159" t="e">
        <f>IF(A2364&lt;&gt;0,VLOOKUP(A2364,#REF!,2,FALSE),"")</f>
        <v>#REF!</v>
      </c>
      <c r="K2364" s="222"/>
    </row>
    <row r="2365" spans="1:11" ht="75">
      <c r="A2365" s="20">
        <v>39024</v>
      </c>
      <c r="B2365" s="70" t="s">
        <v>426</v>
      </c>
      <c r="C2365" s="21" t="s">
        <v>12</v>
      </c>
      <c r="D2365" s="21" t="s">
        <v>17</v>
      </c>
      <c r="E2365" s="22">
        <v>1.724</v>
      </c>
      <c r="F2365" s="205">
        <f t="shared" si="118"/>
        <v>555.25400000000002</v>
      </c>
      <c r="G2365" s="205">
        <f t="shared" si="119"/>
        <v>957.26</v>
      </c>
      <c r="H2365" s="337">
        <v>555.25400000000002</v>
      </c>
      <c r="I2365" s="159" t="e">
        <f>IF(A2365&lt;&gt;0,VLOOKUP(A2365,#REF!,2,FALSE),"")</f>
        <v>#REF!</v>
      </c>
      <c r="K2365" s="222"/>
    </row>
    <row r="2366" spans="1:11" s="38" customFormat="1">
      <c r="A2366" s="20">
        <v>2583</v>
      </c>
      <c r="B2366" s="70" t="s">
        <v>2976</v>
      </c>
      <c r="C2366" s="21" t="s">
        <v>44</v>
      </c>
      <c r="D2366" s="21" t="s">
        <v>68</v>
      </c>
      <c r="E2366" s="22">
        <v>0.75</v>
      </c>
      <c r="F2366" s="205">
        <f t="shared" si="118"/>
        <v>31.058999999999997</v>
      </c>
      <c r="G2366" s="205">
        <f t="shared" si="119"/>
        <v>23.29</v>
      </c>
      <c r="H2366" s="336">
        <v>31.058999999999997</v>
      </c>
      <c r="I2366" s="38" t="e">
        <f>IF(A2366&lt;&gt;0,VLOOKUP(A2366,#REF!,2,FALSE),"")</f>
        <v>#REF!</v>
      </c>
      <c r="J2366" s="336"/>
      <c r="K2366" s="222"/>
    </row>
    <row r="2367" spans="1:11" ht="45">
      <c r="A2367" s="20">
        <v>36888</v>
      </c>
      <c r="B2367" s="70" t="s">
        <v>406</v>
      </c>
      <c r="C2367" s="21" t="s">
        <v>12</v>
      </c>
      <c r="D2367" s="21" t="s">
        <v>52</v>
      </c>
      <c r="E2367" s="22">
        <v>6.8503999999999996</v>
      </c>
      <c r="F2367" s="205">
        <f t="shared" si="118"/>
        <v>11.202999999999999</v>
      </c>
      <c r="G2367" s="205">
        <f t="shared" si="119"/>
        <v>76.75</v>
      </c>
      <c r="H2367" s="337">
        <v>11.202999999999999</v>
      </c>
      <c r="I2367" s="159" t="e">
        <f>IF(A2367&lt;&gt;0,VLOOKUP(A2367,#REF!,2,FALSE),"")</f>
        <v>#REF!</v>
      </c>
      <c r="K2367" s="222"/>
    </row>
    <row r="2368" spans="1:11" ht="30">
      <c r="A2368" s="20">
        <v>88309</v>
      </c>
      <c r="B2368" s="70" t="s">
        <v>390</v>
      </c>
      <c r="C2368" s="21" t="s">
        <v>12</v>
      </c>
      <c r="D2368" s="21" t="s">
        <v>19</v>
      </c>
      <c r="E2368" s="22">
        <v>0.35630000000000001</v>
      </c>
      <c r="F2368" s="205">
        <f t="shared" si="118"/>
        <v>15.121499999999999</v>
      </c>
      <c r="G2368" s="205">
        <f t="shared" si="119"/>
        <v>5.39</v>
      </c>
      <c r="H2368" s="337">
        <v>15.121499999999999</v>
      </c>
      <c r="I2368" s="38" t="e">
        <f>IF(A2368&lt;&gt;0,VLOOKUP(A2368,#REF!,2,FALSE),"")</f>
        <v>#REF!</v>
      </c>
      <c r="K2368" s="222"/>
    </row>
    <row r="2369" spans="1:11" ht="30">
      <c r="A2369" s="20">
        <v>88316</v>
      </c>
      <c r="B2369" s="70" t="s">
        <v>377</v>
      </c>
      <c r="C2369" s="21" t="s">
        <v>12</v>
      </c>
      <c r="D2369" s="21" t="s">
        <v>19</v>
      </c>
      <c r="E2369" s="22">
        <v>0.1779</v>
      </c>
      <c r="F2369" s="205">
        <f t="shared" si="118"/>
        <v>11.798000000000002</v>
      </c>
      <c r="G2369" s="205">
        <f t="shared" si="119"/>
        <v>2.1</v>
      </c>
      <c r="H2369" s="337">
        <v>11.798000000000002</v>
      </c>
      <c r="I2369" s="38" t="e">
        <f>IF(A2369&lt;&gt;0,VLOOKUP(A2369,#REF!,2,FALSE),"")</f>
        <v>#REF!</v>
      </c>
      <c r="K2369" s="222"/>
    </row>
    <row r="2370" spans="1:11">
      <c r="A2370" s="721" t="s">
        <v>1893</v>
      </c>
      <c r="B2370" s="721"/>
      <c r="C2370" s="721"/>
      <c r="D2370" s="721"/>
      <c r="E2370" s="721"/>
      <c r="F2370" s="721"/>
      <c r="G2370" s="206">
        <f>ROUND(SUM(G2363:G2369),2)</f>
        <v>1091.0899999999999</v>
      </c>
      <c r="K2370" s="222"/>
    </row>
    <row r="2371" spans="1:11" ht="25.5" customHeight="1">
      <c r="A2371" s="256"/>
      <c r="B2371" s="256"/>
      <c r="C2371" s="256"/>
      <c r="D2371" s="256"/>
      <c r="E2371" s="256"/>
      <c r="F2371" s="256"/>
      <c r="G2371" s="256"/>
      <c r="K2371" s="222"/>
    </row>
    <row r="2372" spans="1:11" ht="45" customHeight="1">
      <c r="A2372" s="612" t="s">
        <v>2977</v>
      </c>
      <c r="B2372" s="613"/>
      <c r="C2372" s="613"/>
      <c r="D2372" s="613"/>
      <c r="E2372" s="718"/>
      <c r="F2372" s="203" t="s">
        <v>1914</v>
      </c>
      <c r="G2372" s="321" t="s">
        <v>2700</v>
      </c>
      <c r="K2372" s="222"/>
    </row>
    <row r="2373" spans="1:11" ht="28.5">
      <c r="A2373" s="623" t="s">
        <v>364</v>
      </c>
      <c r="B2373" s="624"/>
      <c r="C2373" s="69" t="s">
        <v>3</v>
      </c>
      <c r="D2373" s="69" t="s">
        <v>4</v>
      </c>
      <c r="E2373" s="69" t="s">
        <v>1826</v>
      </c>
      <c r="F2373" s="69" t="s">
        <v>367</v>
      </c>
      <c r="G2373" s="69" t="s">
        <v>368</v>
      </c>
      <c r="K2373" s="222"/>
    </row>
    <row r="2374" spans="1:11" ht="45">
      <c r="A2374" s="20">
        <v>142</v>
      </c>
      <c r="B2374" s="70" t="s">
        <v>423</v>
      </c>
      <c r="C2374" s="21" t="s">
        <v>12</v>
      </c>
      <c r="D2374" s="21" t="s">
        <v>424</v>
      </c>
      <c r="E2374" s="22">
        <v>0.88290000000000002</v>
      </c>
      <c r="F2374" s="205">
        <f t="shared" ref="F2374:F2380" si="120">H2374</f>
        <v>28.126500000000004</v>
      </c>
      <c r="G2374" s="205">
        <f t="shared" ref="G2374:G2380" si="121">ROUND(F2374*E2374,2)</f>
        <v>24.83</v>
      </c>
      <c r="H2374" s="337">
        <v>28.126500000000004</v>
      </c>
      <c r="I2374" s="159" t="e">
        <f>IF(A2374&lt;&gt;0,VLOOKUP(A2374,#REF!,2,FALSE),"")</f>
        <v>#REF!</v>
      </c>
      <c r="K2374" s="222"/>
    </row>
    <row r="2375" spans="1:11" ht="60">
      <c r="A2375" s="20">
        <v>7568</v>
      </c>
      <c r="B2375" s="70" t="s">
        <v>425</v>
      </c>
      <c r="C2375" s="21" t="s">
        <v>12</v>
      </c>
      <c r="D2375" s="21" t="s">
        <v>17</v>
      </c>
      <c r="E2375" s="22">
        <v>4.8166000000000002</v>
      </c>
      <c r="F2375" s="205">
        <f t="shared" si="120"/>
        <v>0.30599999999999999</v>
      </c>
      <c r="G2375" s="205">
        <f t="shared" si="121"/>
        <v>1.47</v>
      </c>
      <c r="H2375" s="337">
        <v>0.30599999999999999</v>
      </c>
      <c r="I2375" s="159" t="e">
        <f>IF(A2375&lt;&gt;0,VLOOKUP(A2375,#REF!,2,FALSE),"")</f>
        <v>#REF!</v>
      </c>
      <c r="K2375" s="222"/>
    </row>
    <row r="2376" spans="1:11" ht="75">
      <c r="A2376" s="20">
        <v>39024</v>
      </c>
      <c r="B2376" s="70" t="s">
        <v>426</v>
      </c>
      <c r="C2376" s="21" t="s">
        <v>12</v>
      </c>
      <c r="D2376" s="21" t="s">
        <v>17</v>
      </c>
      <c r="E2376" s="22">
        <v>1.0344</v>
      </c>
      <c r="F2376" s="205">
        <f t="shared" si="120"/>
        <v>555.25400000000002</v>
      </c>
      <c r="G2376" s="205">
        <f t="shared" si="121"/>
        <v>574.35</v>
      </c>
      <c r="H2376" s="337">
        <v>555.25400000000002</v>
      </c>
      <c r="I2376" s="159" t="e">
        <f>IF(A2376&lt;&gt;0,VLOOKUP(A2376,#REF!,2,FALSE),"")</f>
        <v>#REF!</v>
      </c>
      <c r="K2376" s="222"/>
    </row>
    <row r="2377" spans="1:11" s="38" customFormat="1">
      <c r="A2377" s="20">
        <v>2583</v>
      </c>
      <c r="B2377" s="70" t="s">
        <v>2976</v>
      </c>
      <c r="C2377" s="21" t="s">
        <v>44</v>
      </c>
      <c r="D2377" s="21" t="s">
        <v>68</v>
      </c>
      <c r="E2377" s="22">
        <v>0.75</v>
      </c>
      <c r="F2377" s="205">
        <f t="shared" si="120"/>
        <v>31.058999999999997</v>
      </c>
      <c r="G2377" s="205">
        <f t="shared" si="121"/>
        <v>23.29</v>
      </c>
      <c r="H2377" s="336">
        <v>31.058999999999997</v>
      </c>
      <c r="I2377" s="38" t="e">
        <f>IF(A2377&lt;&gt;0,VLOOKUP(A2377,#REF!,2,FALSE),"")</f>
        <v>#REF!</v>
      </c>
      <c r="J2377" s="336"/>
      <c r="K2377" s="222"/>
    </row>
    <row r="2378" spans="1:11" ht="45">
      <c r="A2378" s="20">
        <v>36888</v>
      </c>
      <c r="B2378" s="70" t="s">
        <v>406</v>
      </c>
      <c r="C2378" s="21" t="s">
        <v>12</v>
      </c>
      <c r="D2378" s="21" t="s">
        <v>52</v>
      </c>
      <c r="E2378" s="22">
        <v>6.8503999999999996</v>
      </c>
      <c r="F2378" s="205">
        <f t="shared" si="120"/>
        <v>11.202999999999999</v>
      </c>
      <c r="G2378" s="205">
        <f t="shared" si="121"/>
        <v>76.75</v>
      </c>
      <c r="H2378" s="337">
        <v>11.202999999999999</v>
      </c>
      <c r="I2378" s="209" t="e">
        <f>IF(A2378&lt;&gt;0,VLOOKUP(A2378,#REF!,2,FALSE),"")</f>
        <v>#REF!</v>
      </c>
      <c r="K2378" s="222"/>
    </row>
    <row r="2379" spans="1:11" ht="30">
      <c r="A2379" s="20">
        <v>88309</v>
      </c>
      <c r="B2379" s="70" t="s">
        <v>390</v>
      </c>
      <c r="C2379" s="21" t="s">
        <v>12</v>
      </c>
      <c r="D2379" s="21" t="s">
        <v>19</v>
      </c>
      <c r="E2379" s="22">
        <v>0.35630000000000001</v>
      </c>
      <c r="F2379" s="205">
        <f t="shared" si="120"/>
        <v>15.121499999999999</v>
      </c>
      <c r="G2379" s="205">
        <f t="shared" si="121"/>
        <v>5.39</v>
      </c>
      <c r="H2379" s="337">
        <v>15.121499999999999</v>
      </c>
      <c r="I2379" s="38" t="e">
        <f>IF(A2379&lt;&gt;0,VLOOKUP(A2379,#REF!,2,FALSE),"")</f>
        <v>#REF!</v>
      </c>
      <c r="K2379" s="222"/>
    </row>
    <row r="2380" spans="1:11" ht="30">
      <c r="A2380" s="20">
        <v>88316</v>
      </c>
      <c r="B2380" s="70" t="s">
        <v>377</v>
      </c>
      <c r="C2380" s="21" t="s">
        <v>12</v>
      </c>
      <c r="D2380" s="21" t="s">
        <v>19</v>
      </c>
      <c r="E2380" s="22">
        <v>0.1779</v>
      </c>
      <c r="F2380" s="205">
        <f t="shared" si="120"/>
        <v>11.798000000000002</v>
      </c>
      <c r="G2380" s="205">
        <f t="shared" si="121"/>
        <v>2.1</v>
      </c>
      <c r="H2380" s="337">
        <v>11.798000000000002</v>
      </c>
      <c r="I2380" s="38" t="e">
        <f>IF(A2380&lt;&gt;0,VLOOKUP(A2380,#REF!,2,FALSE),"")</f>
        <v>#REF!</v>
      </c>
      <c r="K2380" s="222"/>
    </row>
    <row r="2381" spans="1:11">
      <c r="A2381" s="721" t="s">
        <v>1893</v>
      </c>
      <c r="B2381" s="721"/>
      <c r="C2381" s="721"/>
      <c r="D2381" s="721"/>
      <c r="E2381" s="721"/>
      <c r="F2381" s="721"/>
      <c r="G2381" s="206">
        <f>ROUND(SUM(G2374:G2380),2)</f>
        <v>708.18</v>
      </c>
      <c r="K2381" s="222"/>
    </row>
    <row r="2382" spans="1:11" ht="27" customHeight="1">
      <c r="A2382" s="256"/>
      <c r="B2382" s="256"/>
      <c r="C2382" s="256"/>
      <c r="D2382" s="256"/>
      <c r="E2382" s="256"/>
      <c r="F2382" s="256"/>
      <c r="G2382" s="256"/>
      <c r="K2382" s="222"/>
    </row>
    <row r="2383" spans="1:11" ht="54.75" customHeight="1">
      <c r="A2383" s="612" t="s">
        <v>2978</v>
      </c>
      <c r="B2383" s="613"/>
      <c r="C2383" s="613"/>
      <c r="D2383" s="613"/>
      <c r="E2383" s="718"/>
      <c r="F2383" s="203" t="s">
        <v>1914</v>
      </c>
      <c r="G2383" s="321" t="s">
        <v>2702</v>
      </c>
      <c r="K2383" s="222"/>
    </row>
    <row r="2384" spans="1:11" ht="28.5">
      <c r="A2384" s="623" t="s">
        <v>364</v>
      </c>
      <c r="B2384" s="624"/>
      <c r="C2384" s="69" t="s">
        <v>3</v>
      </c>
      <c r="D2384" s="69" t="s">
        <v>4</v>
      </c>
      <c r="E2384" s="69" t="s">
        <v>1826</v>
      </c>
      <c r="F2384" s="69" t="s">
        <v>367</v>
      </c>
      <c r="G2384" s="69" t="s">
        <v>368</v>
      </c>
      <c r="K2384" s="222"/>
    </row>
    <row r="2385" spans="1:11" ht="45">
      <c r="A2385" s="20">
        <v>142</v>
      </c>
      <c r="B2385" s="70" t="s">
        <v>423</v>
      </c>
      <c r="C2385" s="21" t="s">
        <v>12</v>
      </c>
      <c r="D2385" s="21" t="s">
        <v>424</v>
      </c>
      <c r="E2385" s="22">
        <v>0.88290000000000002</v>
      </c>
      <c r="F2385" s="205">
        <f t="shared" ref="F2385:F2390" si="122">H2385</f>
        <v>28.126500000000004</v>
      </c>
      <c r="G2385" s="205">
        <f t="shared" ref="G2385:G2390" si="123">ROUND(F2385*E2385,2)</f>
        <v>24.83</v>
      </c>
      <c r="H2385" s="337">
        <v>28.126500000000004</v>
      </c>
      <c r="I2385" s="159" t="e">
        <f>IF(A2385&lt;&gt;0,VLOOKUP(A2385,#REF!,2,FALSE),"")</f>
        <v>#REF!</v>
      </c>
      <c r="K2385" s="222"/>
    </row>
    <row r="2386" spans="1:11" ht="60">
      <c r="A2386" s="20">
        <v>7568</v>
      </c>
      <c r="B2386" s="70" t="s">
        <v>425</v>
      </c>
      <c r="C2386" s="21" t="s">
        <v>12</v>
      </c>
      <c r="D2386" s="21" t="s">
        <v>17</v>
      </c>
      <c r="E2386" s="22">
        <v>4.8166000000000002</v>
      </c>
      <c r="F2386" s="205">
        <f t="shared" si="122"/>
        <v>0.30599999999999999</v>
      </c>
      <c r="G2386" s="205">
        <f t="shared" si="123"/>
        <v>1.47</v>
      </c>
      <c r="H2386" s="337">
        <v>0.30599999999999999</v>
      </c>
      <c r="I2386" s="159" t="e">
        <f>IF(A2386&lt;&gt;0,VLOOKUP(A2386,#REF!,2,FALSE),"")</f>
        <v>#REF!</v>
      </c>
      <c r="K2386" s="222"/>
    </row>
    <row r="2387" spans="1:11" ht="75">
      <c r="A2387" s="20">
        <v>39024</v>
      </c>
      <c r="B2387" s="70" t="s">
        <v>426</v>
      </c>
      <c r="C2387" s="21" t="s">
        <v>12</v>
      </c>
      <c r="D2387" s="21" t="s">
        <v>17</v>
      </c>
      <c r="E2387" s="22">
        <v>1.38</v>
      </c>
      <c r="F2387" s="205">
        <f t="shared" si="122"/>
        <v>555.25400000000002</v>
      </c>
      <c r="G2387" s="205">
        <f t="shared" si="123"/>
        <v>766.25</v>
      </c>
      <c r="H2387" s="337">
        <v>555.25400000000002</v>
      </c>
      <c r="I2387" s="159" t="e">
        <f>IF(A2387&lt;&gt;0,VLOOKUP(A2387,#REF!,2,FALSE),"")</f>
        <v>#REF!</v>
      </c>
      <c r="K2387" s="222"/>
    </row>
    <row r="2388" spans="1:11" ht="45">
      <c r="A2388" s="20">
        <v>36888</v>
      </c>
      <c r="B2388" s="70" t="s">
        <v>406</v>
      </c>
      <c r="C2388" s="21" t="s">
        <v>12</v>
      </c>
      <c r="D2388" s="21" t="s">
        <v>52</v>
      </c>
      <c r="E2388" s="22">
        <v>6.8503999999999996</v>
      </c>
      <c r="F2388" s="205">
        <f t="shared" si="122"/>
        <v>11.202999999999999</v>
      </c>
      <c r="G2388" s="205">
        <f t="shared" si="123"/>
        <v>76.75</v>
      </c>
      <c r="H2388" s="337">
        <v>11.202999999999999</v>
      </c>
      <c r="I2388" s="159" t="e">
        <f>IF(A2388&lt;&gt;0,VLOOKUP(A2388,#REF!,2,FALSE),"")</f>
        <v>#REF!</v>
      </c>
      <c r="K2388" s="222"/>
    </row>
    <row r="2389" spans="1:11" ht="30">
      <c r="A2389" s="20">
        <v>88309</v>
      </c>
      <c r="B2389" s="70" t="s">
        <v>390</v>
      </c>
      <c r="C2389" s="21" t="s">
        <v>12</v>
      </c>
      <c r="D2389" s="21" t="s">
        <v>19</v>
      </c>
      <c r="E2389" s="22">
        <v>0.35630000000000001</v>
      </c>
      <c r="F2389" s="205">
        <f t="shared" si="122"/>
        <v>15.121499999999999</v>
      </c>
      <c r="G2389" s="205">
        <f t="shared" si="123"/>
        <v>5.39</v>
      </c>
      <c r="H2389" s="337">
        <v>15.121499999999999</v>
      </c>
      <c r="I2389" s="38" t="e">
        <f>IF(A2389&lt;&gt;0,VLOOKUP(A2389,#REF!,2,FALSE),"")</f>
        <v>#REF!</v>
      </c>
      <c r="K2389" s="222"/>
    </row>
    <row r="2390" spans="1:11" ht="30">
      <c r="A2390" s="20">
        <v>88316</v>
      </c>
      <c r="B2390" s="70" t="s">
        <v>377</v>
      </c>
      <c r="C2390" s="21" t="s">
        <v>12</v>
      </c>
      <c r="D2390" s="21" t="s">
        <v>19</v>
      </c>
      <c r="E2390" s="22">
        <v>0.1779</v>
      </c>
      <c r="F2390" s="205">
        <f t="shared" si="122"/>
        <v>11.798000000000002</v>
      </c>
      <c r="G2390" s="205">
        <f t="shared" si="123"/>
        <v>2.1</v>
      </c>
      <c r="H2390" s="337">
        <v>11.798000000000002</v>
      </c>
      <c r="I2390" s="38" t="e">
        <f>IF(A2390&lt;&gt;0,VLOOKUP(A2390,#REF!,2,FALSE),"")</f>
        <v>#REF!</v>
      </c>
      <c r="K2390" s="222"/>
    </row>
    <row r="2391" spans="1:11">
      <c r="A2391" s="721" t="s">
        <v>1893</v>
      </c>
      <c r="B2391" s="721"/>
      <c r="C2391" s="721"/>
      <c r="D2391" s="721"/>
      <c r="E2391" s="721"/>
      <c r="F2391" s="721"/>
      <c r="G2391" s="206">
        <f>ROUND(SUM(G2385:G2390),2)</f>
        <v>876.79</v>
      </c>
      <c r="K2391" s="222"/>
    </row>
    <row r="2392" spans="1:11" ht="23.25" customHeight="1">
      <c r="A2392" s="256"/>
      <c r="B2392" s="256"/>
      <c r="C2392" s="256"/>
      <c r="D2392" s="256"/>
      <c r="E2392" s="256"/>
      <c r="F2392" s="256"/>
      <c r="G2392" s="256"/>
      <c r="K2392" s="222"/>
    </row>
    <row r="2393" spans="1:11" ht="60.75" customHeight="1">
      <c r="A2393" s="612" t="s">
        <v>2979</v>
      </c>
      <c r="B2393" s="613"/>
      <c r="C2393" s="613"/>
      <c r="D2393" s="613"/>
      <c r="E2393" s="718"/>
      <c r="F2393" s="203" t="s">
        <v>1914</v>
      </c>
      <c r="G2393" s="321" t="s">
        <v>2704</v>
      </c>
      <c r="K2393" s="222"/>
    </row>
    <row r="2394" spans="1:11" ht="28.5">
      <c r="A2394" s="623" t="s">
        <v>364</v>
      </c>
      <c r="B2394" s="624"/>
      <c r="C2394" s="69" t="s">
        <v>3</v>
      </c>
      <c r="D2394" s="69" t="s">
        <v>4</v>
      </c>
      <c r="E2394" s="69" t="s">
        <v>1826</v>
      </c>
      <c r="F2394" s="69" t="s">
        <v>367</v>
      </c>
      <c r="G2394" s="69" t="s">
        <v>368</v>
      </c>
      <c r="K2394" s="222"/>
    </row>
    <row r="2395" spans="1:11" ht="45">
      <c r="A2395" s="20">
        <v>142</v>
      </c>
      <c r="B2395" s="70" t="s">
        <v>423</v>
      </c>
      <c r="C2395" s="21" t="s">
        <v>12</v>
      </c>
      <c r="D2395" s="21" t="s">
        <v>424</v>
      </c>
      <c r="E2395" s="22">
        <v>0.88290000000000002</v>
      </c>
      <c r="F2395" s="205">
        <f t="shared" ref="F2395:F2401" si="124">H2395</f>
        <v>28.126500000000004</v>
      </c>
      <c r="G2395" s="205">
        <f t="shared" ref="G2395:G2401" si="125">ROUND(F2395*E2395,2)</f>
        <v>24.83</v>
      </c>
      <c r="H2395" s="337">
        <v>28.126500000000004</v>
      </c>
      <c r="I2395" s="159" t="e">
        <f>IF(A2395&lt;&gt;0,VLOOKUP(A2395,#REF!,2,FALSE),"")</f>
        <v>#REF!</v>
      </c>
      <c r="K2395" s="222"/>
    </row>
    <row r="2396" spans="1:11" ht="60">
      <c r="A2396" s="20">
        <v>7568</v>
      </c>
      <c r="B2396" s="70" t="s">
        <v>425</v>
      </c>
      <c r="C2396" s="21" t="s">
        <v>12</v>
      </c>
      <c r="D2396" s="21" t="s">
        <v>17</v>
      </c>
      <c r="E2396" s="22">
        <v>4.8166000000000002</v>
      </c>
      <c r="F2396" s="205">
        <f t="shared" si="124"/>
        <v>0.30599999999999999</v>
      </c>
      <c r="G2396" s="205">
        <f t="shared" si="125"/>
        <v>1.47</v>
      </c>
      <c r="H2396" s="337">
        <v>0.30599999999999999</v>
      </c>
      <c r="I2396" s="159" t="e">
        <f>IF(A2396&lt;&gt;0,VLOOKUP(A2396,#REF!,2,FALSE),"")</f>
        <v>#REF!</v>
      </c>
      <c r="K2396" s="222"/>
    </row>
    <row r="2397" spans="1:11" ht="75">
      <c r="A2397" s="20">
        <v>39024</v>
      </c>
      <c r="B2397" s="70" t="s">
        <v>426</v>
      </c>
      <c r="C2397" s="21" t="s">
        <v>12</v>
      </c>
      <c r="D2397" s="21" t="s">
        <v>17</v>
      </c>
      <c r="E2397" s="22">
        <v>2.96</v>
      </c>
      <c r="F2397" s="205">
        <f t="shared" si="124"/>
        <v>555.25400000000002</v>
      </c>
      <c r="G2397" s="205">
        <f t="shared" si="125"/>
        <v>1643.55</v>
      </c>
      <c r="H2397" s="337">
        <v>555.25400000000002</v>
      </c>
      <c r="I2397" s="159" t="e">
        <f>IF(A2397&lt;&gt;0,VLOOKUP(A2397,#REF!,2,FALSE),"")</f>
        <v>#REF!</v>
      </c>
      <c r="K2397" s="222"/>
    </row>
    <row r="2398" spans="1:11" s="38" customFormat="1">
      <c r="A2398" s="20">
        <v>2583</v>
      </c>
      <c r="B2398" s="70" t="s">
        <v>2976</v>
      </c>
      <c r="C2398" s="21" t="s">
        <v>44</v>
      </c>
      <c r="D2398" s="21" t="s">
        <v>68</v>
      </c>
      <c r="E2398" s="22">
        <v>2.0720000000000001</v>
      </c>
      <c r="F2398" s="205">
        <f t="shared" si="124"/>
        <v>31.058999999999997</v>
      </c>
      <c r="G2398" s="205">
        <f t="shared" si="125"/>
        <v>64.349999999999994</v>
      </c>
      <c r="H2398" s="336">
        <v>31.058999999999997</v>
      </c>
      <c r="I2398" s="38" t="e">
        <f>IF(A2398&lt;&gt;0,VLOOKUP(A2398,#REF!,2,FALSE),"")</f>
        <v>#REF!</v>
      </c>
      <c r="J2398" s="336"/>
      <c r="K2398" s="222"/>
    </row>
    <row r="2399" spans="1:11" ht="45">
      <c r="A2399" s="20">
        <v>36888</v>
      </c>
      <c r="B2399" s="70" t="s">
        <v>406</v>
      </c>
      <c r="C2399" s="21" t="s">
        <v>12</v>
      </c>
      <c r="D2399" s="21" t="s">
        <v>52</v>
      </c>
      <c r="E2399" s="22">
        <v>6.8503999999999996</v>
      </c>
      <c r="F2399" s="205">
        <f t="shared" si="124"/>
        <v>11.202999999999999</v>
      </c>
      <c r="G2399" s="205">
        <f t="shared" si="125"/>
        <v>76.75</v>
      </c>
      <c r="H2399" s="337">
        <v>11.202999999999999</v>
      </c>
      <c r="I2399" s="159" t="e">
        <f>IF(A2399&lt;&gt;0,VLOOKUP(A2399,#REF!,2,FALSE),"")</f>
        <v>#REF!</v>
      </c>
      <c r="K2399" s="222"/>
    </row>
    <row r="2400" spans="1:11" ht="30">
      <c r="A2400" s="20">
        <v>88309</v>
      </c>
      <c r="B2400" s="70" t="s">
        <v>390</v>
      </c>
      <c r="C2400" s="21" t="s">
        <v>12</v>
      </c>
      <c r="D2400" s="21" t="s">
        <v>19</v>
      </c>
      <c r="E2400" s="22">
        <v>0.35630000000000001</v>
      </c>
      <c r="F2400" s="205">
        <f t="shared" si="124"/>
        <v>15.121499999999999</v>
      </c>
      <c r="G2400" s="205">
        <f t="shared" si="125"/>
        <v>5.39</v>
      </c>
      <c r="H2400" s="337">
        <v>15.121499999999999</v>
      </c>
      <c r="I2400" s="38" t="e">
        <f>IF(A2400&lt;&gt;0,VLOOKUP(A2400,#REF!,2,FALSE),"")</f>
        <v>#REF!</v>
      </c>
      <c r="K2400" s="222"/>
    </row>
    <row r="2401" spans="1:11" ht="30">
      <c r="A2401" s="20">
        <v>88316</v>
      </c>
      <c r="B2401" s="70" t="s">
        <v>377</v>
      </c>
      <c r="C2401" s="21" t="s">
        <v>12</v>
      </c>
      <c r="D2401" s="21" t="s">
        <v>19</v>
      </c>
      <c r="E2401" s="22">
        <v>0.1779</v>
      </c>
      <c r="F2401" s="205">
        <f t="shared" si="124"/>
        <v>11.798000000000002</v>
      </c>
      <c r="G2401" s="205">
        <f t="shared" si="125"/>
        <v>2.1</v>
      </c>
      <c r="H2401" s="337">
        <v>11.798000000000002</v>
      </c>
      <c r="I2401" s="39" t="e">
        <f>IF(A2401&lt;&gt;0,VLOOKUP(A2401,#REF!,2,FALSE),"")</f>
        <v>#REF!</v>
      </c>
      <c r="K2401" s="222"/>
    </row>
    <row r="2402" spans="1:11">
      <c r="A2402" s="721" t="s">
        <v>1893</v>
      </c>
      <c r="B2402" s="721"/>
      <c r="C2402" s="721"/>
      <c r="D2402" s="721"/>
      <c r="E2402" s="721"/>
      <c r="F2402" s="721"/>
      <c r="G2402" s="206">
        <f>ROUND(SUM(G2395:G2401),2)</f>
        <v>1818.44</v>
      </c>
      <c r="K2402" s="222"/>
    </row>
    <row r="2403" spans="1:11" ht="27" customHeight="1">
      <c r="K2403" s="222"/>
    </row>
    <row r="2404" spans="1:11" ht="30.75" customHeight="1">
      <c r="A2404" s="612" t="s">
        <v>2980</v>
      </c>
      <c r="B2404" s="613"/>
      <c r="C2404" s="613"/>
      <c r="D2404" s="613"/>
      <c r="E2404" s="718"/>
      <c r="F2404" s="203" t="s">
        <v>1914</v>
      </c>
      <c r="G2404" s="67" t="s">
        <v>2706</v>
      </c>
      <c r="K2404" s="222"/>
    </row>
    <row r="2405" spans="1:11" ht="28.5">
      <c r="A2405" s="623" t="s">
        <v>364</v>
      </c>
      <c r="B2405" s="624"/>
      <c r="C2405" s="69" t="s">
        <v>3</v>
      </c>
      <c r="D2405" s="69" t="s">
        <v>4</v>
      </c>
      <c r="E2405" s="69" t="s">
        <v>1826</v>
      </c>
      <c r="F2405" s="69" t="s">
        <v>367</v>
      </c>
      <c r="G2405" s="85" t="s">
        <v>368</v>
      </c>
      <c r="K2405" s="222"/>
    </row>
    <row r="2406" spans="1:11" ht="45">
      <c r="A2406" s="20">
        <v>599</v>
      </c>
      <c r="B2406" s="70" t="s">
        <v>439</v>
      </c>
      <c r="C2406" s="21" t="s">
        <v>12</v>
      </c>
      <c r="D2406" s="21" t="s">
        <v>26</v>
      </c>
      <c r="E2406" s="22">
        <v>0.5</v>
      </c>
      <c r="F2406" s="205">
        <f t="shared" ref="F2406:F2413" si="126">H2406</f>
        <v>383.16300000000001</v>
      </c>
      <c r="G2406" s="205">
        <f t="shared" ref="G2406:G2413" si="127">ROUND(F2406*E2406,2)</f>
        <v>191.58</v>
      </c>
      <c r="H2406" s="337">
        <v>383.16300000000001</v>
      </c>
      <c r="I2406" s="159" t="e">
        <f>IF(A2406&lt;&gt;0,VLOOKUP(A2406,#REF!,2,FALSE),"")</f>
        <v>#REF!</v>
      </c>
      <c r="K2406" s="222"/>
    </row>
    <row r="2407" spans="1:11" ht="30">
      <c r="A2407" s="20">
        <v>88309</v>
      </c>
      <c r="B2407" s="70" t="s">
        <v>390</v>
      </c>
      <c r="C2407" s="21" t="s">
        <v>12</v>
      </c>
      <c r="D2407" s="21" t="s">
        <v>19</v>
      </c>
      <c r="E2407" s="22">
        <v>0.3</v>
      </c>
      <c r="F2407" s="205">
        <f t="shared" si="126"/>
        <v>15.121499999999999</v>
      </c>
      <c r="G2407" s="205">
        <f t="shared" si="127"/>
        <v>4.54</v>
      </c>
      <c r="H2407" s="337">
        <v>15.121499999999999</v>
      </c>
      <c r="I2407" s="39" t="e">
        <f>IF(A2407&lt;&gt;0,VLOOKUP(A2407,#REF!,2,FALSE),"")</f>
        <v>#REF!</v>
      </c>
      <c r="K2407" s="222"/>
    </row>
    <row r="2408" spans="1:11" ht="30">
      <c r="A2408" s="20">
        <v>88315</v>
      </c>
      <c r="B2408" s="70" t="s">
        <v>420</v>
      </c>
      <c r="C2408" s="21" t="s">
        <v>12</v>
      </c>
      <c r="D2408" s="21" t="s">
        <v>19</v>
      </c>
      <c r="E2408" s="22">
        <v>0.8</v>
      </c>
      <c r="F2408" s="205">
        <f t="shared" si="126"/>
        <v>15.045</v>
      </c>
      <c r="G2408" s="205">
        <f t="shared" si="127"/>
        <v>12.04</v>
      </c>
      <c r="H2408" s="337">
        <v>15.045</v>
      </c>
      <c r="I2408" s="39" t="e">
        <f>IF(A2408&lt;&gt;0,VLOOKUP(A2408,#REF!,2,FALSE),"")</f>
        <v>#REF!</v>
      </c>
      <c r="K2408" s="222"/>
    </row>
    <row r="2409" spans="1:11" ht="30">
      <c r="A2409" s="20">
        <v>88316</v>
      </c>
      <c r="B2409" s="70" t="s">
        <v>377</v>
      </c>
      <c r="C2409" s="21" t="s">
        <v>12</v>
      </c>
      <c r="D2409" s="21" t="s">
        <v>19</v>
      </c>
      <c r="E2409" s="22">
        <v>1.2</v>
      </c>
      <c r="F2409" s="205">
        <f t="shared" si="126"/>
        <v>11.798000000000002</v>
      </c>
      <c r="G2409" s="205">
        <f t="shared" si="127"/>
        <v>14.16</v>
      </c>
      <c r="H2409" s="337">
        <v>11.798000000000002</v>
      </c>
      <c r="I2409" s="39" t="e">
        <f>IF(A2409&lt;&gt;0,VLOOKUP(A2409,#REF!,2,FALSE),"")</f>
        <v>#REF!</v>
      </c>
      <c r="K2409" s="222"/>
    </row>
    <row r="2410" spans="1:11" ht="45">
      <c r="A2410" s="20">
        <v>88627</v>
      </c>
      <c r="B2410" s="70" t="s">
        <v>1793</v>
      </c>
      <c r="C2410" s="21" t="s">
        <v>12</v>
      </c>
      <c r="D2410" s="21" t="s">
        <v>35</v>
      </c>
      <c r="E2410" s="22">
        <v>6.0000000000000001E-3</v>
      </c>
      <c r="F2410" s="205">
        <f t="shared" si="126"/>
        <v>414.29849999999999</v>
      </c>
      <c r="G2410" s="205">
        <f t="shared" si="127"/>
        <v>2.4900000000000002</v>
      </c>
      <c r="H2410" s="337">
        <v>414.29849999999999</v>
      </c>
      <c r="I2410" s="39" t="e">
        <f>IF(A2410&lt;&gt;0,VLOOKUP(A2410,#REF!,2,FALSE),"")</f>
        <v>#REF!</v>
      </c>
      <c r="K2410" s="222"/>
    </row>
    <row r="2411" spans="1:11">
      <c r="A2411" s="20">
        <v>94569</v>
      </c>
      <c r="B2411" s="70" t="e">
        <f>I2411</f>
        <v>#REF!</v>
      </c>
      <c r="C2411" s="21" t="s">
        <v>12</v>
      </c>
      <c r="D2411" s="21" t="s">
        <v>26</v>
      </c>
      <c r="E2411" s="22">
        <v>0.5</v>
      </c>
      <c r="F2411" s="205">
        <f t="shared" si="126"/>
        <v>600.58450000000005</v>
      </c>
      <c r="G2411" s="205">
        <f t="shared" si="127"/>
        <v>300.29000000000002</v>
      </c>
      <c r="H2411" s="337">
        <v>600.58450000000005</v>
      </c>
      <c r="I2411" s="39" t="e">
        <f>IF(A2411&lt;&gt;0,VLOOKUP(A2411,#REF!,2,FALSE),"")</f>
        <v>#REF!</v>
      </c>
      <c r="K2411" s="222"/>
    </row>
    <row r="2412" spans="1:11">
      <c r="A2412" s="20">
        <v>10498</v>
      </c>
      <c r="B2412" s="70" t="e">
        <f>I2412</f>
        <v>#REF!</v>
      </c>
      <c r="C2412" s="21" t="s">
        <v>12</v>
      </c>
      <c r="D2412" s="21" t="s">
        <v>45</v>
      </c>
      <c r="E2412" s="22">
        <v>1.5</v>
      </c>
      <c r="F2412" s="205">
        <f t="shared" si="126"/>
        <v>8.6445000000000007</v>
      </c>
      <c r="G2412" s="205">
        <f t="shared" si="127"/>
        <v>12.97</v>
      </c>
      <c r="H2412" s="337">
        <v>8.6445000000000007</v>
      </c>
      <c r="I2412" s="159" t="e">
        <f>IF(A2412&lt;&gt;0,VLOOKUP(A2412,#REF!,2,FALSE),"")</f>
        <v>#REF!</v>
      </c>
      <c r="K2412" s="222"/>
    </row>
    <row r="2413" spans="1:11">
      <c r="A2413" s="20">
        <v>88325</v>
      </c>
      <c r="B2413" s="70" t="e">
        <f>I2413</f>
        <v>#REF!</v>
      </c>
      <c r="C2413" s="21" t="s">
        <v>12</v>
      </c>
      <c r="D2413" s="21" t="s">
        <v>19</v>
      </c>
      <c r="E2413" s="22">
        <v>1</v>
      </c>
      <c r="F2413" s="205">
        <f t="shared" si="126"/>
        <v>12.699</v>
      </c>
      <c r="G2413" s="205">
        <f t="shared" si="127"/>
        <v>12.7</v>
      </c>
      <c r="H2413" s="337">
        <v>12.699</v>
      </c>
      <c r="I2413" s="39" t="e">
        <f>IF(A2413&lt;&gt;0,VLOOKUP(A2413,#REF!,2,FALSE),"")</f>
        <v>#REF!</v>
      </c>
      <c r="K2413" s="222"/>
    </row>
    <row r="2414" spans="1:11">
      <c r="A2414" s="721" t="s">
        <v>1893</v>
      </c>
      <c r="B2414" s="721"/>
      <c r="C2414" s="721"/>
      <c r="D2414" s="721"/>
      <c r="E2414" s="721"/>
      <c r="F2414" s="721"/>
      <c r="G2414" s="206">
        <f>ROUND(SUM(G2406:G2413),2)</f>
        <v>550.77</v>
      </c>
      <c r="K2414" s="222"/>
    </row>
    <row r="2415" spans="1:11" ht="25.5" customHeight="1">
      <c r="A2415" s="256"/>
      <c r="B2415" s="256"/>
      <c r="C2415" s="256"/>
      <c r="D2415" s="256"/>
      <c r="E2415" s="256"/>
      <c r="F2415" s="256"/>
      <c r="G2415" s="256"/>
      <c r="K2415" s="222"/>
    </row>
    <row r="2416" spans="1:11" ht="29.25" customHeight="1">
      <c r="A2416" s="612" t="s">
        <v>2981</v>
      </c>
      <c r="B2416" s="613"/>
      <c r="C2416" s="613"/>
      <c r="D2416" s="613"/>
      <c r="E2416" s="718"/>
      <c r="F2416" s="203" t="s">
        <v>1914</v>
      </c>
      <c r="G2416" s="321" t="s">
        <v>2709</v>
      </c>
      <c r="K2416" s="222"/>
    </row>
    <row r="2417" spans="1:11" ht="28.5">
      <c r="A2417" s="623" t="s">
        <v>364</v>
      </c>
      <c r="B2417" s="624"/>
      <c r="C2417" s="69" t="s">
        <v>3</v>
      </c>
      <c r="D2417" s="69" t="s">
        <v>4</v>
      </c>
      <c r="E2417" s="69" t="s">
        <v>1826</v>
      </c>
      <c r="F2417" s="69" t="s">
        <v>367</v>
      </c>
      <c r="G2417" s="69" t="s">
        <v>368</v>
      </c>
      <c r="K2417" s="222"/>
    </row>
    <row r="2418" spans="1:11" ht="30">
      <c r="A2418" s="20">
        <v>13284</v>
      </c>
      <c r="B2418" s="70" t="s">
        <v>443</v>
      </c>
      <c r="C2418" s="21" t="s">
        <v>12</v>
      </c>
      <c r="D2418" s="21" t="s">
        <v>45</v>
      </c>
      <c r="E2418" s="22">
        <v>1.2</v>
      </c>
      <c r="F2418" s="205">
        <f t="shared" ref="F2418:F2426" si="128">H2418</f>
        <v>0.60349999999999993</v>
      </c>
      <c r="G2418" s="205">
        <f t="shared" ref="G2418:G2426" si="129">ROUND(F2418*E2418,2)</f>
        <v>0.72</v>
      </c>
      <c r="H2418" s="337">
        <v>0.60349999999999993</v>
      </c>
      <c r="I2418" s="159" t="e">
        <f>IF(A2418&lt;&gt;0,VLOOKUP(A2418,#REF!,2,FALSE),"")</f>
        <v>#REF!</v>
      </c>
      <c r="K2418" s="222"/>
    </row>
    <row r="2419" spans="1:11" ht="45">
      <c r="A2419" s="20">
        <v>367</v>
      </c>
      <c r="B2419" s="70" t="s">
        <v>444</v>
      </c>
      <c r="C2419" s="21" t="s">
        <v>12</v>
      </c>
      <c r="D2419" s="21" t="s">
        <v>35</v>
      </c>
      <c r="E2419" s="22">
        <v>3.0000000000000001E-3</v>
      </c>
      <c r="F2419" s="205">
        <f t="shared" si="128"/>
        <v>43.919499999999999</v>
      </c>
      <c r="G2419" s="205">
        <f t="shared" si="129"/>
        <v>0.13</v>
      </c>
      <c r="H2419" s="337">
        <v>43.919499999999999</v>
      </c>
      <c r="I2419" s="159" t="e">
        <f>IF(A2419&lt;&gt;0,VLOOKUP(A2419,#REF!,2,FALSE),"")</f>
        <v>#REF!</v>
      </c>
      <c r="K2419" s="222"/>
    </row>
    <row r="2420" spans="1:11" ht="30">
      <c r="A2420" s="20">
        <v>88315</v>
      </c>
      <c r="B2420" s="70" t="s">
        <v>420</v>
      </c>
      <c r="C2420" s="21" t="s">
        <v>12</v>
      </c>
      <c r="D2420" s="21" t="s">
        <v>19</v>
      </c>
      <c r="E2420" s="22">
        <v>1.3779999999999999</v>
      </c>
      <c r="F2420" s="205">
        <f t="shared" si="128"/>
        <v>15.045</v>
      </c>
      <c r="G2420" s="205">
        <f t="shared" si="129"/>
        <v>20.73</v>
      </c>
      <c r="H2420" s="337">
        <v>15.045</v>
      </c>
      <c r="I2420" s="39" t="e">
        <f>IF(A2420&lt;&gt;0,VLOOKUP(A2420,#REF!,2,FALSE),"")</f>
        <v>#REF!</v>
      </c>
      <c r="K2420" s="222"/>
    </row>
    <row r="2421" spans="1:11" ht="30">
      <c r="A2421" s="20">
        <v>88325</v>
      </c>
      <c r="B2421" s="70" t="s">
        <v>450</v>
      </c>
      <c r="C2421" s="21" t="s">
        <v>12</v>
      </c>
      <c r="D2421" s="21" t="s">
        <v>19</v>
      </c>
      <c r="E2421" s="22">
        <v>0.35</v>
      </c>
      <c r="F2421" s="205">
        <f t="shared" si="128"/>
        <v>12.699</v>
      </c>
      <c r="G2421" s="205">
        <f t="shared" si="129"/>
        <v>4.4400000000000004</v>
      </c>
      <c r="H2421" s="337">
        <v>12.699</v>
      </c>
      <c r="I2421" s="39" t="e">
        <f>IF(A2421&lt;&gt;0,VLOOKUP(A2421,#REF!,2,FALSE),"")</f>
        <v>#REF!</v>
      </c>
      <c r="K2421" s="222"/>
    </row>
    <row r="2422" spans="1:11" ht="30">
      <c r="A2422" s="20">
        <v>88243</v>
      </c>
      <c r="B2422" s="70" t="s">
        <v>416</v>
      </c>
      <c r="C2422" s="21" t="s">
        <v>12</v>
      </c>
      <c r="D2422" s="21" t="s">
        <v>19</v>
      </c>
      <c r="E2422" s="22">
        <v>1.3779999999999999</v>
      </c>
      <c r="F2422" s="205">
        <f t="shared" si="128"/>
        <v>14.075999999999999</v>
      </c>
      <c r="G2422" s="205">
        <f t="shared" si="129"/>
        <v>19.399999999999999</v>
      </c>
      <c r="H2422" s="337">
        <v>14.075999999999999</v>
      </c>
      <c r="I2422" s="39" t="e">
        <f>IF(A2422&lt;&gt;0,VLOOKUP(A2422,#REF!,2,FALSE),"")</f>
        <v>#REF!</v>
      </c>
      <c r="K2422" s="222"/>
    </row>
    <row r="2423" spans="1:11">
      <c r="A2423" s="20">
        <v>599</v>
      </c>
      <c r="B2423" s="70" t="e">
        <f>I2423</f>
        <v>#REF!</v>
      </c>
      <c r="C2423" s="21" t="s">
        <v>12</v>
      </c>
      <c r="D2423" s="21" t="s">
        <v>26</v>
      </c>
      <c r="E2423" s="22">
        <v>1</v>
      </c>
      <c r="F2423" s="205">
        <f t="shared" si="128"/>
        <v>383.16300000000001</v>
      </c>
      <c r="G2423" s="205">
        <f t="shared" si="129"/>
        <v>383.16</v>
      </c>
      <c r="H2423" s="337">
        <v>383.16300000000001</v>
      </c>
      <c r="I2423" s="159" t="e">
        <f>IF(A2423&lt;&gt;0,VLOOKUP(A2423,#REF!,2,FALSE),"")</f>
        <v>#REF!</v>
      </c>
      <c r="K2423" s="222"/>
    </row>
    <row r="2424" spans="1:11">
      <c r="A2424" s="20">
        <v>10506</v>
      </c>
      <c r="B2424" s="70" t="e">
        <f>I2424</f>
        <v>#REF!</v>
      </c>
      <c r="C2424" s="21" t="s">
        <v>12</v>
      </c>
      <c r="D2424" s="21" t="s">
        <v>26</v>
      </c>
      <c r="E2424" s="22">
        <v>1</v>
      </c>
      <c r="F2424" s="205">
        <f t="shared" si="128"/>
        <v>254.24350000000001</v>
      </c>
      <c r="G2424" s="205">
        <f t="shared" si="129"/>
        <v>254.24</v>
      </c>
      <c r="H2424" s="337">
        <v>254.24350000000001</v>
      </c>
      <c r="I2424" s="159" t="e">
        <f>IF(A2424&lt;&gt;0,VLOOKUP(A2424,#REF!,2,FALSE),"")</f>
        <v>#REF!</v>
      </c>
      <c r="K2424" s="222"/>
    </row>
    <row r="2425" spans="1:11">
      <c r="A2425" s="20">
        <v>10498</v>
      </c>
      <c r="B2425" s="70" t="e">
        <f>I2425</f>
        <v>#REF!</v>
      </c>
      <c r="C2425" s="21" t="s">
        <v>12</v>
      </c>
      <c r="D2425" s="21" t="s">
        <v>45</v>
      </c>
      <c r="E2425" s="22">
        <v>1.5</v>
      </c>
      <c r="F2425" s="205">
        <f t="shared" si="128"/>
        <v>8.6445000000000007</v>
      </c>
      <c r="G2425" s="205">
        <f t="shared" si="129"/>
        <v>12.97</v>
      </c>
      <c r="H2425" s="337">
        <v>8.6445000000000007</v>
      </c>
      <c r="I2425" s="159" t="e">
        <f>IF(A2425&lt;&gt;0,VLOOKUP(A2425,#REF!,2,FALSE),"")</f>
        <v>#REF!</v>
      </c>
      <c r="K2425" s="222"/>
    </row>
    <row r="2426" spans="1:11">
      <c r="A2426" s="20">
        <v>88325</v>
      </c>
      <c r="B2426" s="70" t="e">
        <f>I2426</f>
        <v>#REF!</v>
      </c>
      <c r="C2426" s="21" t="s">
        <v>12</v>
      </c>
      <c r="D2426" s="21" t="s">
        <v>19</v>
      </c>
      <c r="E2426" s="22">
        <v>1</v>
      </c>
      <c r="F2426" s="205">
        <f t="shared" si="128"/>
        <v>12.699</v>
      </c>
      <c r="G2426" s="205">
        <f t="shared" si="129"/>
        <v>12.7</v>
      </c>
      <c r="H2426" s="337">
        <v>12.699</v>
      </c>
      <c r="I2426" s="39" t="e">
        <f>IF(A2426&lt;&gt;0,VLOOKUP(A2426,#REF!,2,FALSE),"")</f>
        <v>#REF!</v>
      </c>
      <c r="K2426" s="222"/>
    </row>
    <row r="2427" spans="1:11">
      <c r="A2427" s="721" t="s">
        <v>1893</v>
      </c>
      <c r="B2427" s="721"/>
      <c r="C2427" s="721"/>
      <c r="D2427" s="721"/>
      <c r="E2427" s="721"/>
      <c r="F2427" s="721"/>
      <c r="G2427" s="206">
        <f>ROUND(SUM(G2418:G2426),2)</f>
        <v>708.49</v>
      </c>
      <c r="K2427" s="222"/>
    </row>
    <row r="2428" spans="1:11" ht="22.5" customHeight="1">
      <c r="A2428" s="256"/>
      <c r="B2428" s="256"/>
      <c r="C2428" s="256"/>
      <c r="D2428" s="256"/>
      <c r="E2428" s="256"/>
      <c r="F2428" s="256"/>
      <c r="G2428" s="256"/>
      <c r="K2428" s="222"/>
    </row>
    <row r="2429" spans="1:11">
      <c r="A2429" s="612" t="s">
        <v>2982</v>
      </c>
      <c r="B2429" s="613"/>
      <c r="C2429" s="613"/>
      <c r="D2429" s="613"/>
      <c r="E2429" s="718"/>
      <c r="F2429" s="203" t="s">
        <v>70</v>
      </c>
      <c r="G2429" s="321" t="s">
        <v>2712</v>
      </c>
      <c r="K2429" s="222"/>
    </row>
    <row r="2430" spans="1:11" ht="28.5">
      <c r="A2430" s="623" t="s">
        <v>364</v>
      </c>
      <c r="B2430" s="624"/>
      <c r="C2430" s="69" t="s">
        <v>3</v>
      </c>
      <c r="D2430" s="69" t="s">
        <v>4</v>
      </c>
      <c r="E2430" s="69" t="s">
        <v>1826</v>
      </c>
      <c r="F2430" s="69" t="s">
        <v>367</v>
      </c>
      <c r="G2430" s="69" t="s">
        <v>368</v>
      </c>
      <c r="K2430" s="222"/>
    </row>
    <row r="2431" spans="1:11" ht="30">
      <c r="A2431" s="20">
        <v>345</v>
      </c>
      <c r="B2431" s="70" t="s">
        <v>2983</v>
      </c>
      <c r="C2431" s="21" t="s">
        <v>12</v>
      </c>
      <c r="D2431" s="21" t="s">
        <v>45</v>
      </c>
      <c r="E2431" s="22">
        <v>0.22500000000000001</v>
      </c>
      <c r="F2431" s="205">
        <f t="shared" ref="F2431:F2442" si="130">H2431</f>
        <v>25.449000000000002</v>
      </c>
      <c r="G2431" s="205">
        <f t="shared" ref="G2431:G2442" si="131">ROUND(F2431*E2431,2)</f>
        <v>5.73</v>
      </c>
      <c r="H2431" s="337">
        <v>25.449000000000002</v>
      </c>
      <c r="I2431" s="159" t="e">
        <f>IF(A2431&lt;&gt;0,VLOOKUP(A2431,#REF!,2,FALSE),"")</f>
        <v>#REF!</v>
      </c>
      <c r="K2431" s="222"/>
    </row>
    <row r="2432" spans="1:11" ht="45">
      <c r="A2432" s="20">
        <v>367</v>
      </c>
      <c r="B2432" s="70" t="s">
        <v>444</v>
      </c>
      <c r="C2432" s="21" t="s">
        <v>12</v>
      </c>
      <c r="D2432" s="21" t="s">
        <v>35</v>
      </c>
      <c r="E2432" s="22">
        <v>3.5000000000000001E-3</v>
      </c>
      <c r="F2432" s="205">
        <f t="shared" si="130"/>
        <v>43.919499999999999</v>
      </c>
      <c r="G2432" s="205">
        <f t="shared" si="131"/>
        <v>0.15</v>
      </c>
      <c r="H2432" s="337">
        <v>43.919499999999999</v>
      </c>
      <c r="I2432" s="159" t="e">
        <f>IF(A2432&lt;&gt;0,VLOOKUP(A2432,#REF!,2,FALSE),"")</f>
        <v>#REF!</v>
      </c>
      <c r="K2432" s="222"/>
    </row>
    <row r="2433" spans="1:11">
      <c r="A2433" s="20">
        <v>1379</v>
      </c>
      <c r="B2433" s="70" t="s">
        <v>397</v>
      </c>
      <c r="C2433" s="21" t="s">
        <v>12</v>
      </c>
      <c r="D2433" s="21" t="s">
        <v>45</v>
      </c>
      <c r="E2433" s="22">
        <v>3.25</v>
      </c>
      <c r="F2433" s="205">
        <f t="shared" si="130"/>
        <v>0.60349999999999993</v>
      </c>
      <c r="G2433" s="205">
        <f t="shared" si="131"/>
        <v>1.96</v>
      </c>
      <c r="H2433" s="337">
        <v>0.60349999999999993</v>
      </c>
      <c r="I2433" s="159" t="e">
        <f>IF(A2433&lt;&gt;0,VLOOKUP(A2433,#REF!,2,FALSE),"")</f>
        <v>#REF!</v>
      </c>
      <c r="K2433" s="222"/>
    </row>
    <row r="2434" spans="1:11" ht="45">
      <c r="A2434" s="20">
        <v>4720</v>
      </c>
      <c r="B2434" s="70" t="s">
        <v>544</v>
      </c>
      <c r="C2434" s="21" t="s">
        <v>12</v>
      </c>
      <c r="D2434" s="21" t="s">
        <v>35</v>
      </c>
      <c r="E2434" s="22">
        <v>1.2E-2</v>
      </c>
      <c r="F2434" s="205">
        <f t="shared" si="130"/>
        <v>90.295500000000004</v>
      </c>
      <c r="G2434" s="205">
        <f t="shared" si="131"/>
        <v>1.08</v>
      </c>
      <c r="H2434" s="337">
        <v>90.295500000000004</v>
      </c>
      <c r="I2434" s="159" t="e">
        <f>IF(A2434&lt;&gt;0,VLOOKUP(A2434,#REF!,2,FALSE),"")</f>
        <v>#REF!</v>
      </c>
      <c r="K2434" s="222"/>
    </row>
    <row r="2435" spans="1:11" ht="45">
      <c r="A2435" s="20">
        <v>2692</v>
      </c>
      <c r="B2435" s="70" t="s">
        <v>399</v>
      </c>
      <c r="C2435" s="21" t="s">
        <v>12</v>
      </c>
      <c r="D2435" s="21" t="s">
        <v>381</v>
      </c>
      <c r="E2435" s="22">
        <v>0.2</v>
      </c>
      <c r="F2435" s="205">
        <f t="shared" si="130"/>
        <v>5.6355000000000004</v>
      </c>
      <c r="G2435" s="205">
        <f t="shared" si="131"/>
        <v>1.1299999999999999</v>
      </c>
      <c r="H2435" s="337">
        <v>5.6355000000000004</v>
      </c>
      <c r="I2435" s="159" t="e">
        <f>IF(A2435&lt;&gt;0,VLOOKUP(A2435,#REF!,2,FALSE),"")</f>
        <v>#REF!</v>
      </c>
      <c r="K2435" s="222"/>
    </row>
    <row r="2436" spans="1:11" ht="45">
      <c r="A2436" s="20">
        <v>1355</v>
      </c>
      <c r="B2436" s="70" t="s">
        <v>1850</v>
      </c>
      <c r="C2436" s="21" t="s">
        <v>12</v>
      </c>
      <c r="D2436" s="21" t="s">
        <v>26</v>
      </c>
      <c r="E2436" s="22">
        <v>0.35</v>
      </c>
      <c r="F2436" s="205">
        <f t="shared" si="130"/>
        <v>24.913499999999999</v>
      </c>
      <c r="G2436" s="205">
        <f t="shared" si="131"/>
        <v>8.7200000000000006</v>
      </c>
      <c r="H2436" s="337">
        <v>24.913499999999999</v>
      </c>
      <c r="I2436" s="159" t="e">
        <f>IF(A2436&lt;&gt;0,VLOOKUP(A2436,#REF!,2,FALSE),"")</f>
        <v>#REF!</v>
      </c>
      <c r="K2436" s="222"/>
    </row>
    <row r="2437" spans="1:11" ht="30">
      <c r="A2437" s="20">
        <v>5061</v>
      </c>
      <c r="B2437" s="70" t="s">
        <v>386</v>
      </c>
      <c r="C2437" s="21" t="s">
        <v>12</v>
      </c>
      <c r="D2437" s="21" t="s">
        <v>45</v>
      </c>
      <c r="E2437" s="22">
        <v>3.5000000000000003E-2</v>
      </c>
      <c r="F2437" s="205">
        <f t="shared" si="130"/>
        <v>15.725</v>
      </c>
      <c r="G2437" s="205">
        <f t="shared" si="131"/>
        <v>0.55000000000000004</v>
      </c>
      <c r="H2437" s="337">
        <v>15.725</v>
      </c>
      <c r="I2437" s="159" t="e">
        <f>IF(A2437&lt;&gt;0,VLOOKUP(A2437,#REF!,2,FALSE),"")</f>
        <v>#REF!</v>
      </c>
      <c r="K2437" s="222"/>
    </row>
    <row r="2438" spans="1:11" ht="30">
      <c r="A2438" s="20">
        <v>88316</v>
      </c>
      <c r="B2438" s="70" t="s">
        <v>377</v>
      </c>
      <c r="C2438" s="21" t="s">
        <v>12</v>
      </c>
      <c r="D2438" s="21" t="s">
        <v>19</v>
      </c>
      <c r="E2438" s="22">
        <v>0.15</v>
      </c>
      <c r="F2438" s="205">
        <f t="shared" si="130"/>
        <v>11.798000000000002</v>
      </c>
      <c r="G2438" s="205">
        <f t="shared" si="131"/>
        <v>1.77</v>
      </c>
      <c r="H2438" s="337">
        <v>11.798000000000002</v>
      </c>
      <c r="I2438" s="39" t="e">
        <f>IF(A2438&lt;&gt;0,VLOOKUP(A2438,#REF!,2,FALSE),"")</f>
        <v>#REF!</v>
      </c>
      <c r="K2438" s="222"/>
    </row>
    <row r="2439" spans="1:11" ht="30">
      <c r="A2439" s="20">
        <v>88309</v>
      </c>
      <c r="B2439" s="70" t="s">
        <v>390</v>
      </c>
      <c r="C2439" s="21" t="s">
        <v>12</v>
      </c>
      <c r="D2439" s="21" t="s">
        <v>19</v>
      </c>
      <c r="E2439" s="22">
        <v>0.15</v>
      </c>
      <c r="F2439" s="205">
        <f t="shared" si="130"/>
        <v>15.121499999999999</v>
      </c>
      <c r="G2439" s="205">
        <f t="shared" si="131"/>
        <v>2.27</v>
      </c>
      <c r="H2439" s="337">
        <v>15.121499999999999</v>
      </c>
      <c r="I2439" s="39" t="e">
        <f>IF(A2439&lt;&gt;0,VLOOKUP(A2439,#REF!,2,FALSE),"")</f>
        <v>#REF!</v>
      </c>
      <c r="K2439" s="222"/>
    </row>
    <row r="2440" spans="1:11" ht="30">
      <c r="A2440" s="20">
        <v>88245</v>
      </c>
      <c r="B2440" s="70" t="s">
        <v>395</v>
      </c>
      <c r="C2440" s="21" t="s">
        <v>12</v>
      </c>
      <c r="D2440" s="21" t="s">
        <v>19</v>
      </c>
      <c r="E2440" s="22">
        <v>0.36</v>
      </c>
      <c r="F2440" s="205">
        <f t="shared" si="130"/>
        <v>15.045</v>
      </c>
      <c r="G2440" s="205">
        <f t="shared" si="131"/>
        <v>5.42</v>
      </c>
      <c r="H2440" s="337">
        <v>15.045</v>
      </c>
      <c r="I2440" s="39" t="e">
        <f>IF(A2440&lt;&gt;0,VLOOKUP(A2440,#REF!,2,FALSE),"")</f>
        <v>#REF!</v>
      </c>
      <c r="K2440" s="222"/>
    </row>
    <row r="2441" spans="1:11" ht="30">
      <c r="A2441" s="20">
        <v>88239</v>
      </c>
      <c r="B2441" s="70" t="s">
        <v>393</v>
      </c>
      <c r="C2441" s="21" t="s">
        <v>12</v>
      </c>
      <c r="D2441" s="21" t="s">
        <v>19</v>
      </c>
      <c r="E2441" s="22">
        <v>0.33</v>
      </c>
      <c r="F2441" s="205">
        <f t="shared" si="130"/>
        <v>12.622499999999999</v>
      </c>
      <c r="G2441" s="205">
        <f t="shared" si="131"/>
        <v>4.17</v>
      </c>
      <c r="H2441" s="337">
        <v>12.622499999999999</v>
      </c>
      <c r="I2441" s="39" t="e">
        <f>IF(A2441&lt;&gt;0,VLOOKUP(A2441,#REF!,2,FALSE),"")</f>
        <v>#REF!</v>
      </c>
      <c r="K2441" s="222"/>
    </row>
    <row r="2442" spans="1:11" ht="60">
      <c r="A2442" s="20">
        <v>92916</v>
      </c>
      <c r="B2442" s="70" t="s">
        <v>2984</v>
      </c>
      <c r="C2442" s="21" t="s">
        <v>12</v>
      </c>
      <c r="D2442" s="21" t="s">
        <v>45</v>
      </c>
      <c r="E2442" s="22">
        <v>11.445</v>
      </c>
      <c r="F2442" s="205">
        <f t="shared" si="130"/>
        <v>14.246000000000002</v>
      </c>
      <c r="G2442" s="205">
        <f t="shared" si="131"/>
        <v>163.05000000000001</v>
      </c>
      <c r="H2442" s="337">
        <v>14.246000000000002</v>
      </c>
      <c r="I2442" s="39" t="e">
        <f>IF(A2442&lt;&gt;0,VLOOKUP(A2442,#REF!,2,FALSE),"")</f>
        <v>#REF!</v>
      </c>
      <c r="K2442" s="222"/>
    </row>
    <row r="2443" spans="1:11">
      <c r="A2443" s="721" t="s">
        <v>1893</v>
      </c>
      <c r="B2443" s="721"/>
      <c r="C2443" s="721"/>
      <c r="D2443" s="721"/>
      <c r="E2443" s="721"/>
      <c r="F2443" s="721"/>
      <c r="G2443" s="206">
        <f>ROUND(SUM(G2431:G2442),2)</f>
        <v>196</v>
      </c>
      <c r="K2443" s="222"/>
    </row>
    <row r="2444" spans="1:11">
      <c r="K2444" s="222"/>
    </row>
    <row r="2445" spans="1:11" ht="35.25" customHeight="1">
      <c r="A2445" s="612" t="s">
        <v>2985</v>
      </c>
      <c r="B2445" s="613"/>
      <c r="C2445" s="613"/>
      <c r="D2445" s="613"/>
      <c r="E2445" s="613"/>
      <c r="F2445" s="203" t="s">
        <v>1914</v>
      </c>
      <c r="G2445" s="87">
        <v>84190</v>
      </c>
      <c r="K2445" s="222"/>
    </row>
    <row r="2446" spans="1:11" ht="28.5">
      <c r="A2446" s="623" t="s">
        <v>364</v>
      </c>
      <c r="B2446" s="624"/>
      <c r="C2446" s="69" t="s">
        <v>3</v>
      </c>
      <c r="D2446" s="69" t="s">
        <v>4</v>
      </c>
      <c r="E2446" s="69" t="s">
        <v>1826</v>
      </c>
      <c r="F2446" s="69" t="s">
        <v>367</v>
      </c>
      <c r="G2446" s="69" t="s">
        <v>368</v>
      </c>
      <c r="K2446" s="222"/>
    </row>
    <row r="2447" spans="1:11">
      <c r="A2447" s="20">
        <v>1380</v>
      </c>
      <c r="B2447" s="70" t="s">
        <v>409</v>
      </c>
      <c r="C2447" s="21" t="s">
        <v>12</v>
      </c>
      <c r="D2447" s="21" t="s">
        <v>45</v>
      </c>
      <c r="E2447" s="22">
        <v>0.75</v>
      </c>
      <c r="F2447" s="205">
        <f>H2447</f>
        <v>1.8955</v>
      </c>
      <c r="G2447" s="205">
        <f>ROUND(F2447*E2447,2)</f>
        <v>1.42</v>
      </c>
      <c r="H2447" s="337">
        <v>1.8955</v>
      </c>
      <c r="I2447" s="210" t="e">
        <f>IF(A2447&lt;&gt;0,VLOOKUP(A2447,#REF!,2,FALSE),"")</f>
        <v>#REF!</v>
      </c>
      <c r="K2447" s="222"/>
    </row>
    <row r="2448" spans="1:11" ht="75">
      <c r="A2448" s="20">
        <v>10841</v>
      </c>
      <c r="B2448" s="70" t="s">
        <v>1877</v>
      </c>
      <c r="C2448" s="21" t="s">
        <v>12</v>
      </c>
      <c r="D2448" s="21" t="s">
        <v>26</v>
      </c>
      <c r="E2448" s="22">
        <v>1</v>
      </c>
      <c r="F2448" s="205">
        <f>H2448</f>
        <v>179.62199999999999</v>
      </c>
      <c r="G2448" s="205">
        <f>ROUND(F2448*E2448,2)</f>
        <v>179.62</v>
      </c>
      <c r="H2448" s="337">
        <v>179.62199999999999</v>
      </c>
      <c r="I2448" s="210" t="e">
        <f>IF(A2448&lt;&gt;0,VLOOKUP(A2448,#REF!,2,FALSE),"")</f>
        <v>#REF!</v>
      </c>
      <c r="K2448" s="222"/>
    </row>
    <row r="2449" spans="1:11" ht="45">
      <c r="A2449" s="20">
        <v>87298</v>
      </c>
      <c r="B2449" s="70" t="s">
        <v>1796</v>
      </c>
      <c r="C2449" s="21" t="s">
        <v>12</v>
      </c>
      <c r="D2449" s="21" t="s">
        <v>35</v>
      </c>
      <c r="E2449" s="22">
        <v>2.5000000000000001E-2</v>
      </c>
      <c r="F2449" s="205">
        <f>H2449</f>
        <v>467.32149999999996</v>
      </c>
      <c r="G2449" s="205">
        <f>ROUND(F2449*E2449,2)</f>
        <v>11.68</v>
      </c>
      <c r="H2449" s="337">
        <v>467.32149999999996</v>
      </c>
      <c r="I2449" s="42" t="e">
        <f>IF(A2449&lt;&gt;0,VLOOKUP(A2449,#REF!,2,FALSE),"")</f>
        <v>#REF!</v>
      </c>
      <c r="K2449" s="222"/>
    </row>
    <row r="2450" spans="1:11" ht="30">
      <c r="A2450" s="20">
        <v>88274</v>
      </c>
      <c r="B2450" s="70" t="s">
        <v>501</v>
      </c>
      <c r="C2450" s="21" t="s">
        <v>12</v>
      </c>
      <c r="D2450" s="21" t="s">
        <v>19</v>
      </c>
      <c r="E2450" s="22">
        <v>1</v>
      </c>
      <c r="F2450" s="205">
        <f>H2450</f>
        <v>16.745000000000001</v>
      </c>
      <c r="G2450" s="205">
        <f>ROUND(F2450*E2450,2)</f>
        <v>16.75</v>
      </c>
      <c r="H2450" s="337">
        <v>16.745000000000001</v>
      </c>
      <c r="I2450" s="42" t="e">
        <f>IF(A2450&lt;&gt;0,VLOOKUP(A2450,#REF!,2,FALSE),"")</f>
        <v>#REF!</v>
      </c>
      <c r="K2450" s="222"/>
    </row>
    <row r="2451" spans="1:11" ht="30">
      <c r="A2451" s="20">
        <v>88316</v>
      </c>
      <c r="B2451" s="70" t="s">
        <v>377</v>
      </c>
      <c r="C2451" s="21" t="s">
        <v>12</v>
      </c>
      <c r="D2451" s="21" t="s">
        <v>19</v>
      </c>
      <c r="E2451" s="22">
        <v>0.5</v>
      </c>
      <c r="F2451" s="205">
        <f>H2451</f>
        <v>11.798000000000002</v>
      </c>
      <c r="G2451" s="205">
        <f>ROUND(F2451*E2451,2)</f>
        <v>5.9</v>
      </c>
      <c r="H2451" s="337">
        <v>11.798000000000002</v>
      </c>
      <c r="I2451" s="42" t="e">
        <f>IF(A2451&lt;&gt;0,VLOOKUP(A2451,#REF!,2,FALSE),"")</f>
        <v>#REF!</v>
      </c>
      <c r="K2451" s="222"/>
    </row>
    <row r="2452" spans="1:11">
      <c r="A2452" s="721" t="s">
        <v>1893</v>
      </c>
      <c r="B2452" s="721"/>
      <c r="C2452" s="721"/>
      <c r="D2452" s="721"/>
      <c r="E2452" s="721"/>
      <c r="F2452" s="721"/>
      <c r="G2452" s="206">
        <f>ROUND(SUM(G2447:G2451),2)</f>
        <v>215.37</v>
      </c>
      <c r="K2452" s="222"/>
    </row>
    <row r="2453" spans="1:11" ht="23.25" customHeight="1">
      <c r="K2453" s="222"/>
    </row>
    <row r="2454" spans="1:11" ht="36.75" customHeight="1">
      <c r="A2454" s="712" t="s">
        <v>2986</v>
      </c>
      <c r="B2454" s="713"/>
      <c r="C2454" s="713"/>
      <c r="D2454" s="713"/>
      <c r="E2454" s="713"/>
      <c r="F2454" s="257" t="s">
        <v>1914</v>
      </c>
      <c r="G2454" s="258"/>
      <c r="K2454" s="222"/>
    </row>
    <row r="2455" spans="1:11" ht="60">
      <c r="A2455" s="247"/>
      <c r="B2455" s="246" t="s">
        <v>2828</v>
      </c>
      <c r="C2455" s="247" t="s">
        <v>2014</v>
      </c>
      <c r="D2455" s="247" t="s">
        <v>17</v>
      </c>
      <c r="E2455" s="245">
        <v>1</v>
      </c>
      <c r="F2455" s="245">
        <f>H2455</f>
        <v>86750.872499999998</v>
      </c>
      <c r="G2455" s="245">
        <f>ROUND(F2455*E2455,2)</f>
        <v>86750.87</v>
      </c>
      <c r="H2455" s="337">
        <v>86750.872499999998</v>
      </c>
      <c r="K2455" s="222"/>
    </row>
    <row r="2456" spans="1:11">
      <c r="A2456" s="725" t="s">
        <v>1893</v>
      </c>
      <c r="B2456" s="725"/>
      <c r="C2456" s="725"/>
      <c r="D2456" s="725"/>
      <c r="E2456" s="725"/>
      <c r="F2456" s="725"/>
      <c r="G2456" s="259">
        <f>ROUND(SUM(G2455),2)</f>
        <v>86750.87</v>
      </c>
      <c r="K2456" s="222"/>
    </row>
    <row r="2457" spans="1:11" ht="30" customHeight="1">
      <c r="K2457" s="222"/>
    </row>
    <row r="2458" spans="1:11">
      <c r="A2458" s="712" t="s">
        <v>2989</v>
      </c>
      <c r="B2458" s="713"/>
      <c r="C2458" s="713"/>
      <c r="D2458" s="713"/>
      <c r="E2458" s="720"/>
      <c r="F2458" s="257" t="s">
        <v>70</v>
      </c>
      <c r="G2458" s="329" t="s">
        <v>2754</v>
      </c>
      <c r="K2458" s="222"/>
    </row>
    <row r="2459" spans="1:11" ht="28.5">
      <c r="A2459" s="715" t="s">
        <v>364</v>
      </c>
      <c r="B2459" s="716"/>
      <c r="C2459" s="193" t="s">
        <v>3</v>
      </c>
      <c r="D2459" s="193" t="s">
        <v>4</v>
      </c>
      <c r="E2459" s="193" t="s">
        <v>1826</v>
      </c>
      <c r="F2459" s="193" t="s">
        <v>367</v>
      </c>
      <c r="G2459" s="193" t="s">
        <v>368</v>
      </c>
      <c r="K2459" s="222"/>
    </row>
    <row r="2460" spans="1:11" ht="45">
      <c r="A2460" s="161">
        <v>39775</v>
      </c>
      <c r="B2460" s="246" t="s">
        <v>2990</v>
      </c>
      <c r="C2460" s="247" t="s">
        <v>12</v>
      </c>
      <c r="D2460" s="247" t="s">
        <v>17</v>
      </c>
      <c r="E2460" s="245">
        <v>1</v>
      </c>
      <c r="F2460" s="245">
        <f>H2460</f>
        <v>168.99699999999999</v>
      </c>
      <c r="G2460" s="245">
        <f>ROUND(F2460*E2460,2)</f>
        <v>169</v>
      </c>
      <c r="H2460" s="337">
        <v>168.99699999999999</v>
      </c>
      <c r="I2460" s="210" t="e">
        <f>IF(A2460&lt;&gt;0,VLOOKUP(A2460,#REF!,2,FALSE),"")</f>
        <v>#REF!</v>
      </c>
      <c r="K2460" s="222"/>
    </row>
    <row r="2461" spans="1:11" ht="30">
      <c r="A2461" s="161">
        <v>88247</v>
      </c>
      <c r="B2461" s="246" t="s">
        <v>510</v>
      </c>
      <c r="C2461" s="247" t="s">
        <v>12</v>
      </c>
      <c r="D2461" s="247" t="s">
        <v>19</v>
      </c>
      <c r="E2461" s="245">
        <v>2</v>
      </c>
      <c r="F2461" s="245">
        <f>H2461</f>
        <v>11.9085</v>
      </c>
      <c r="G2461" s="245">
        <f>ROUND(F2461*E2461,2)</f>
        <v>23.82</v>
      </c>
      <c r="H2461" s="337">
        <v>11.9085</v>
      </c>
      <c r="I2461" s="42" t="e">
        <f>IF(A2461&lt;&gt;0,VLOOKUP(A2461,#REF!,2,FALSE),"")</f>
        <v>#REF!</v>
      </c>
      <c r="K2461" s="222"/>
    </row>
    <row r="2462" spans="1:11" ht="30">
      <c r="A2462" s="161">
        <v>88264</v>
      </c>
      <c r="B2462" s="246" t="s">
        <v>379</v>
      </c>
      <c r="C2462" s="247" t="s">
        <v>12</v>
      </c>
      <c r="D2462" s="247" t="s">
        <v>19</v>
      </c>
      <c r="E2462" s="245">
        <v>2</v>
      </c>
      <c r="F2462" s="245">
        <f>H2462</f>
        <v>15.249000000000001</v>
      </c>
      <c r="G2462" s="245">
        <f>ROUND(F2462*E2462,2)</f>
        <v>30.5</v>
      </c>
      <c r="H2462" s="337">
        <v>15.249000000000001</v>
      </c>
      <c r="I2462" s="42" t="e">
        <f>IF(A2462&lt;&gt;0,VLOOKUP(A2462,#REF!,2,FALSE),"")</f>
        <v>#REF!</v>
      </c>
      <c r="K2462" s="222"/>
    </row>
    <row r="2463" spans="1:11">
      <c r="A2463" s="717" t="s">
        <v>1893</v>
      </c>
      <c r="B2463" s="717"/>
      <c r="C2463" s="717"/>
      <c r="D2463" s="717"/>
      <c r="E2463" s="717"/>
      <c r="F2463" s="717"/>
      <c r="G2463" s="195">
        <f>ROUND(SUM(G2460:G2462),2)</f>
        <v>223.32</v>
      </c>
      <c r="K2463" s="222"/>
    </row>
    <row r="2464" spans="1:11" ht="21" customHeight="1">
      <c r="K2464" s="222"/>
    </row>
    <row r="2465" spans="1:11">
      <c r="A2465" s="712" t="s">
        <v>2991</v>
      </c>
      <c r="B2465" s="713"/>
      <c r="C2465" s="713"/>
      <c r="D2465" s="713"/>
      <c r="E2465" s="720"/>
      <c r="F2465" s="257" t="s">
        <v>44</v>
      </c>
      <c r="G2465" s="258"/>
      <c r="K2465" s="222"/>
    </row>
    <row r="2466" spans="1:11" ht="28.5">
      <c r="A2466" s="715" t="s">
        <v>364</v>
      </c>
      <c r="B2466" s="716"/>
      <c r="C2466" s="193" t="s">
        <v>3</v>
      </c>
      <c r="D2466" s="193" t="s">
        <v>4</v>
      </c>
      <c r="E2466" s="193" t="s">
        <v>1826</v>
      </c>
      <c r="F2466" s="193" t="s">
        <v>367</v>
      </c>
      <c r="G2466" s="193" t="s">
        <v>368</v>
      </c>
      <c r="K2466" s="222"/>
    </row>
    <row r="2467" spans="1:11" s="38" customFormat="1" ht="30">
      <c r="A2467" s="161">
        <v>11085</v>
      </c>
      <c r="B2467" s="246" t="s">
        <v>2992</v>
      </c>
      <c r="C2467" s="247" t="s">
        <v>44</v>
      </c>
      <c r="D2467" s="247" t="s">
        <v>17</v>
      </c>
      <c r="E2467" s="245">
        <v>1</v>
      </c>
      <c r="F2467" s="245">
        <f>H2467</f>
        <v>1603.4059999999999</v>
      </c>
      <c r="G2467" s="245">
        <f>ROUND(F2467*E2467,2)</f>
        <v>1603.41</v>
      </c>
      <c r="H2467" s="336">
        <v>1603.4059999999999</v>
      </c>
      <c r="I2467" s="38" t="e">
        <f>IF(A2467&lt;&gt;0,VLOOKUP(A2467,#REF!,2,FALSE),"")</f>
        <v>#REF!</v>
      </c>
      <c r="J2467" s="336"/>
      <c r="K2467" s="222"/>
    </row>
    <row r="2468" spans="1:11" ht="30">
      <c r="A2468" s="161">
        <v>88247</v>
      </c>
      <c r="B2468" s="246" t="s">
        <v>510</v>
      </c>
      <c r="C2468" s="247" t="s">
        <v>12</v>
      </c>
      <c r="D2468" s="247" t="s">
        <v>19</v>
      </c>
      <c r="E2468" s="245">
        <v>2</v>
      </c>
      <c r="F2468" s="245">
        <f>H2468</f>
        <v>11.9085</v>
      </c>
      <c r="G2468" s="245">
        <f>ROUND(F2468*E2468,2)</f>
        <v>23.82</v>
      </c>
      <c r="H2468" s="337">
        <v>11.9085</v>
      </c>
      <c r="I2468" s="42" t="e">
        <f>IF(A2468&lt;&gt;0,VLOOKUP(A2468,#REF!,2,FALSE),"")</f>
        <v>#REF!</v>
      </c>
      <c r="K2468" s="222"/>
    </row>
    <row r="2469" spans="1:11" ht="30">
      <c r="A2469" s="161">
        <v>88264</v>
      </c>
      <c r="B2469" s="246" t="s">
        <v>379</v>
      </c>
      <c r="C2469" s="247" t="s">
        <v>12</v>
      </c>
      <c r="D2469" s="247" t="s">
        <v>19</v>
      </c>
      <c r="E2469" s="245">
        <v>2</v>
      </c>
      <c r="F2469" s="245">
        <f>H2469</f>
        <v>15.249000000000001</v>
      </c>
      <c r="G2469" s="245">
        <f>ROUND(F2469*E2469,2)</f>
        <v>30.5</v>
      </c>
      <c r="H2469" s="337">
        <v>15.249000000000001</v>
      </c>
      <c r="I2469" s="42" t="e">
        <f>IF(A2469&lt;&gt;0,VLOOKUP(A2469,#REF!,2,FALSE),"")</f>
        <v>#REF!</v>
      </c>
      <c r="K2469" s="222"/>
    </row>
    <row r="2470" spans="1:11">
      <c r="A2470" s="717" t="s">
        <v>1893</v>
      </c>
      <c r="B2470" s="717"/>
      <c r="C2470" s="717"/>
      <c r="D2470" s="717"/>
      <c r="E2470" s="717"/>
      <c r="F2470" s="717"/>
      <c r="G2470" s="195">
        <f>ROUND(SUM(G2467:G2469),2)</f>
        <v>1657.73</v>
      </c>
      <c r="K2470" s="222"/>
    </row>
    <row r="2471" spans="1:11">
      <c r="K2471" s="222"/>
    </row>
    <row r="2472" spans="1:11">
      <c r="A2472" s="712" t="s">
        <v>2993</v>
      </c>
      <c r="B2472" s="713"/>
      <c r="C2472" s="713"/>
      <c r="D2472" s="713"/>
      <c r="E2472" s="720"/>
      <c r="F2472" s="257" t="s">
        <v>70</v>
      </c>
      <c r="G2472" s="329" t="s">
        <v>2760</v>
      </c>
      <c r="K2472" s="222"/>
    </row>
    <row r="2473" spans="1:11" ht="28.5">
      <c r="A2473" s="715" t="s">
        <v>364</v>
      </c>
      <c r="B2473" s="716"/>
      <c r="C2473" s="193" t="s">
        <v>3</v>
      </c>
      <c r="D2473" s="193" t="s">
        <v>4</v>
      </c>
      <c r="E2473" s="193" t="s">
        <v>1826</v>
      </c>
      <c r="F2473" s="193" t="s">
        <v>367</v>
      </c>
      <c r="G2473" s="193" t="s">
        <v>368</v>
      </c>
      <c r="K2473" s="222"/>
    </row>
    <row r="2474" spans="1:11" ht="45">
      <c r="A2474" s="161">
        <v>39771</v>
      </c>
      <c r="B2474" s="246" t="s">
        <v>1844</v>
      </c>
      <c r="C2474" s="247" t="s">
        <v>12</v>
      </c>
      <c r="D2474" s="247" t="s">
        <v>17</v>
      </c>
      <c r="E2474" s="245">
        <v>1</v>
      </c>
      <c r="F2474" s="245">
        <f>H2474</f>
        <v>26.792000000000002</v>
      </c>
      <c r="G2474" s="245">
        <f>ROUND(F2474*E2474,2)</f>
        <v>26.79</v>
      </c>
      <c r="H2474" s="337">
        <v>26.792000000000002</v>
      </c>
      <c r="I2474" s="210" t="e">
        <f>IF(A2474&lt;&gt;0,VLOOKUP(A2474,#REF!,2,FALSE),"")</f>
        <v>#REF!</v>
      </c>
      <c r="K2474" s="222"/>
    </row>
    <row r="2475" spans="1:11" ht="30">
      <c r="A2475" s="161">
        <v>88247</v>
      </c>
      <c r="B2475" s="246" t="s">
        <v>510</v>
      </c>
      <c r="C2475" s="247" t="s">
        <v>12</v>
      </c>
      <c r="D2475" s="247" t="s">
        <v>19</v>
      </c>
      <c r="E2475" s="245">
        <v>2</v>
      </c>
      <c r="F2475" s="245">
        <f>H2475</f>
        <v>11.9085</v>
      </c>
      <c r="G2475" s="245">
        <f>ROUND(F2475*E2475,2)</f>
        <v>23.82</v>
      </c>
      <c r="H2475" s="337">
        <v>11.9085</v>
      </c>
      <c r="I2475" s="42" t="e">
        <f>IF(A2475&lt;&gt;0,VLOOKUP(A2475,#REF!,2,FALSE),"")</f>
        <v>#REF!</v>
      </c>
      <c r="K2475" s="222"/>
    </row>
    <row r="2476" spans="1:11" ht="30">
      <c r="A2476" s="161">
        <v>88264</v>
      </c>
      <c r="B2476" s="246" t="s">
        <v>379</v>
      </c>
      <c r="C2476" s="247" t="s">
        <v>12</v>
      </c>
      <c r="D2476" s="247" t="s">
        <v>19</v>
      </c>
      <c r="E2476" s="245">
        <v>2</v>
      </c>
      <c r="F2476" s="245">
        <f>H2476</f>
        <v>15.249000000000001</v>
      </c>
      <c r="G2476" s="245">
        <f>ROUND(F2476*E2476,2)</f>
        <v>30.5</v>
      </c>
      <c r="H2476" s="337">
        <v>15.249000000000001</v>
      </c>
      <c r="I2476" s="42" t="e">
        <f>IF(A2476&lt;&gt;0,VLOOKUP(A2476,#REF!,2,FALSE),"")</f>
        <v>#REF!</v>
      </c>
      <c r="K2476" s="222"/>
    </row>
    <row r="2477" spans="1:11">
      <c r="A2477" s="717" t="s">
        <v>1893</v>
      </c>
      <c r="B2477" s="717"/>
      <c r="C2477" s="717"/>
      <c r="D2477" s="717"/>
      <c r="E2477" s="717"/>
      <c r="F2477" s="717"/>
      <c r="G2477" s="195">
        <f>ROUND(SUM(G2474:G2476),2)</f>
        <v>81.11</v>
      </c>
      <c r="K2477" s="222"/>
    </row>
    <row r="2478" spans="1:11" ht="24.75" customHeight="1">
      <c r="K2478" s="222"/>
    </row>
    <row r="2479" spans="1:11">
      <c r="A2479" s="612" t="s">
        <v>2766</v>
      </c>
      <c r="B2479" s="613"/>
      <c r="C2479" s="613"/>
      <c r="D2479" s="613"/>
      <c r="E2479" s="718"/>
      <c r="F2479" s="257" t="s">
        <v>44</v>
      </c>
      <c r="G2479" s="260">
        <v>13248</v>
      </c>
      <c r="K2479" s="222"/>
    </row>
    <row r="2480" spans="1:11" ht="28.5">
      <c r="A2480" s="623" t="s">
        <v>366</v>
      </c>
      <c r="B2480" s="624"/>
      <c r="C2480" s="69" t="s">
        <v>3</v>
      </c>
      <c r="D2480" s="69" t="s">
        <v>4</v>
      </c>
      <c r="E2480" s="69" t="s">
        <v>1826</v>
      </c>
      <c r="F2480" s="69" t="s">
        <v>367</v>
      </c>
      <c r="G2480" s="69" t="s">
        <v>368</v>
      </c>
      <c r="K2480" s="222"/>
    </row>
    <row r="2481" spans="1:11" s="38" customFormat="1" ht="45">
      <c r="A2481" s="20">
        <v>13248</v>
      </c>
      <c r="B2481" s="19" t="s">
        <v>2994</v>
      </c>
      <c r="C2481" s="21" t="s">
        <v>44</v>
      </c>
      <c r="D2481" s="21" t="s">
        <v>52</v>
      </c>
      <c r="E2481" s="22">
        <v>1.02</v>
      </c>
      <c r="F2481" s="245">
        <f>H2481</f>
        <v>12.9625</v>
      </c>
      <c r="G2481" s="245">
        <f>ROUND(F2481*E2481,2)</f>
        <v>13.22</v>
      </c>
      <c r="H2481" s="336">
        <v>12.9625</v>
      </c>
      <c r="I2481" s="38" t="e">
        <f>IF(A2481&lt;&gt;0,VLOOKUP(A2481,#REF!,2,FALSE),"")</f>
        <v>#REF!</v>
      </c>
      <c r="J2481" s="336"/>
      <c r="K2481" s="222"/>
    </row>
    <row r="2482" spans="1:11" ht="30">
      <c r="A2482" s="20">
        <v>88264</v>
      </c>
      <c r="B2482" s="70" t="s">
        <v>379</v>
      </c>
      <c r="C2482" s="21" t="s">
        <v>12</v>
      </c>
      <c r="D2482" s="21" t="s">
        <v>19</v>
      </c>
      <c r="E2482" s="22">
        <v>0.11</v>
      </c>
      <c r="F2482" s="245">
        <f>H2482</f>
        <v>15.249000000000001</v>
      </c>
      <c r="G2482" s="245">
        <f>ROUND(F2482*E2482,2)</f>
        <v>1.68</v>
      </c>
      <c r="H2482" s="337">
        <v>15.249000000000001</v>
      </c>
      <c r="I2482" s="42" t="e">
        <f>IF(A2482&lt;&gt;0,VLOOKUP(A2482,#REF!,2,FALSE),"")</f>
        <v>#REF!</v>
      </c>
      <c r="K2482" s="222"/>
    </row>
    <row r="2483" spans="1:11" ht="30">
      <c r="A2483" s="20">
        <v>88247</v>
      </c>
      <c r="B2483" s="70" t="s">
        <v>510</v>
      </c>
      <c r="C2483" s="21" t="s">
        <v>12</v>
      </c>
      <c r="D2483" s="21" t="s">
        <v>19</v>
      </c>
      <c r="E2483" s="22">
        <v>0.11</v>
      </c>
      <c r="F2483" s="245">
        <f>H2483</f>
        <v>11.9085</v>
      </c>
      <c r="G2483" s="245">
        <f>ROUND(F2483*E2483,2)</f>
        <v>1.31</v>
      </c>
      <c r="H2483" s="337">
        <v>11.9085</v>
      </c>
      <c r="I2483" s="42" t="e">
        <f>IF(A2483&lt;&gt;0,VLOOKUP(A2483,#REF!,2,FALSE),"")</f>
        <v>#REF!</v>
      </c>
      <c r="K2483" s="222"/>
    </row>
    <row r="2484" spans="1:11">
      <c r="A2484" s="717" t="s">
        <v>1893</v>
      </c>
      <c r="B2484" s="717"/>
      <c r="C2484" s="717"/>
      <c r="D2484" s="717"/>
      <c r="E2484" s="717"/>
      <c r="F2484" s="717"/>
      <c r="G2484" s="195">
        <f>ROUND(SUM(G2481:G2483),2)</f>
        <v>16.21</v>
      </c>
      <c r="K2484" s="222"/>
    </row>
    <row r="2485" spans="1:11" ht="23.25" customHeight="1">
      <c r="A2485" s="256"/>
      <c r="B2485" s="256"/>
      <c r="C2485" s="256"/>
      <c r="D2485" s="256"/>
      <c r="E2485" s="256"/>
      <c r="F2485" s="256"/>
      <c r="G2485" s="256"/>
      <c r="K2485" s="222"/>
    </row>
    <row r="2486" spans="1:11">
      <c r="A2486" s="612" t="s">
        <v>2767</v>
      </c>
      <c r="B2486" s="613"/>
      <c r="C2486" s="613"/>
      <c r="D2486" s="613"/>
      <c r="E2486" s="718"/>
      <c r="F2486" s="257" t="s">
        <v>44</v>
      </c>
      <c r="G2486" s="260">
        <v>11633</v>
      </c>
      <c r="K2486" s="222"/>
    </row>
    <row r="2487" spans="1:11" ht="28.5">
      <c r="A2487" s="623" t="s">
        <v>366</v>
      </c>
      <c r="B2487" s="624"/>
      <c r="C2487" s="69" t="s">
        <v>3</v>
      </c>
      <c r="D2487" s="69" t="s">
        <v>4</v>
      </c>
      <c r="E2487" s="69" t="s">
        <v>1826</v>
      </c>
      <c r="F2487" s="69" t="s">
        <v>367</v>
      </c>
      <c r="G2487" s="69" t="s">
        <v>368</v>
      </c>
      <c r="K2487" s="222"/>
    </row>
    <row r="2488" spans="1:11" s="38" customFormat="1" ht="30">
      <c r="A2488" s="20">
        <v>11633</v>
      </c>
      <c r="B2488" s="261" t="s">
        <v>2995</v>
      </c>
      <c r="C2488" s="21" t="s">
        <v>44</v>
      </c>
      <c r="D2488" s="21" t="s">
        <v>52</v>
      </c>
      <c r="E2488" s="22">
        <v>1.02</v>
      </c>
      <c r="F2488" s="245">
        <f>H2488</f>
        <v>5.0999999999999996</v>
      </c>
      <c r="G2488" s="245">
        <f>ROUND(F2488*E2488,2)</f>
        <v>5.2</v>
      </c>
      <c r="H2488" s="336">
        <v>5.0999999999999996</v>
      </c>
      <c r="I2488" s="38" t="e">
        <f>IF(A2488&lt;&gt;0,VLOOKUP(A2488,#REF!,2,FALSE),"")</f>
        <v>#REF!</v>
      </c>
      <c r="J2488" s="336"/>
      <c r="K2488" s="222"/>
    </row>
    <row r="2489" spans="1:11" ht="30">
      <c r="A2489" s="20">
        <v>88264</v>
      </c>
      <c r="B2489" s="70" t="s">
        <v>379</v>
      </c>
      <c r="C2489" s="21" t="s">
        <v>12</v>
      </c>
      <c r="D2489" s="21" t="s">
        <v>19</v>
      </c>
      <c r="E2489" s="22">
        <v>0.11</v>
      </c>
      <c r="F2489" s="245">
        <f>H2489</f>
        <v>15.249000000000001</v>
      </c>
      <c r="G2489" s="245">
        <f>ROUND(F2489*E2489,2)</f>
        <v>1.68</v>
      </c>
      <c r="H2489" s="337">
        <v>15.249000000000001</v>
      </c>
      <c r="I2489" s="42" t="e">
        <f>IF(A2489&lt;&gt;0,VLOOKUP(A2489,#REF!,2,FALSE),"")</f>
        <v>#REF!</v>
      </c>
      <c r="K2489" s="222"/>
    </row>
    <row r="2490" spans="1:11" ht="30">
      <c r="A2490" s="20">
        <v>88247</v>
      </c>
      <c r="B2490" s="70" t="s">
        <v>510</v>
      </c>
      <c r="C2490" s="21" t="s">
        <v>12</v>
      </c>
      <c r="D2490" s="21" t="s">
        <v>19</v>
      </c>
      <c r="E2490" s="22">
        <v>0.11</v>
      </c>
      <c r="F2490" s="245">
        <f>H2490</f>
        <v>11.9085</v>
      </c>
      <c r="G2490" s="245">
        <f>ROUND(F2490*E2490,2)</f>
        <v>1.31</v>
      </c>
      <c r="H2490" s="337">
        <v>11.9085</v>
      </c>
      <c r="I2490" s="42" t="e">
        <f>IF(A2490&lt;&gt;0,VLOOKUP(A2490,#REF!,2,FALSE),"")</f>
        <v>#REF!</v>
      </c>
      <c r="K2490" s="222"/>
    </row>
    <row r="2491" spans="1:11">
      <c r="A2491" s="717" t="s">
        <v>1893</v>
      </c>
      <c r="B2491" s="717"/>
      <c r="C2491" s="717"/>
      <c r="D2491" s="717"/>
      <c r="E2491" s="717"/>
      <c r="F2491" s="717"/>
      <c r="G2491" s="195">
        <f>ROUND(SUM(G2488:G2490),2)</f>
        <v>8.19</v>
      </c>
      <c r="K2491" s="222"/>
    </row>
    <row r="2492" spans="1:11" ht="29.25" customHeight="1">
      <c r="K2492" s="222"/>
    </row>
    <row r="2493" spans="1:11">
      <c r="A2493" s="712" t="s">
        <v>2996</v>
      </c>
      <c r="B2493" s="713"/>
      <c r="C2493" s="713"/>
      <c r="D2493" s="713"/>
      <c r="E2493" s="720"/>
      <c r="F2493" s="257" t="s">
        <v>44</v>
      </c>
      <c r="G2493" s="260">
        <v>7881</v>
      </c>
      <c r="K2493" s="222"/>
    </row>
    <row r="2494" spans="1:11" ht="28.5">
      <c r="A2494" s="715" t="s">
        <v>364</v>
      </c>
      <c r="B2494" s="716"/>
      <c r="C2494" s="193" t="s">
        <v>3</v>
      </c>
      <c r="D2494" s="193" t="s">
        <v>4</v>
      </c>
      <c r="E2494" s="193" t="s">
        <v>1826</v>
      </c>
      <c r="F2494" s="193" t="s">
        <v>367</v>
      </c>
      <c r="G2494" s="193" t="s">
        <v>368</v>
      </c>
      <c r="K2494" s="222"/>
    </row>
    <row r="2495" spans="1:11" s="38" customFormat="1" ht="30">
      <c r="A2495" s="161">
        <v>4112</v>
      </c>
      <c r="B2495" s="246" t="s">
        <v>2997</v>
      </c>
      <c r="C2495" s="247" t="s">
        <v>44</v>
      </c>
      <c r="D2495" s="247" t="s">
        <v>17</v>
      </c>
      <c r="E2495" s="245">
        <v>1</v>
      </c>
      <c r="F2495" s="245">
        <f>H2495</f>
        <v>3.5275000000000003</v>
      </c>
      <c r="G2495" s="245">
        <f>ROUND(F2495*E2495,2)</f>
        <v>3.53</v>
      </c>
      <c r="H2495" s="336">
        <v>3.5275000000000003</v>
      </c>
      <c r="I2495" s="38" t="e">
        <f>IF(A2495&lt;&gt;0,VLOOKUP(A2495,#REF!,2,FALSE),"")</f>
        <v>#REF!</v>
      </c>
      <c r="J2495" s="336"/>
      <c r="K2495" s="222"/>
    </row>
    <row r="2496" spans="1:11" ht="30">
      <c r="A2496" s="161">
        <v>88264</v>
      </c>
      <c r="B2496" s="246" t="s">
        <v>379</v>
      </c>
      <c r="C2496" s="247" t="s">
        <v>12</v>
      </c>
      <c r="D2496" s="247" t="s">
        <v>19</v>
      </c>
      <c r="E2496" s="245">
        <v>0.2</v>
      </c>
      <c r="F2496" s="245">
        <f>H2496</f>
        <v>15.249000000000001</v>
      </c>
      <c r="G2496" s="245">
        <f>ROUND(F2496*E2496,2)</f>
        <v>3.05</v>
      </c>
      <c r="H2496" s="337">
        <v>15.249000000000001</v>
      </c>
      <c r="I2496" s="42" t="e">
        <f>IF(A2496&lt;&gt;0,VLOOKUP(A2496,#REF!,2,FALSE),"")</f>
        <v>#REF!</v>
      </c>
      <c r="K2496" s="222"/>
    </row>
    <row r="2497" spans="1:11" ht="30">
      <c r="A2497" s="161">
        <v>88316</v>
      </c>
      <c r="B2497" s="246" t="s">
        <v>377</v>
      </c>
      <c r="C2497" s="247" t="s">
        <v>12</v>
      </c>
      <c r="D2497" s="247" t="s">
        <v>19</v>
      </c>
      <c r="E2497" s="245">
        <v>0.2</v>
      </c>
      <c r="F2497" s="245">
        <f>H2497</f>
        <v>11.798000000000002</v>
      </c>
      <c r="G2497" s="245">
        <f>ROUND(F2497*E2497,2)</f>
        <v>2.36</v>
      </c>
      <c r="H2497" s="337">
        <v>11.798000000000002</v>
      </c>
      <c r="I2497" s="42" t="e">
        <f>IF(A2497&lt;&gt;0,VLOOKUP(A2497,#REF!,2,FALSE),"")</f>
        <v>#REF!</v>
      </c>
      <c r="K2497" s="222"/>
    </row>
    <row r="2498" spans="1:11">
      <c r="A2498" s="717" t="s">
        <v>1893</v>
      </c>
      <c r="B2498" s="717"/>
      <c r="C2498" s="717"/>
      <c r="D2498" s="717"/>
      <c r="E2498" s="717"/>
      <c r="F2498" s="717"/>
      <c r="G2498" s="195">
        <f>ROUND(SUM(G2495:G2497),2)</f>
        <v>8.94</v>
      </c>
      <c r="K2498" s="222"/>
    </row>
    <row r="2499" spans="1:11" ht="25.5" customHeight="1">
      <c r="K2499" s="222"/>
    </row>
    <row r="2500" spans="1:11">
      <c r="A2500" s="712" t="s">
        <v>2998</v>
      </c>
      <c r="B2500" s="713"/>
      <c r="C2500" s="713"/>
      <c r="D2500" s="713"/>
      <c r="E2500" s="713"/>
      <c r="F2500" s="257" t="s">
        <v>44</v>
      </c>
      <c r="G2500" s="260">
        <v>8689</v>
      </c>
      <c r="K2500" s="222"/>
    </row>
    <row r="2501" spans="1:11" ht="28.5">
      <c r="A2501" s="715" t="s">
        <v>366</v>
      </c>
      <c r="B2501" s="716"/>
      <c r="C2501" s="193" t="s">
        <v>3</v>
      </c>
      <c r="D2501" s="193" t="s">
        <v>4</v>
      </c>
      <c r="E2501" s="193" t="s">
        <v>1826</v>
      </c>
      <c r="F2501" s="193" t="s">
        <v>367</v>
      </c>
      <c r="G2501" s="193" t="s">
        <v>368</v>
      </c>
      <c r="K2501" s="222"/>
    </row>
    <row r="2502" spans="1:11" s="38" customFormat="1" ht="30">
      <c r="A2502" s="161">
        <v>8946</v>
      </c>
      <c r="B2502" s="246" t="s">
        <v>2999</v>
      </c>
      <c r="C2502" s="247" t="s">
        <v>44</v>
      </c>
      <c r="D2502" s="247" t="s">
        <v>17</v>
      </c>
      <c r="E2502" s="245">
        <v>1</v>
      </c>
      <c r="F2502" s="245">
        <f>H2502</f>
        <v>11.05</v>
      </c>
      <c r="G2502" s="245">
        <f>ROUND(F2502*E2502,2)</f>
        <v>11.05</v>
      </c>
      <c r="H2502" s="336">
        <v>11.05</v>
      </c>
      <c r="I2502" s="38" t="e">
        <f>IF(A2502&lt;&gt;0,VLOOKUP(A2502,#REF!,2,FALSE),"")</f>
        <v>#REF!</v>
      </c>
      <c r="J2502" s="336"/>
      <c r="K2502" s="222"/>
    </row>
    <row r="2503" spans="1:11" ht="30">
      <c r="A2503" s="161">
        <v>88264</v>
      </c>
      <c r="B2503" s="246" t="s">
        <v>379</v>
      </c>
      <c r="C2503" s="247" t="s">
        <v>12</v>
      </c>
      <c r="D2503" s="247" t="s">
        <v>19</v>
      </c>
      <c r="E2503" s="245">
        <v>0.2</v>
      </c>
      <c r="F2503" s="245">
        <f>H2503</f>
        <v>15.249000000000001</v>
      </c>
      <c r="G2503" s="245">
        <f>ROUND(F2503*E2503,2)</f>
        <v>3.05</v>
      </c>
      <c r="H2503" s="337">
        <v>15.249000000000001</v>
      </c>
      <c r="I2503" s="42" t="e">
        <f>IF(A2503&lt;&gt;0,VLOOKUP(A2503,#REF!,2,FALSE),"")</f>
        <v>#REF!</v>
      </c>
      <c r="K2503" s="222"/>
    </row>
    <row r="2504" spans="1:11" ht="30">
      <c r="A2504" s="161">
        <v>88247</v>
      </c>
      <c r="B2504" s="246" t="s">
        <v>510</v>
      </c>
      <c r="C2504" s="247" t="s">
        <v>12</v>
      </c>
      <c r="D2504" s="247" t="s">
        <v>19</v>
      </c>
      <c r="E2504" s="245">
        <v>0.2</v>
      </c>
      <c r="F2504" s="245">
        <f>H2504</f>
        <v>11.9085</v>
      </c>
      <c r="G2504" s="245">
        <f>ROUND(F2504*E2504,2)</f>
        <v>2.38</v>
      </c>
      <c r="H2504" s="337">
        <v>11.9085</v>
      </c>
      <c r="I2504" s="42" t="e">
        <f>IF(A2504&lt;&gt;0,VLOOKUP(A2504,#REF!,2,FALSE),"")</f>
        <v>#REF!</v>
      </c>
      <c r="K2504" s="222"/>
    </row>
    <row r="2505" spans="1:11">
      <c r="A2505" s="717" t="s">
        <v>1893</v>
      </c>
      <c r="B2505" s="717"/>
      <c r="C2505" s="717"/>
      <c r="D2505" s="717"/>
      <c r="E2505" s="717"/>
      <c r="F2505" s="717"/>
      <c r="G2505" s="195">
        <f>ROUND(SUM(G2502:G2504),2)</f>
        <v>16.48</v>
      </c>
      <c r="K2505" s="222"/>
    </row>
    <row r="2506" spans="1:11" ht="30" customHeight="1">
      <c r="K2506" s="222"/>
    </row>
    <row r="2507" spans="1:11">
      <c r="A2507" s="712" t="s">
        <v>3000</v>
      </c>
      <c r="B2507" s="713"/>
      <c r="C2507" s="713"/>
      <c r="D2507" s="713"/>
      <c r="E2507" s="713"/>
      <c r="F2507" s="257" t="s">
        <v>44</v>
      </c>
      <c r="G2507" s="260">
        <v>765</v>
      </c>
      <c r="K2507" s="222"/>
    </row>
    <row r="2508" spans="1:11" ht="28.5">
      <c r="A2508" s="715" t="s">
        <v>364</v>
      </c>
      <c r="B2508" s="716"/>
      <c r="C2508" s="193" t="s">
        <v>3</v>
      </c>
      <c r="D2508" s="193" t="s">
        <v>4</v>
      </c>
      <c r="E2508" s="193" t="s">
        <v>1826</v>
      </c>
      <c r="F2508" s="193" t="s">
        <v>367</v>
      </c>
      <c r="G2508" s="193" t="s">
        <v>368</v>
      </c>
      <c r="K2508" s="222"/>
    </row>
    <row r="2509" spans="1:11" s="38" customFormat="1" ht="45">
      <c r="A2509" s="161">
        <v>857</v>
      </c>
      <c r="B2509" s="246" t="s">
        <v>3001</v>
      </c>
      <c r="C2509" s="247" t="s">
        <v>44</v>
      </c>
      <c r="D2509" s="247" t="s">
        <v>17</v>
      </c>
      <c r="E2509" s="245">
        <v>1</v>
      </c>
      <c r="F2509" s="245">
        <f>H2509</f>
        <v>42.160000000000004</v>
      </c>
      <c r="G2509" s="245">
        <f>ROUND(F2509*E2509,2)</f>
        <v>42.16</v>
      </c>
      <c r="H2509" s="336">
        <v>42.160000000000004</v>
      </c>
      <c r="I2509" s="38" t="e">
        <f>IF(A2509&lt;&gt;0,VLOOKUP(A2509,#REF!,2,FALSE),"")</f>
        <v>#REF!</v>
      </c>
      <c r="J2509" s="336"/>
      <c r="K2509" s="222"/>
    </row>
    <row r="2510" spans="1:11" ht="30">
      <c r="A2510" s="161">
        <v>88264</v>
      </c>
      <c r="B2510" s="246" t="s">
        <v>379</v>
      </c>
      <c r="C2510" s="247" t="s">
        <v>12</v>
      </c>
      <c r="D2510" s="247" t="s">
        <v>19</v>
      </c>
      <c r="E2510" s="245">
        <v>0.2</v>
      </c>
      <c r="F2510" s="245">
        <f>H2510</f>
        <v>15.249000000000001</v>
      </c>
      <c r="G2510" s="245">
        <f>ROUND(F2510*E2510,2)</f>
        <v>3.05</v>
      </c>
      <c r="H2510" s="337">
        <v>15.249000000000001</v>
      </c>
      <c r="I2510" s="42" t="e">
        <f>IF(A2510&lt;&gt;0,VLOOKUP(A2510,#REF!,2,FALSE),"")</f>
        <v>#REF!</v>
      </c>
      <c r="K2510" s="222"/>
    </row>
    <row r="2511" spans="1:11" ht="30">
      <c r="A2511" s="161">
        <v>88316</v>
      </c>
      <c r="B2511" s="246" t="s">
        <v>377</v>
      </c>
      <c r="C2511" s="247" t="s">
        <v>12</v>
      </c>
      <c r="D2511" s="247" t="s">
        <v>19</v>
      </c>
      <c r="E2511" s="245">
        <v>0.2</v>
      </c>
      <c r="F2511" s="245">
        <f>H2511</f>
        <v>11.798000000000002</v>
      </c>
      <c r="G2511" s="245">
        <f>ROUND(F2511*E2511,2)</f>
        <v>2.36</v>
      </c>
      <c r="H2511" s="337">
        <v>11.798000000000002</v>
      </c>
      <c r="I2511" s="42" t="e">
        <f>IF(A2511&lt;&gt;0,VLOOKUP(A2511,#REF!,2,FALSE),"")</f>
        <v>#REF!</v>
      </c>
      <c r="K2511" s="222"/>
    </row>
    <row r="2512" spans="1:11">
      <c r="A2512" s="717" t="s">
        <v>1893</v>
      </c>
      <c r="B2512" s="717"/>
      <c r="C2512" s="717"/>
      <c r="D2512" s="717"/>
      <c r="E2512" s="717"/>
      <c r="F2512" s="717"/>
      <c r="G2512" s="195">
        <f>ROUND(SUM(G2509:G2511),2)</f>
        <v>47.57</v>
      </c>
      <c r="K2512" s="222"/>
    </row>
    <row r="2513" spans="1:11" ht="29.25" customHeight="1">
      <c r="K2513" s="222"/>
    </row>
    <row r="2514" spans="1:11" ht="39" customHeight="1">
      <c r="A2514" s="712" t="s">
        <v>3071</v>
      </c>
      <c r="B2514" s="713"/>
      <c r="C2514" s="713"/>
      <c r="D2514" s="713"/>
      <c r="E2514" s="714"/>
      <c r="F2514" s="193" t="s">
        <v>3046</v>
      </c>
      <c r="G2514" s="260" t="s">
        <v>3350</v>
      </c>
      <c r="K2514" s="222"/>
    </row>
    <row r="2515" spans="1:11" ht="28.5">
      <c r="A2515" s="712" t="s">
        <v>366</v>
      </c>
      <c r="B2515" s="776"/>
      <c r="C2515" s="193" t="s">
        <v>3</v>
      </c>
      <c r="D2515" s="193" t="s">
        <v>4</v>
      </c>
      <c r="E2515" s="193" t="s">
        <v>1826</v>
      </c>
      <c r="F2515" s="193" t="s">
        <v>367</v>
      </c>
      <c r="G2515" s="193" t="s">
        <v>368</v>
      </c>
      <c r="K2515" s="222"/>
    </row>
    <row r="2516" spans="1:11" ht="30">
      <c r="A2516" s="161" t="s">
        <v>3351</v>
      </c>
      <c r="B2516" s="246" t="s">
        <v>3349</v>
      </c>
      <c r="C2516" s="247" t="s">
        <v>3046</v>
      </c>
      <c r="D2516" s="247" t="s">
        <v>17</v>
      </c>
      <c r="E2516" s="245">
        <v>2</v>
      </c>
      <c r="F2516" s="245">
        <f>H2516</f>
        <v>41140.467499999999</v>
      </c>
      <c r="G2516" s="245">
        <f>ROUND(F2516*E2516,2)</f>
        <v>82280.94</v>
      </c>
      <c r="H2516" s="337">
        <v>41140.467499999999</v>
      </c>
      <c r="K2516" s="222"/>
    </row>
    <row r="2517" spans="1:11">
      <c r="A2517" s="717" t="s">
        <v>1893</v>
      </c>
      <c r="B2517" s="717"/>
      <c r="C2517" s="717"/>
      <c r="D2517" s="717"/>
      <c r="E2517" s="717"/>
      <c r="F2517" s="717"/>
      <c r="G2517" s="195">
        <f>ROUND(SUM(G2516:G2516),2)</f>
        <v>82280.94</v>
      </c>
      <c r="K2517" s="222"/>
    </row>
    <row r="2518" spans="1:11" ht="29.25" customHeight="1">
      <c r="A2518" s="262"/>
      <c r="B2518" s="262"/>
      <c r="C2518" s="710"/>
      <c r="D2518" s="711"/>
      <c r="E2518" s="262"/>
      <c r="F2518" s="262"/>
      <c r="G2518" s="262"/>
      <c r="K2518" s="222"/>
    </row>
    <row r="2519" spans="1:11" ht="37.5" customHeight="1">
      <c r="A2519" s="712" t="s">
        <v>3072</v>
      </c>
      <c r="B2519" s="713"/>
      <c r="C2519" s="713"/>
      <c r="D2519" s="713"/>
      <c r="E2519" s="714"/>
      <c r="F2519" s="193" t="s">
        <v>3046</v>
      </c>
      <c r="G2519" s="260" t="s">
        <v>3436</v>
      </c>
      <c r="K2519" s="222"/>
    </row>
    <row r="2520" spans="1:11" ht="28.5">
      <c r="A2520" s="715" t="s">
        <v>366</v>
      </c>
      <c r="B2520" s="716"/>
      <c r="C2520" s="193" t="s">
        <v>3</v>
      </c>
      <c r="D2520" s="193" t="s">
        <v>4</v>
      </c>
      <c r="E2520" s="193" t="s">
        <v>1826</v>
      </c>
      <c r="F2520" s="193" t="s">
        <v>367</v>
      </c>
      <c r="G2520" s="193" t="s">
        <v>368</v>
      </c>
      <c r="K2520" s="222"/>
    </row>
    <row r="2521" spans="1:11" ht="30">
      <c r="A2521" s="161" t="s">
        <v>3356</v>
      </c>
      <c r="B2521" s="246" t="s">
        <v>3355</v>
      </c>
      <c r="C2521" s="247" t="s">
        <v>3046</v>
      </c>
      <c r="D2521" s="247" t="s">
        <v>17</v>
      </c>
      <c r="E2521" s="245">
        <v>2</v>
      </c>
      <c r="F2521" s="245">
        <f>H2521</f>
        <v>45846.399000000005</v>
      </c>
      <c r="G2521" s="245">
        <f>ROUND(F2521*E2521,2)</f>
        <v>91692.800000000003</v>
      </c>
      <c r="H2521" s="337">
        <v>45846.399000000005</v>
      </c>
      <c r="K2521" s="222"/>
    </row>
    <row r="2522" spans="1:11">
      <c r="A2522" s="717" t="s">
        <v>1893</v>
      </c>
      <c r="B2522" s="717"/>
      <c r="C2522" s="717"/>
      <c r="D2522" s="717"/>
      <c r="E2522" s="717"/>
      <c r="F2522" s="717"/>
      <c r="G2522" s="195">
        <f>ROUND(SUM(G2521:G2521),2)</f>
        <v>91692.800000000003</v>
      </c>
      <c r="K2522" s="222"/>
    </row>
    <row r="2523" spans="1:11" ht="25.5" customHeight="1">
      <c r="A2523" s="262"/>
      <c r="B2523" s="262"/>
      <c r="C2523" s="710"/>
      <c r="D2523" s="711"/>
      <c r="E2523" s="262"/>
      <c r="F2523" s="262"/>
      <c r="G2523" s="262"/>
      <c r="K2523" s="222"/>
    </row>
    <row r="2524" spans="1:11" ht="31.5" customHeight="1">
      <c r="A2524" s="712" t="s">
        <v>3073</v>
      </c>
      <c r="B2524" s="713"/>
      <c r="C2524" s="713"/>
      <c r="D2524" s="713"/>
      <c r="E2524" s="714"/>
      <c r="F2524" s="193" t="s">
        <v>3046</v>
      </c>
      <c r="G2524" s="260" t="s">
        <v>3362</v>
      </c>
      <c r="K2524" s="222"/>
    </row>
    <row r="2525" spans="1:11" ht="28.5">
      <c r="A2525" s="715" t="s">
        <v>366</v>
      </c>
      <c r="B2525" s="716"/>
      <c r="C2525" s="193" t="s">
        <v>3</v>
      </c>
      <c r="D2525" s="193" t="s">
        <v>4</v>
      </c>
      <c r="E2525" s="193" t="s">
        <v>1826</v>
      </c>
      <c r="F2525" s="193" t="s">
        <v>367</v>
      </c>
      <c r="G2525" s="193" t="s">
        <v>368</v>
      </c>
      <c r="K2525" s="222"/>
    </row>
    <row r="2526" spans="1:11" ht="30">
      <c r="A2526" s="161" t="s">
        <v>3356</v>
      </c>
      <c r="B2526" s="246" t="s">
        <v>3355</v>
      </c>
      <c r="C2526" s="247" t="s">
        <v>3046</v>
      </c>
      <c r="D2526" s="247" t="s">
        <v>17</v>
      </c>
      <c r="E2526" s="245">
        <v>3</v>
      </c>
      <c r="F2526" s="245">
        <f>H2526</f>
        <v>45846.399000000005</v>
      </c>
      <c r="G2526" s="245">
        <f>ROUND(F2526*E2526,2)</f>
        <v>137539.20000000001</v>
      </c>
      <c r="H2526" s="337">
        <v>45846.399000000005</v>
      </c>
      <c r="K2526" s="222"/>
    </row>
    <row r="2527" spans="1:11">
      <c r="A2527" s="717" t="s">
        <v>1893</v>
      </c>
      <c r="B2527" s="717"/>
      <c r="C2527" s="717"/>
      <c r="D2527" s="717"/>
      <c r="E2527" s="717"/>
      <c r="F2527" s="717"/>
      <c r="G2527" s="195">
        <f>ROUND(SUM(G2526:G2526),2)</f>
        <v>137539.20000000001</v>
      </c>
      <c r="K2527" s="222"/>
    </row>
    <row r="2528" spans="1:11" ht="20.25" customHeight="1">
      <c r="K2528" s="222"/>
    </row>
    <row r="2529" spans="1:11">
      <c r="A2529" s="612" t="s">
        <v>3002</v>
      </c>
      <c r="B2529" s="613"/>
      <c r="C2529" s="613"/>
      <c r="D2529" s="613"/>
      <c r="E2529" s="614"/>
      <c r="F2529" s="193" t="s">
        <v>3046</v>
      </c>
      <c r="G2529" s="87" t="s">
        <v>3366</v>
      </c>
      <c r="K2529" s="222"/>
    </row>
    <row r="2530" spans="1:11" ht="28.5">
      <c r="A2530" s="194" t="s">
        <v>366</v>
      </c>
      <c r="B2530" s="80"/>
      <c r="C2530" s="69" t="s">
        <v>3</v>
      </c>
      <c r="D2530" s="69" t="s">
        <v>4</v>
      </c>
      <c r="E2530" s="69" t="s">
        <v>1826</v>
      </c>
      <c r="F2530" s="69" t="s">
        <v>367</v>
      </c>
      <c r="G2530" s="69" t="s">
        <v>368</v>
      </c>
      <c r="K2530" s="222"/>
    </row>
    <row r="2531" spans="1:11" ht="30">
      <c r="A2531" s="76" t="s">
        <v>3367</v>
      </c>
      <c r="B2531" s="70" t="s">
        <v>3003</v>
      </c>
      <c r="C2531" s="21" t="s">
        <v>3046</v>
      </c>
      <c r="D2531" s="21" t="s">
        <v>17</v>
      </c>
      <c r="E2531" s="22">
        <v>1</v>
      </c>
      <c r="F2531" s="22">
        <v>77.48</v>
      </c>
      <c r="G2531" s="22">
        <v>77.48</v>
      </c>
      <c r="H2531" s="337">
        <v>65.858000000000004</v>
      </c>
      <c r="K2531" s="222"/>
    </row>
    <row r="2532" spans="1:11">
      <c r="A2532" s="717" t="s">
        <v>1893</v>
      </c>
      <c r="B2532" s="717"/>
      <c r="C2532" s="717"/>
      <c r="D2532" s="717"/>
      <c r="E2532" s="717"/>
      <c r="F2532" s="717"/>
      <c r="G2532" s="195">
        <f>ROUND(SUM(G2531),2)</f>
        <v>77.48</v>
      </c>
      <c r="K2532" s="222"/>
    </row>
    <row r="2533" spans="1:11" ht="20.25" customHeight="1">
      <c r="K2533" s="222"/>
    </row>
    <row r="2534" spans="1:11">
      <c r="A2534" s="612" t="s">
        <v>3373</v>
      </c>
      <c r="B2534" s="613"/>
      <c r="C2534" s="613"/>
      <c r="D2534" s="613"/>
      <c r="E2534" s="718"/>
      <c r="F2534" s="67" t="s">
        <v>70</v>
      </c>
      <c r="G2534" s="321" t="s">
        <v>3374</v>
      </c>
      <c r="K2534" s="222"/>
    </row>
    <row r="2535" spans="1:11" ht="28.5">
      <c r="A2535" s="612" t="s">
        <v>366</v>
      </c>
      <c r="B2535" s="616"/>
      <c r="C2535" s="69" t="s">
        <v>3</v>
      </c>
      <c r="D2535" s="69" t="s">
        <v>4</v>
      </c>
      <c r="E2535" s="69" t="s">
        <v>1826</v>
      </c>
      <c r="F2535" s="69" t="s">
        <v>367</v>
      </c>
      <c r="G2535" s="69" t="s">
        <v>368</v>
      </c>
      <c r="K2535" s="222"/>
    </row>
    <row r="2536" spans="1:11" ht="30">
      <c r="A2536" s="20">
        <v>88264</v>
      </c>
      <c r="B2536" s="70" t="s">
        <v>379</v>
      </c>
      <c r="C2536" s="21" t="s">
        <v>12</v>
      </c>
      <c r="D2536" s="21" t="s">
        <v>19</v>
      </c>
      <c r="E2536" s="22">
        <v>60</v>
      </c>
      <c r="F2536" s="22">
        <f>H2536</f>
        <v>15.249000000000001</v>
      </c>
      <c r="G2536" s="22">
        <f>ROUND(F2536*E2536,2)</f>
        <v>914.94</v>
      </c>
      <c r="H2536" s="337">
        <v>15.249000000000001</v>
      </c>
      <c r="I2536" s="42" t="e">
        <f>IF(A2536&lt;&gt;0,VLOOKUP(A2536,#REF!,2,FALSE),"")</f>
        <v>#REF!</v>
      </c>
      <c r="K2536" s="222"/>
    </row>
    <row r="2537" spans="1:11" ht="30">
      <c r="A2537" s="20">
        <v>88247</v>
      </c>
      <c r="B2537" s="70" t="s">
        <v>510</v>
      </c>
      <c r="C2537" s="21" t="s">
        <v>12</v>
      </c>
      <c r="D2537" s="21" t="s">
        <v>19</v>
      </c>
      <c r="E2537" s="22">
        <v>60</v>
      </c>
      <c r="F2537" s="22">
        <f>H2537</f>
        <v>11.9085</v>
      </c>
      <c r="G2537" s="22">
        <f>ROUND(F2537*E2537,2)</f>
        <v>714.51</v>
      </c>
      <c r="H2537" s="337">
        <v>11.9085</v>
      </c>
      <c r="I2537" s="42" t="e">
        <f>IF(A2537&lt;&gt;0,VLOOKUP(A2537,#REF!,2,FALSE),"")</f>
        <v>#REF!</v>
      </c>
      <c r="K2537" s="222"/>
    </row>
    <row r="2538" spans="1:11" ht="30">
      <c r="A2538" s="20">
        <v>88266</v>
      </c>
      <c r="B2538" s="70" t="s">
        <v>570</v>
      </c>
      <c r="C2538" s="21" t="s">
        <v>12</v>
      </c>
      <c r="D2538" s="21" t="s">
        <v>19</v>
      </c>
      <c r="E2538" s="22">
        <v>60</v>
      </c>
      <c r="F2538" s="22">
        <f>H2538</f>
        <v>25.6785</v>
      </c>
      <c r="G2538" s="22">
        <f>ROUND(F2538*E2538,2)</f>
        <v>1540.71</v>
      </c>
      <c r="H2538" s="337">
        <v>25.6785</v>
      </c>
      <c r="I2538" s="42" t="e">
        <f>IF(A2538&lt;&gt;0,VLOOKUP(A2538,#REF!,2,FALSE),"")</f>
        <v>#REF!</v>
      </c>
      <c r="K2538" s="222"/>
    </row>
    <row r="2539" spans="1:11">
      <c r="A2539" s="719" t="s">
        <v>1893</v>
      </c>
      <c r="B2539" s="719"/>
      <c r="C2539" s="719"/>
      <c r="D2539" s="719"/>
      <c r="E2539" s="719"/>
      <c r="F2539" s="719"/>
      <c r="G2539" s="71">
        <f>ROUND(SUM(G2536:G2538),2)</f>
        <v>3170.16</v>
      </c>
      <c r="K2539" s="222"/>
    </row>
    <row r="2540" spans="1:11" ht="18" customHeight="1">
      <c r="K2540" s="222"/>
    </row>
    <row r="2541" spans="1:11" ht="18" customHeight="1">
      <c r="A2541" s="712" t="s">
        <v>3045</v>
      </c>
      <c r="B2541" s="713"/>
      <c r="C2541" s="713"/>
      <c r="D2541" s="713"/>
      <c r="E2541" s="714"/>
      <c r="F2541" s="193" t="s">
        <v>3046</v>
      </c>
      <c r="G2541" s="329" t="s">
        <v>3047</v>
      </c>
      <c r="K2541" s="222"/>
    </row>
    <row r="2542" spans="1:11" ht="28.5">
      <c r="A2542" s="712" t="s">
        <v>366</v>
      </c>
      <c r="B2542" s="776"/>
      <c r="C2542" s="193" t="s">
        <v>3</v>
      </c>
      <c r="D2542" s="193" t="s">
        <v>4</v>
      </c>
      <c r="E2542" s="193" t="s">
        <v>1826</v>
      </c>
      <c r="F2542" s="193" t="s">
        <v>367</v>
      </c>
      <c r="G2542" s="193" t="s">
        <v>368</v>
      </c>
      <c r="K2542" s="222"/>
    </row>
    <row r="2543" spans="1:11" ht="30">
      <c r="A2543" s="20">
        <v>88264</v>
      </c>
      <c r="B2543" s="70" t="s">
        <v>379</v>
      </c>
      <c r="C2543" s="247" t="s">
        <v>12</v>
      </c>
      <c r="D2543" s="247" t="s">
        <v>19</v>
      </c>
      <c r="E2543" s="245">
        <v>7</v>
      </c>
      <c r="F2543" s="245">
        <f>H2543</f>
        <v>15.249000000000001</v>
      </c>
      <c r="G2543" s="245">
        <f>ROUND(F2543*E2543,2)</f>
        <v>106.74</v>
      </c>
      <c r="H2543" s="337">
        <v>15.249000000000001</v>
      </c>
      <c r="I2543" s="42" t="e">
        <f>IF(A2543&lt;&gt;0,VLOOKUP(A2543,#REF!,2,FALSE),"")</f>
        <v>#REF!</v>
      </c>
      <c r="K2543" s="222"/>
    </row>
    <row r="2544" spans="1:11" ht="30">
      <c r="A2544" s="161">
        <v>100308</v>
      </c>
      <c r="B2544" s="246" t="s">
        <v>607</v>
      </c>
      <c r="C2544" s="247" t="s">
        <v>12</v>
      </c>
      <c r="D2544" s="247" t="s">
        <v>19</v>
      </c>
      <c r="E2544" s="245">
        <v>7</v>
      </c>
      <c r="F2544" s="245">
        <f>H2544</f>
        <v>15.070500000000001</v>
      </c>
      <c r="G2544" s="245">
        <f>ROUND(F2544*E2544,2)</f>
        <v>105.49</v>
      </c>
      <c r="H2544" s="337">
        <v>15.070500000000001</v>
      </c>
      <c r="I2544" s="42" t="e">
        <f>IF(A2544&lt;&gt;0,VLOOKUP(A2544,#REF!,2,FALSE),"")</f>
        <v>#REF!</v>
      </c>
      <c r="K2544" s="222"/>
    </row>
    <row r="2545" spans="1:11" ht="30">
      <c r="A2545" s="20">
        <v>88247</v>
      </c>
      <c r="B2545" s="70" t="s">
        <v>510</v>
      </c>
      <c r="C2545" s="247" t="s">
        <v>12</v>
      </c>
      <c r="D2545" s="247" t="s">
        <v>19</v>
      </c>
      <c r="E2545" s="245">
        <v>7</v>
      </c>
      <c r="F2545" s="245">
        <f>H2545</f>
        <v>11.9085</v>
      </c>
      <c r="G2545" s="245">
        <f>ROUND(F2545*E2545,2)</f>
        <v>83.36</v>
      </c>
      <c r="H2545" s="337">
        <v>11.9085</v>
      </c>
      <c r="I2545" s="42" t="e">
        <f>IF(A2545&lt;&gt;0,VLOOKUP(A2545,#REF!,2,FALSE),"")</f>
        <v>#REF!</v>
      </c>
      <c r="K2545" s="222"/>
    </row>
    <row r="2546" spans="1:11">
      <c r="A2546" s="777" t="s">
        <v>1893</v>
      </c>
      <c r="B2546" s="778"/>
      <c r="C2546" s="778"/>
      <c r="D2546" s="778"/>
      <c r="E2546" s="778"/>
      <c r="F2546" s="779"/>
      <c r="G2546" s="195">
        <f>ROUND(SUM(G2543:G2545),2)</f>
        <v>295.58999999999997</v>
      </c>
      <c r="K2546" s="222"/>
    </row>
    <row r="2547" spans="1:11" ht="21" customHeight="1">
      <c r="K2547" s="222"/>
    </row>
    <row r="2548" spans="1:11" ht="24.75" customHeight="1">
      <c r="A2548" s="712" t="s">
        <v>3063</v>
      </c>
      <c r="B2548" s="713"/>
      <c r="C2548" s="713"/>
      <c r="D2548" s="713"/>
      <c r="E2548" s="714"/>
      <c r="F2548" s="193" t="s">
        <v>3046</v>
      </c>
      <c r="G2548" s="329" t="s">
        <v>3062</v>
      </c>
      <c r="K2548" s="222"/>
    </row>
    <row r="2549" spans="1:11" ht="28.5">
      <c r="A2549" s="712" t="s">
        <v>366</v>
      </c>
      <c r="B2549" s="776"/>
      <c r="C2549" s="193" t="s">
        <v>3</v>
      </c>
      <c r="D2549" s="193" t="s">
        <v>4</v>
      </c>
      <c r="E2549" s="193" t="s">
        <v>1826</v>
      </c>
      <c r="F2549" s="193" t="s">
        <v>367</v>
      </c>
      <c r="G2549" s="193" t="s">
        <v>368</v>
      </c>
      <c r="K2549" s="222"/>
    </row>
    <row r="2550" spans="1:11" ht="30">
      <c r="A2550" s="20">
        <v>88264</v>
      </c>
      <c r="B2550" s="70" t="s">
        <v>379</v>
      </c>
      <c r="C2550" s="247" t="s">
        <v>12</v>
      </c>
      <c r="D2550" s="247" t="s">
        <v>19</v>
      </c>
      <c r="E2550" s="245">
        <v>8</v>
      </c>
      <c r="F2550" s="245">
        <f>H2550</f>
        <v>15.249000000000001</v>
      </c>
      <c r="G2550" s="245">
        <f>ROUND(F2550*E2550,2)</f>
        <v>121.99</v>
      </c>
      <c r="H2550" s="337">
        <v>15.249000000000001</v>
      </c>
      <c r="I2550" s="42" t="e">
        <f>IF(A2550&lt;&gt;0,VLOOKUP(A2550,#REF!,2,FALSE),"")</f>
        <v>#REF!</v>
      </c>
      <c r="K2550" s="222"/>
    </row>
    <row r="2551" spans="1:11" ht="30">
      <c r="A2551" s="161">
        <v>100308</v>
      </c>
      <c r="B2551" s="246" t="s">
        <v>607</v>
      </c>
      <c r="C2551" s="247" t="s">
        <v>12</v>
      </c>
      <c r="D2551" s="247" t="s">
        <v>19</v>
      </c>
      <c r="E2551" s="245">
        <v>8</v>
      </c>
      <c r="F2551" s="245">
        <f>H2551</f>
        <v>15.070500000000001</v>
      </c>
      <c r="G2551" s="245">
        <f>ROUND(F2551*E2551,2)</f>
        <v>120.56</v>
      </c>
      <c r="H2551" s="337">
        <v>15.070500000000001</v>
      </c>
      <c r="I2551" s="42" t="e">
        <f>IF(A2551&lt;&gt;0,VLOOKUP(A2551,#REF!,2,FALSE),"")</f>
        <v>#REF!</v>
      </c>
      <c r="K2551" s="222"/>
    </row>
    <row r="2552" spans="1:11" ht="30">
      <c r="A2552" s="20">
        <v>88266</v>
      </c>
      <c r="B2552" s="70" t="s">
        <v>570</v>
      </c>
      <c r="C2552" s="21" t="s">
        <v>12</v>
      </c>
      <c r="D2552" s="21" t="s">
        <v>19</v>
      </c>
      <c r="E2552" s="22">
        <v>8</v>
      </c>
      <c r="F2552" s="22">
        <f>H2552</f>
        <v>25.6785</v>
      </c>
      <c r="G2552" s="22">
        <f>ROUND(F2552*E2552,2)</f>
        <v>205.43</v>
      </c>
      <c r="H2552" s="337">
        <v>25.6785</v>
      </c>
      <c r="I2552" s="42" t="e">
        <f>IF(A2552&lt;&gt;0,VLOOKUP(A2552,#REF!,2,FALSE),"")</f>
        <v>#REF!</v>
      </c>
      <c r="K2552" s="222"/>
    </row>
    <row r="2553" spans="1:11" ht="30">
      <c r="A2553" s="20">
        <v>88247</v>
      </c>
      <c r="B2553" s="70" t="s">
        <v>510</v>
      </c>
      <c r="C2553" s="247" t="s">
        <v>12</v>
      </c>
      <c r="D2553" s="247" t="s">
        <v>19</v>
      </c>
      <c r="E2553" s="245">
        <v>8</v>
      </c>
      <c r="F2553" s="245">
        <f>H2553</f>
        <v>11.9085</v>
      </c>
      <c r="G2553" s="245">
        <f>ROUND(F2553*E2553,2)</f>
        <v>95.27</v>
      </c>
      <c r="H2553" s="337">
        <v>11.9085</v>
      </c>
      <c r="I2553" s="42" t="e">
        <f>IF(A2553&lt;&gt;0,VLOOKUP(A2553,#REF!,2,FALSE),"")</f>
        <v>#REF!</v>
      </c>
      <c r="K2553" s="222"/>
    </row>
    <row r="2554" spans="1:11">
      <c r="A2554" s="777" t="s">
        <v>1893</v>
      </c>
      <c r="B2554" s="778"/>
      <c r="C2554" s="778"/>
      <c r="D2554" s="778"/>
      <c r="E2554" s="778"/>
      <c r="F2554" s="779"/>
      <c r="G2554" s="195">
        <f>ROUND(SUM(G2550:G2553),2)</f>
        <v>543.25</v>
      </c>
      <c r="K2554" s="222"/>
    </row>
    <row r="2555" spans="1:11" ht="24.75" customHeight="1">
      <c r="K2555" s="222"/>
    </row>
    <row r="2556" spans="1:11">
      <c r="A2556" s="738" t="s">
        <v>3085</v>
      </c>
      <c r="B2556" s="739"/>
      <c r="C2556" s="739"/>
      <c r="D2556" s="739"/>
      <c r="E2556" s="740"/>
      <c r="F2556" s="326" t="s">
        <v>44</v>
      </c>
      <c r="G2556" s="110">
        <v>11417</v>
      </c>
      <c r="I2556" s="156"/>
      <c r="K2556" s="222"/>
    </row>
    <row r="2557" spans="1:11" ht="28.5">
      <c r="A2557" s="69" t="s">
        <v>1916</v>
      </c>
      <c r="B2557" s="230"/>
      <c r="C2557" s="69" t="s">
        <v>3</v>
      </c>
      <c r="D2557" s="69" t="s">
        <v>4</v>
      </c>
      <c r="E2557" s="69" t="s">
        <v>1826</v>
      </c>
      <c r="F2557" s="69" t="s">
        <v>367</v>
      </c>
      <c r="G2557" s="69" t="s">
        <v>368</v>
      </c>
      <c r="I2557" s="156"/>
      <c r="K2557" s="222"/>
    </row>
    <row r="2558" spans="1:11" s="38" customFormat="1">
      <c r="A2558" s="92">
        <v>11098</v>
      </c>
      <c r="B2558" s="101" t="s">
        <v>3085</v>
      </c>
      <c r="C2558" s="21" t="s">
        <v>44</v>
      </c>
      <c r="D2558" s="92" t="s">
        <v>1941</v>
      </c>
      <c r="E2558" s="166">
        <v>1</v>
      </c>
      <c r="F2558" s="165">
        <f>H2558</f>
        <v>127.7975</v>
      </c>
      <c r="G2558" s="165">
        <f>ROUND((E2558*F2558),2)</f>
        <v>127.8</v>
      </c>
      <c r="H2558" s="336">
        <v>127.7975</v>
      </c>
      <c r="I2558" s="38" t="e">
        <f>IF(A2558&lt;&gt;0,VLOOKUP(A2558,#REF!,2,FALSE),"")</f>
        <v>#REF!</v>
      </c>
      <c r="J2558" s="336"/>
      <c r="K2558" s="222"/>
    </row>
    <row r="2559" spans="1:11">
      <c r="A2559" s="161">
        <v>88316</v>
      </c>
      <c r="B2559" s="228" t="e">
        <f>I2559</f>
        <v>#REF!</v>
      </c>
      <c r="C2559" s="21" t="s">
        <v>12</v>
      </c>
      <c r="D2559" s="92" t="s">
        <v>19</v>
      </c>
      <c r="E2559" s="117">
        <v>0.2</v>
      </c>
      <c r="F2559" s="113">
        <f>H2559</f>
        <v>11.798000000000002</v>
      </c>
      <c r="G2559" s="114">
        <f>ROUND((E2559*F2559),2)</f>
        <v>2.36</v>
      </c>
      <c r="H2559" s="337">
        <v>11.798000000000002</v>
      </c>
      <c r="I2559" s="38" t="e">
        <f>IF(A2559&lt;&gt;0,VLOOKUP(A2559,#REF!,2,FALSE),"")</f>
        <v>#REF!</v>
      </c>
      <c r="K2559" s="222"/>
    </row>
    <row r="2560" spans="1:11" ht="30">
      <c r="A2560" s="92">
        <v>88264</v>
      </c>
      <c r="B2560" s="101" t="s">
        <v>379</v>
      </c>
      <c r="C2560" s="21" t="s">
        <v>12</v>
      </c>
      <c r="D2560" s="92" t="s">
        <v>19</v>
      </c>
      <c r="E2560" s="117">
        <v>0.2</v>
      </c>
      <c r="F2560" s="113">
        <f>H2560</f>
        <v>15.249000000000001</v>
      </c>
      <c r="G2560" s="114">
        <f>ROUND((E2560*F2560),2)</f>
        <v>3.05</v>
      </c>
      <c r="H2560" s="337">
        <v>15.249000000000001</v>
      </c>
      <c r="I2560" s="38" t="e">
        <f>IF(A2560&lt;&gt;0,VLOOKUP(A2560,#REF!,2,FALSE),"")</f>
        <v>#REF!</v>
      </c>
      <c r="K2560" s="222"/>
    </row>
    <row r="2561" spans="1:11">
      <c r="A2561" s="735" t="s">
        <v>1893</v>
      </c>
      <c r="B2561" s="736"/>
      <c r="C2561" s="736"/>
      <c r="D2561" s="736"/>
      <c r="E2561" s="736"/>
      <c r="F2561" s="737"/>
      <c r="G2561" s="107">
        <f>ROUND(SUM(G2558:G2560),2)</f>
        <v>133.21</v>
      </c>
      <c r="I2561" s="156"/>
      <c r="K2561" s="222"/>
    </row>
    <row r="2562" spans="1:11" ht="24.75" customHeight="1">
      <c r="K2562" s="222"/>
    </row>
    <row r="2563" spans="1:11">
      <c r="A2563" s="612" t="str">
        <f>UPPER(B2565)</f>
        <v>CABO DE COBRE PP CORDPLAST 5 X 4.0 MM2, 450/750V</v>
      </c>
      <c r="B2563" s="613"/>
      <c r="C2563" s="613"/>
      <c r="D2563" s="613"/>
      <c r="E2563" s="614"/>
      <c r="F2563" s="69" t="s">
        <v>44</v>
      </c>
      <c r="G2563" s="87">
        <v>4235</v>
      </c>
      <c r="K2563" s="222"/>
    </row>
    <row r="2564" spans="1:11" ht="28.5">
      <c r="A2564" s="623" t="s">
        <v>366</v>
      </c>
      <c r="B2564" s="624"/>
      <c r="C2564" s="69" t="s">
        <v>3</v>
      </c>
      <c r="D2564" s="69" t="s">
        <v>4</v>
      </c>
      <c r="E2564" s="69" t="s">
        <v>1826</v>
      </c>
      <c r="F2564" s="69" t="s">
        <v>367</v>
      </c>
      <c r="G2564" s="69" t="s">
        <v>368</v>
      </c>
      <c r="K2564" s="222"/>
    </row>
    <row r="2565" spans="1:11">
      <c r="A2565" s="20">
        <v>3314</v>
      </c>
      <c r="B2565" s="70" t="s">
        <v>3078</v>
      </c>
      <c r="C2565" s="21" t="s">
        <v>44</v>
      </c>
      <c r="D2565" s="21" t="s">
        <v>52</v>
      </c>
      <c r="E2565" s="22">
        <v>1.02</v>
      </c>
      <c r="F2565" s="22">
        <f>H2565</f>
        <v>19.329000000000001</v>
      </c>
      <c r="G2565" s="22">
        <f>ROUND(F2565*E2565,2)</f>
        <v>19.72</v>
      </c>
      <c r="H2565" s="337">
        <v>19.329000000000001</v>
      </c>
      <c r="I2565" s="38" t="e">
        <f>IF(A2565&lt;&gt;0,VLOOKUP(A2565,#REF!,2,FALSE),"")</f>
        <v>#REF!</v>
      </c>
      <c r="K2565" s="222"/>
    </row>
    <row r="2566" spans="1:11" ht="30">
      <c r="A2566" s="20">
        <v>88264</v>
      </c>
      <c r="B2566" s="70" t="s">
        <v>379</v>
      </c>
      <c r="C2566" s="21" t="s">
        <v>12</v>
      </c>
      <c r="D2566" s="21" t="s">
        <v>19</v>
      </c>
      <c r="E2566" s="22">
        <v>0.15</v>
      </c>
      <c r="F2566" s="22">
        <f>H2566</f>
        <v>15.249000000000001</v>
      </c>
      <c r="G2566" s="22">
        <f>ROUND(F2566*E2566,2)</f>
        <v>2.29</v>
      </c>
      <c r="H2566" s="337">
        <v>15.249000000000001</v>
      </c>
      <c r="I2566" s="23" t="e">
        <f>IF(A2566&lt;&gt;0,VLOOKUP(A2566,#REF!,2,FALSE),"")</f>
        <v>#REF!</v>
      </c>
      <c r="K2566" s="222"/>
    </row>
    <row r="2567" spans="1:11" ht="30">
      <c r="A2567" s="20">
        <v>88316</v>
      </c>
      <c r="B2567" s="70" t="s">
        <v>377</v>
      </c>
      <c r="C2567" s="21" t="s">
        <v>12</v>
      </c>
      <c r="D2567" s="21" t="s">
        <v>19</v>
      </c>
      <c r="E2567" s="22">
        <v>0.15</v>
      </c>
      <c r="F2567" s="22">
        <f>H2567</f>
        <v>11.798000000000002</v>
      </c>
      <c r="G2567" s="22">
        <f>ROUND(F2567*E2567,2)</f>
        <v>1.77</v>
      </c>
      <c r="H2567" s="337">
        <v>11.798000000000002</v>
      </c>
      <c r="I2567" s="23" t="e">
        <f>IF(A2567&lt;&gt;0,VLOOKUP(A2567,#REF!,2,FALSE),"")</f>
        <v>#REF!</v>
      </c>
      <c r="K2567" s="222"/>
    </row>
    <row r="2568" spans="1:11">
      <c r="A2568" s="615" t="s">
        <v>1893</v>
      </c>
      <c r="B2568" s="615"/>
      <c r="C2568" s="615"/>
      <c r="D2568" s="615"/>
      <c r="E2568" s="615"/>
      <c r="F2568" s="615"/>
      <c r="G2568" s="88">
        <f>ROUND(SUM(G2565:G2567),2)</f>
        <v>23.78</v>
      </c>
      <c r="K2568" s="222"/>
    </row>
    <row r="2569" spans="1:11" ht="27.75" customHeight="1">
      <c r="K2569" s="222"/>
    </row>
    <row r="2570" spans="1:11">
      <c r="A2570" s="612" t="s">
        <v>3427</v>
      </c>
      <c r="B2570" s="613"/>
      <c r="C2570" s="613"/>
      <c r="D2570" s="613"/>
      <c r="E2570" s="614"/>
      <c r="F2570" s="69" t="s">
        <v>1914</v>
      </c>
      <c r="G2570" s="87">
        <v>971988</v>
      </c>
      <c r="K2570" s="222"/>
    </row>
    <row r="2571" spans="1:11" ht="28.5">
      <c r="A2571" s="612" t="s">
        <v>366</v>
      </c>
      <c r="B2571" s="616"/>
      <c r="C2571" s="69" t="s">
        <v>3</v>
      </c>
      <c r="D2571" s="69" t="s">
        <v>4</v>
      </c>
      <c r="E2571" s="69" t="s">
        <v>1826</v>
      </c>
      <c r="F2571" s="69" t="s">
        <v>367</v>
      </c>
      <c r="G2571" s="69" t="s">
        <v>368</v>
      </c>
      <c r="K2571" s="222"/>
    </row>
    <row r="2572" spans="1:11" ht="45">
      <c r="A2572" s="20" t="s">
        <v>1919</v>
      </c>
      <c r="B2572" s="70" t="s">
        <v>3428</v>
      </c>
      <c r="C2572" s="21" t="s">
        <v>634</v>
      </c>
      <c r="D2572" s="21" t="s">
        <v>13</v>
      </c>
      <c r="E2572" s="22">
        <v>1</v>
      </c>
      <c r="F2572" s="22">
        <f>H2572</f>
        <v>496.51049999999998</v>
      </c>
      <c r="G2572" s="22">
        <f>ROUND(F2572*E2572,2)</f>
        <v>496.51</v>
      </c>
      <c r="H2572" s="337">
        <v>496.51049999999998</v>
      </c>
      <c r="K2572" s="222"/>
    </row>
    <row r="2573" spans="1:11" ht="30">
      <c r="A2573" s="20" t="s">
        <v>1919</v>
      </c>
      <c r="B2573" s="70" t="s">
        <v>3429</v>
      </c>
      <c r="C2573" s="21" t="s">
        <v>634</v>
      </c>
      <c r="D2573" s="21" t="s">
        <v>13</v>
      </c>
      <c r="E2573" s="22">
        <v>1</v>
      </c>
      <c r="F2573" s="22">
        <f>H2573</f>
        <v>876.65599999999995</v>
      </c>
      <c r="G2573" s="22">
        <f>ROUND(F2573*E2573,2)</f>
        <v>876.66</v>
      </c>
      <c r="H2573" s="337">
        <v>876.65599999999995</v>
      </c>
      <c r="K2573" s="222"/>
    </row>
    <row r="2574" spans="1:11" ht="30">
      <c r="A2574" s="20" t="s">
        <v>1919</v>
      </c>
      <c r="B2574" s="70" t="s">
        <v>3447</v>
      </c>
      <c r="C2574" s="21" t="s">
        <v>634</v>
      </c>
      <c r="D2574" s="21" t="s">
        <v>13</v>
      </c>
      <c r="E2574" s="22">
        <v>1</v>
      </c>
      <c r="F2574" s="22">
        <f>H2574</f>
        <v>128.89399999999998</v>
      </c>
      <c r="G2574" s="22">
        <f>ROUND(F2574*E2574,2)</f>
        <v>128.88999999999999</v>
      </c>
      <c r="H2574" s="337">
        <v>128.89399999999998</v>
      </c>
      <c r="K2574" s="222"/>
    </row>
    <row r="2575" spans="1:11">
      <c r="A2575" s="615" t="s">
        <v>1893</v>
      </c>
      <c r="B2575" s="615"/>
      <c r="C2575" s="615"/>
      <c r="D2575" s="615"/>
      <c r="E2575" s="615"/>
      <c r="F2575" s="615"/>
      <c r="G2575" s="88">
        <f>ROUND(SUM(G2572:G2574),2)</f>
        <v>1502.06</v>
      </c>
      <c r="K2575" s="222"/>
    </row>
    <row r="2576" spans="1:11" ht="19.5" customHeight="1">
      <c r="K2576" s="222"/>
    </row>
    <row r="2577" spans="1:11">
      <c r="A2577" s="612" t="e">
        <f>UPPER(B2579)</f>
        <v>#REF!</v>
      </c>
      <c r="B2577" s="613"/>
      <c r="C2577" s="613"/>
      <c r="D2577" s="613"/>
      <c r="E2577" s="614"/>
      <c r="F2577" s="69" t="s">
        <v>44</v>
      </c>
      <c r="G2577" s="87">
        <v>11903</v>
      </c>
      <c r="K2577" s="222"/>
    </row>
    <row r="2578" spans="1:11" ht="28.5">
      <c r="A2578" s="612" t="s">
        <v>366</v>
      </c>
      <c r="B2578" s="616"/>
      <c r="C2578" s="69" t="s">
        <v>3</v>
      </c>
      <c r="D2578" s="69" t="s">
        <v>4</v>
      </c>
      <c r="E2578" s="69" t="s">
        <v>1826</v>
      </c>
      <c r="F2578" s="69" t="s">
        <v>367</v>
      </c>
      <c r="G2578" s="69" t="s">
        <v>368</v>
      </c>
      <c r="K2578" s="222"/>
    </row>
    <row r="2579" spans="1:11">
      <c r="A2579" s="20">
        <v>12728</v>
      </c>
      <c r="B2579" s="70" t="e">
        <f>I2579</f>
        <v>#REF!</v>
      </c>
      <c r="C2579" s="21" t="s">
        <v>44</v>
      </c>
      <c r="D2579" s="21" t="s">
        <v>52</v>
      </c>
      <c r="E2579" s="22">
        <v>1</v>
      </c>
      <c r="F2579" s="22">
        <f>H2579</f>
        <v>109.65</v>
      </c>
      <c r="G2579" s="22">
        <f>ROUND(F2579*E2579,2)</f>
        <v>109.65</v>
      </c>
      <c r="H2579" s="337">
        <v>109.65</v>
      </c>
      <c r="I2579" s="38" t="e">
        <f>IF(A2579&lt;&gt;0,VLOOKUP(A2579,#REF!,2,FALSE),"")</f>
        <v>#REF!</v>
      </c>
      <c r="K2579" s="222"/>
    </row>
    <row r="2580" spans="1:11">
      <c r="A2580" s="20">
        <v>12743</v>
      </c>
      <c r="B2580" s="70" t="e">
        <f>I2580</f>
        <v>#REF!</v>
      </c>
      <c r="C2580" s="21" t="s">
        <v>44</v>
      </c>
      <c r="D2580" s="21" t="s">
        <v>3432</v>
      </c>
      <c r="E2580" s="22">
        <v>0.13</v>
      </c>
      <c r="F2580" s="22">
        <f>H2580</f>
        <v>53.414000000000001</v>
      </c>
      <c r="G2580" s="22">
        <f>ROUND(F2580*E2580,2)</f>
        <v>6.94</v>
      </c>
      <c r="H2580" s="337">
        <v>53.414000000000001</v>
      </c>
      <c r="I2580" s="38" t="e">
        <f>IF(A2580&lt;&gt;0,VLOOKUP(A2580,#REF!,2,FALSE),"")</f>
        <v>#REF!</v>
      </c>
      <c r="K2580" s="222"/>
    </row>
    <row r="2581" spans="1:11">
      <c r="A2581" s="20">
        <v>88309</v>
      </c>
      <c r="B2581" s="70" t="e">
        <f>I2581</f>
        <v>#REF!</v>
      </c>
      <c r="C2581" s="21" t="s">
        <v>12</v>
      </c>
      <c r="D2581" s="21" t="s">
        <v>19</v>
      </c>
      <c r="E2581" s="22">
        <v>0.5</v>
      </c>
      <c r="F2581" s="22">
        <f>H2581</f>
        <v>15.121499999999999</v>
      </c>
      <c r="G2581" s="22">
        <f>ROUND(F2581*E2581,2)</f>
        <v>7.56</v>
      </c>
      <c r="H2581" s="337">
        <v>15.121499999999999</v>
      </c>
      <c r="I2581" s="23" t="e">
        <f>IF(A2581&lt;&gt;0,VLOOKUP(A2581,#REF!,2,FALSE),"")</f>
        <v>#REF!</v>
      </c>
      <c r="K2581" s="222"/>
    </row>
    <row r="2582" spans="1:11" ht="30">
      <c r="A2582" s="20">
        <v>88316</v>
      </c>
      <c r="B2582" s="70" t="s">
        <v>377</v>
      </c>
      <c r="C2582" s="21" t="s">
        <v>12</v>
      </c>
      <c r="D2582" s="21" t="s">
        <v>19</v>
      </c>
      <c r="E2582" s="22">
        <v>0.6</v>
      </c>
      <c r="F2582" s="22">
        <f>H2582</f>
        <v>11.798000000000002</v>
      </c>
      <c r="G2582" s="22">
        <f>ROUND(F2582*E2582,2)</f>
        <v>7.08</v>
      </c>
      <c r="H2582" s="337">
        <v>11.798000000000002</v>
      </c>
      <c r="I2582" s="23" t="e">
        <f>IF(A2582&lt;&gt;0,VLOOKUP(A2582,#REF!,2,FALSE),"")</f>
        <v>#REF!</v>
      </c>
      <c r="K2582" s="222"/>
    </row>
    <row r="2583" spans="1:11">
      <c r="A2583" s="615" t="s">
        <v>1893</v>
      </c>
      <c r="B2583" s="615"/>
      <c r="C2583" s="615"/>
      <c r="D2583" s="615"/>
      <c r="E2583" s="615"/>
      <c r="F2583" s="615"/>
      <c r="G2583" s="88">
        <f>ROUND(SUM(G2579:G2582),2)</f>
        <v>131.22999999999999</v>
      </c>
      <c r="K2583" s="222"/>
    </row>
  </sheetData>
  <mergeCells count="988">
    <mergeCell ref="A2517:F2517"/>
    <mergeCell ref="A2515:B2515"/>
    <mergeCell ref="A2563:E2563"/>
    <mergeCell ref="A2564:B2564"/>
    <mergeCell ref="A2568:F2568"/>
    <mergeCell ref="A2556:E2556"/>
    <mergeCell ref="A2561:F2561"/>
    <mergeCell ref="A2541:E2541"/>
    <mergeCell ref="A2542:B2542"/>
    <mergeCell ref="A2546:F2546"/>
    <mergeCell ref="A2548:E2548"/>
    <mergeCell ref="A2549:B2549"/>
    <mergeCell ref="A2554:F2554"/>
    <mergeCell ref="A1969:E1969"/>
    <mergeCell ref="A2045:F2045"/>
    <mergeCell ref="A2032:F2032"/>
    <mergeCell ref="A2034:E2034"/>
    <mergeCell ref="A2248:E2248"/>
    <mergeCell ref="A2249:B2249"/>
    <mergeCell ref="A2251:F2251"/>
    <mergeCell ref="A1983:F1983"/>
    <mergeCell ref="A1985:E1985"/>
    <mergeCell ref="A1991:F1991"/>
    <mergeCell ref="A1993:E1993"/>
    <mergeCell ref="A1997:F1997"/>
    <mergeCell ref="A1999:E1999"/>
    <mergeCell ref="A2052:F2052"/>
    <mergeCell ref="A2054:E2054"/>
    <mergeCell ref="A2060:F2060"/>
    <mergeCell ref="A2004:F2004"/>
    <mergeCell ref="A2006:E2006"/>
    <mergeCell ref="A2010:F2010"/>
    <mergeCell ref="A2012:E2012"/>
    <mergeCell ref="A2017:F2017"/>
    <mergeCell ref="A2027:E2027"/>
    <mergeCell ref="A2047:E2047"/>
    <mergeCell ref="A2038:F2038"/>
    <mergeCell ref="C1752:D1752"/>
    <mergeCell ref="C1746:D1746"/>
    <mergeCell ref="A1748:B1748"/>
    <mergeCell ref="C1769:D1769"/>
    <mergeCell ref="C1764:D1764"/>
    <mergeCell ref="A1886:F1886"/>
    <mergeCell ref="A1935:E1935"/>
    <mergeCell ref="A1933:F1933"/>
    <mergeCell ref="A1905:E1905"/>
    <mergeCell ref="A1923:E1923"/>
    <mergeCell ref="A1928:F1928"/>
    <mergeCell ref="A1823:F1823"/>
    <mergeCell ref="A1805:F1805"/>
    <mergeCell ref="A1808:E1808"/>
    <mergeCell ref="A1811:F1811"/>
    <mergeCell ref="A1814:E1814"/>
    <mergeCell ref="A1921:F1921"/>
    <mergeCell ref="A1917:E1917"/>
    <mergeCell ref="A1841:E1841"/>
    <mergeCell ref="A1844:F1844"/>
    <mergeCell ref="A1826:E1826"/>
    <mergeCell ref="A1830:F1830"/>
    <mergeCell ref="A1833:E1833"/>
    <mergeCell ref="A1838:F1838"/>
    <mergeCell ref="C1647:D1647"/>
    <mergeCell ref="A1608:F1608"/>
    <mergeCell ref="A1614:F1614"/>
    <mergeCell ref="A1610:E1610"/>
    <mergeCell ref="A1620:F1620"/>
    <mergeCell ref="A1616:E1616"/>
    <mergeCell ref="A1626:F1626"/>
    <mergeCell ref="A1622:E1622"/>
    <mergeCell ref="A1631:F1631"/>
    <mergeCell ref="A1628:E1628"/>
    <mergeCell ref="C1621:D1621"/>
    <mergeCell ref="C1627:D1627"/>
    <mergeCell ref="A1629:B1629"/>
    <mergeCell ref="A1960:F1960"/>
    <mergeCell ref="A1751:F1751"/>
    <mergeCell ref="A1747:E1747"/>
    <mergeCell ref="A1726:F1726"/>
    <mergeCell ref="C1711:D1711"/>
    <mergeCell ref="A1718:F1718"/>
    <mergeCell ref="A1661:F1661"/>
    <mergeCell ref="A1668:F1668"/>
    <mergeCell ref="A1663:E1663"/>
    <mergeCell ref="A1737:E1737"/>
    <mergeCell ref="A1738:B1738"/>
    <mergeCell ref="C1736:D1736"/>
    <mergeCell ref="A1729:B1729"/>
    <mergeCell ref="C1727:D1727"/>
    <mergeCell ref="A1735:F1735"/>
    <mergeCell ref="C1693:D1693"/>
    <mergeCell ref="C1681:D1681"/>
    <mergeCell ref="A1897:E1897"/>
    <mergeCell ref="A1903:F1903"/>
    <mergeCell ref="A1915:F1915"/>
    <mergeCell ref="A1757:F1757"/>
    <mergeCell ref="C1719:D1719"/>
    <mergeCell ref="A1721:B1721"/>
    <mergeCell ref="A1671:B1671"/>
    <mergeCell ref="C1758:D1758"/>
    <mergeCell ref="A1760:B1760"/>
    <mergeCell ref="A1754:B1754"/>
    <mergeCell ref="A1348:E1348"/>
    <mergeCell ref="A1350:F1350"/>
    <mergeCell ref="C1501:D1501"/>
    <mergeCell ref="C1492:D1492"/>
    <mergeCell ref="A1494:B1494"/>
    <mergeCell ref="A1467:B1467"/>
    <mergeCell ref="C1450:D1450"/>
    <mergeCell ref="A1488:E1488"/>
    <mergeCell ref="A1633:E1633"/>
    <mergeCell ref="C1506:D1506"/>
    <mergeCell ref="A1503:B1503"/>
    <mergeCell ref="A1634:B1634"/>
    <mergeCell ref="A1648:E1648"/>
    <mergeCell ref="A1641:F1641"/>
    <mergeCell ref="C1609:D1609"/>
    <mergeCell ref="A1712:E1712"/>
    <mergeCell ref="A1713:B1713"/>
    <mergeCell ref="A1659:B1659"/>
    <mergeCell ref="C1662:D1662"/>
    <mergeCell ref="A1664:B1664"/>
    <mergeCell ref="A1649:B1649"/>
    <mergeCell ref="A1790:E1790"/>
    <mergeCell ref="A1799:F1799"/>
    <mergeCell ref="A1802:E1802"/>
    <mergeCell ref="A1552:B1552"/>
    <mergeCell ref="C1550:D1550"/>
    <mergeCell ref="A1776:E1776"/>
    <mergeCell ref="A1777:B1777"/>
    <mergeCell ref="A1781:F1781"/>
    <mergeCell ref="A1784:E1784"/>
    <mergeCell ref="A1785:B1785"/>
    <mergeCell ref="A1611:B1611"/>
    <mergeCell ref="C1642:D1642"/>
    <mergeCell ref="C1632:D1632"/>
    <mergeCell ref="A1617:B1617"/>
    <mergeCell ref="C1615:D1615"/>
    <mergeCell ref="A1623:B1623"/>
    <mergeCell ref="A1744:F1744"/>
    <mergeCell ref="C1745:D1745"/>
    <mergeCell ref="A1787:F1787"/>
    <mergeCell ref="A1556:F1556"/>
    <mergeCell ref="A1581:F1581"/>
    <mergeCell ref="A1771:B1771"/>
    <mergeCell ref="A1728:E1728"/>
    <mergeCell ref="A1636:F1636"/>
    <mergeCell ref="A2040:E2040"/>
    <mergeCell ref="A1846:E1846"/>
    <mergeCell ref="A1855:F1855"/>
    <mergeCell ref="A1857:E1857"/>
    <mergeCell ref="A1862:F1862"/>
    <mergeCell ref="A1864:E1864"/>
    <mergeCell ref="A1869:F1869"/>
    <mergeCell ref="A1872:E1872"/>
    <mergeCell ref="A1877:F1877"/>
    <mergeCell ref="A1880:E1880"/>
    <mergeCell ref="A1974:F1974"/>
    <mergeCell ref="A1976:E1976"/>
    <mergeCell ref="A1967:F1967"/>
    <mergeCell ref="A1962:E1962"/>
    <mergeCell ref="A1888:E1888"/>
    <mergeCell ref="A1895:F1895"/>
    <mergeCell ref="A1940:F1940"/>
    <mergeCell ref="A1942:E1942"/>
    <mergeCell ref="A1947:F1947"/>
    <mergeCell ref="A1949:E1949"/>
    <mergeCell ref="A1954:F1954"/>
    <mergeCell ref="A1956:E1956"/>
    <mergeCell ref="A1930:E1930"/>
    <mergeCell ref="A2019:E2019"/>
    <mergeCell ref="A1766:C1766"/>
    <mergeCell ref="C1582:D1582"/>
    <mergeCell ref="A1573:B1573"/>
    <mergeCell ref="C1571:D1571"/>
    <mergeCell ref="C1564:D1564"/>
    <mergeCell ref="A1566:B1566"/>
    <mergeCell ref="A1559:B1559"/>
    <mergeCell ref="C1557:D1557"/>
    <mergeCell ref="A1720:E1720"/>
    <mergeCell ref="A1598:E1598"/>
    <mergeCell ref="A1604:E1604"/>
    <mergeCell ref="A1753:E1753"/>
    <mergeCell ref="A1763:F1763"/>
    <mergeCell ref="A1759:E1759"/>
    <mergeCell ref="A1658:E1658"/>
    <mergeCell ref="A1638:E1638"/>
    <mergeCell ref="A1646:F1646"/>
    <mergeCell ref="A1707:B1707"/>
    <mergeCell ref="A1706:E1706"/>
    <mergeCell ref="A1710:F1710"/>
    <mergeCell ref="C1705:D1705"/>
    <mergeCell ref="A1695:B1695"/>
    <mergeCell ref="A1653:E1653"/>
    <mergeCell ref="C1669:D1669"/>
    <mergeCell ref="A1535:E1535"/>
    <mergeCell ref="C1528:D1528"/>
    <mergeCell ref="A1530:B1530"/>
    <mergeCell ref="C1534:D1534"/>
    <mergeCell ref="A1545:B1545"/>
    <mergeCell ref="A1544:E1544"/>
    <mergeCell ref="C1543:D1543"/>
    <mergeCell ref="A1536:B1536"/>
    <mergeCell ref="A1502:E1502"/>
    <mergeCell ref="A1542:F1542"/>
    <mergeCell ref="A1507:E1507"/>
    <mergeCell ref="A1527:F1527"/>
    <mergeCell ref="A1521:E1521"/>
    <mergeCell ref="C1520:D1520"/>
    <mergeCell ref="A1522:B1522"/>
    <mergeCell ref="C1513:D1513"/>
    <mergeCell ref="A1515:B1515"/>
    <mergeCell ref="A1508:B1508"/>
    <mergeCell ref="A1512:F1512"/>
    <mergeCell ref="A1514:E1514"/>
    <mergeCell ref="A393:E393"/>
    <mergeCell ref="A396:F396"/>
    <mergeCell ref="C722:D722"/>
    <mergeCell ref="A724:B724"/>
    <mergeCell ref="A715:B715"/>
    <mergeCell ref="C713:D713"/>
    <mergeCell ref="C712:D712"/>
    <mergeCell ref="A442:F442"/>
    <mergeCell ref="A398:E398"/>
    <mergeCell ref="A406:E406"/>
    <mergeCell ref="A658:B658"/>
    <mergeCell ref="A648:E648"/>
    <mergeCell ref="A662:F662"/>
    <mergeCell ref="A657:E657"/>
    <mergeCell ref="A669:F669"/>
    <mergeCell ref="A664:E664"/>
    <mergeCell ref="A721:F721"/>
    <mergeCell ref="A714:E714"/>
    <mergeCell ref="A723:E723"/>
    <mergeCell ref="A655:F655"/>
    <mergeCell ref="A711:F711"/>
    <mergeCell ref="A704:E704"/>
    <mergeCell ref="A404:F404"/>
    <mergeCell ref="C670:D670"/>
    <mergeCell ref="A1431:B1431"/>
    <mergeCell ref="C1457:D1457"/>
    <mergeCell ref="A1452:B1452"/>
    <mergeCell ref="A1459:B1459"/>
    <mergeCell ref="C1473:D1473"/>
    <mergeCell ref="C1465:D1465"/>
    <mergeCell ref="A1505:F1505"/>
    <mergeCell ref="A1605:B1605"/>
    <mergeCell ref="A1599:B1599"/>
    <mergeCell ref="C1597:D1597"/>
    <mergeCell ref="A1596:F1596"/>
    <mergeCell ref="A1602:F1602"/>
    <mergeCell ref="A1572:E1572"/>
    <mergeCell ref="A1474:E1474"/>
    <mergeCell ref="A1482:B1482"/>
    <mergeCell ref="A1475:B1475"/>
    <mergeCell ref="C1443:D1443"/>
    <mergeCell ref="A1445:B1445"/>
    <mergeCell ref="C1436:D1436"/>
    <mergeCell ref="A1438:B1438"/>
    <mergeCell ref="C1487:D1487"/>
    <mergeCell ref="A1533:F1533"/>
    <mergeCell ref="A1529:E1529"/>
    <mergeCell ref="A1519:F1519"/>
    <mergeCell ref="A194:E194"/>
    <mergeCell ref="A184:E184"/>
    <mergeCell ref="A192:F192"/>
    <mergeCell ref="A354:F354"/>
    <mergeCell ref="A351:E351"/>
    <mergeCell ref="A299:F299"/>
    <mergeCell ref="A313:F313"/>
    <mergeCell ref="A301:E301"/>
    <mergeCell ref="A337:F337"/>
    <mergeCell ref="A349:F349"/>
    <mergeCell ref="A339:E339"/>
    <mergeCell ref="A197:F197"/>
    <mergeCell ref="A249:F249"/>
    <mergeCell ref="A199:E199"/>
    <mergeCell ref="A16:F16"/>
    <mergeCell ref="A13:E13"/>
    <mergeCell ref="A18:E18"/>
    <mergeCell ref="A22:F22"/>
    <mergeCell ref="A24:E24"/>
    <mergeCell ref="A30:F30"/>
    <mergeCell ref="A32:E32"/>
    <mergeCell ref="A101:E101"/>
    <mergeCell ref="A40:E40"/>
    <mergeCell ref="A47:F47"/>
    <mergeCell ref="A50:E50"/>
    <mergeCell ref="A55:F55"/>
    <mergeCell ref="A38:F38"/>
    <mergeCell ref="A67:F67"/>
    <mergeCell ref="A70:E70"/>
    <mergeCell ref="A78:F78"/>
    <mergeCell ref="A81:E81"/>
    <mergeCell ref="A88:F88"/>
    <mergeCell ref="A91:E91"/>
    <mergeCell ref="A99:F99"/>
    <mergeCell ref="A1:G1"/>
    <mergeCell ref="A2:A3"/>
    <mergeCell ref="B2:D3"/>
    <mergeCell ref="A4:A5"/>
    <mergeCell ref="B4:D5"/>
    <mergeCell ref="E2:G5"/>
    <mergeCell ref="C7:D7"/>
    <mergeCell ref="A8:E8"/>
    <mergeCell ref="A11:F11"/>
    <mergeCell ref="A1589:F1589"/>
    <mergeCell ref="A1591:E1591"/>
    <mergeCell ref="A1549:F1549"/>
    <mergeCell ref="A1551:E1551"/>
    <mergeCell ref="A1563:F1563"/>
    <mergeCell ref="A1558:E1558"/>
    <mergeCell ref="A1570:F1570"/>
    <mergeCell ref="A1565:E1565"/>
    <mergeCell ref="A1583:E1583"/>
    <mergeCell ref="A1584:B1584"/>
    <mergeCell ref="A1489:B1489"/>
    <mergeCell ref="A1491:F1491"/>
    <mergeCell ref="A1500:F1500"/>
    <mergeCell ref="A1493:E1493"/>
    <mergeCell ref="A1466:E1466"/>
    <mergeCell ref="A1486:F1486"/>
    <mergeCell ref="A1479:F1479"/>
    <mergeCell ref="A1481:E1481"/>
    <mergeCell ref="C1480:D1480"/>
    <mergeCell ref="A1464:F1464"/>
    <mergeCell ref="A1458:E1458"/>
    <mergeCell ref="A1428:F1428"/>
    <mergeCell ref="A1430:E1430"/>
    <mergeCell ref="A1435:F1435"/>
    <mergeCell ref="A1456:F1456"/>
    <mergeCell ref="A1451:E1451"/>
    <mergeCell ref="A1385:F1385"/>
    <mergeCell ref="A1393:F1393"/>
    <mergeCell ref="A1387:E1387"/>
    <mergeCell ref="A1399:F1399"/>
    <mergeCell ref="A1395:E1395"/>
    <mergeCell ref="A1401:E1401"/>
    <mergeCell ref="A1415:E1415"/>
    <mergeCell ref="A1420:F1420"/>
    <mergeCell ref="A1422:E1422"/>
    <mergeCell ref="C1407:D1407"/>
    <mergeCell ref="A1442:F1442"/>
    <mergeCell ref="A1437:E1437"/>
    <mergeCell ref="A1444:E1444"/>
    <mergeCell ref="A1449:F1449"/>
    <mergeCell ref="C1429:D1429"/>
    <mergeCell ref="C1421:D1421"/>
    <mergeCell ref="A1423:B1423"/>
    <mergeCell ref="A1416:B1416"/>
    <mergeCell ref="A1406:F1406"/>
    <mergeCell ref="A1472:F1472"/>
    <mergeCell ref="A1324:B1324"/>
    <mergeCell ref="C1322:D1322"/>
    <mergeCell ref="C1316:D1316"/>
    <mergeCell ref="A1318:B1318"/>
    <mergeCell ref="A1317:E1317"/>
    <mergeCell ref="A1321:F1321"/>
    <mergeCell ref="C1347:D1347"/>
    <mergeCell ref="C1343:D1343"/>
    <mergeCell ref="A1344:E1344"/>
    <mergeCell ref="A1346:F1346"/>
    <mergeCell ref="C1351:D1351"/>
    <mergeCell ref="A1364:F1364"/>
    <mergeCell ref="A1366:E1366"/>
    <mergeCell ref="C1358:D1358"/>
    <mergeCell ref="A1360:B1360"/>
    <mergeCell ref="A1338:B1338"/>
    <mergeCell ref="C1336:D1336"/>
    <mergeCell ref="A1331:B1331"/>
    <mergeCell ref="C1329:D1329"/>
    <mergeCell ref="A1335:F1335"/>
    <mergeCell ref="A1330:E1330"/>
    <mergeCell ref="A1342:F1342"/>
    <mergeCell ref="A1337:E1337"/>
    <mergeCell ref="A1378:F1378"/>
    <mergeCell ref="A1374:B1374"/>
    <mergeCell ref="A1380:E1380"/>
    <mergeCell ref="C1379:D1379"/>
    <mergeCell ref="A1352:E1352"/>
    <mergeCell ref="A1359:E1359"/>
    <mergeCell ref="A1357:F1357"/>
    <mergeCell ref="A1353:B1353"/>
    <mergeCell ref="C1372:D1372"/>
    <mergeCell ref="C1414:D1414"/>
    <mergeCell ref="A1409:B1409"/>
    <mergeCell ref="A1413:F1413"/>
    <mergeCell ref="A1408:E1408"/>
    <mergeCell ref="C1294:D1294"/>
    <mergeCell ref="A1296:B1296"/>
    <mergeCell ref="A1289:B1289"/>
    <mergeCell ref="A1307:F1307"/>
    <mergeCell ref="C1308:D1308"/>
    <mergeCell ref="A1309:E1309"/>
    <mergeCell ref="A1323:E1323"/>
    <mergeCell ref="A1328:F1328"/>
    <mergeCell ref="C1315:D1315"/>
    <mergeCell ref="A1367:B1367"/>
    <mergeCell ref="C1365:D1365"/>
    <mergeCell ref="C1386:D1386"/>
    <mergeCell ref="A1381:B1381"/>
    <mergeCell ref="C1394:D1394"/>
    <mergeCell ref="A1388:B1388"/>
    <mergeCell ref="A1396:B1396"/>
    <mergeCell ref="A1402:B1402"/>
    <mergeCell ref="C1400:D1400"/>
    <mergeCell ref="A1371:F1371"/>
    <mergeCell ref="A1373:E1373"/>
    <mergeCell ref="A1279:F1279"/>
    <mergeCell ref="A1281:E1281"/>
    <mergeCell ref="A1286:F1286"/>
    <mergeCell ref="A1282:B1282"/>
    <mergeCell ref="C1273:D1273"/>
    <mergeCell ref="A1275:B1275"/>
    <mergeCell ref="A1314:F1314"/>
    <mergeCell ref="A1310:B1310"/>
    <mergeCell ref="A1295:E1295"/>
    <mergeCell ref="A1300:F1300"/>
    <mergeCell ref="A1302:E1302"/>
    <mergeCell ref="C1301:D1301"/>
    <mergeCell ref="A1303:B1303"/>
    <mergeCell ref="C1245:D1245"/>
    <mergeCell ref="A1240:B1240"/>
    <mergeCell ref="A1247:B1247"/>
    <mergeCell ref="A1288:E1288"/>
    <mergeCell ref="A1293:F1293"/>
    <mergeCell ref="A1244:F1244"/>
    <mergeCell ref="A1239:E1239"/>
    <mergeCell ref="A1251:F1251"/>
    <mergeCell ref="A1246:E1246"/>
    <mergeCell ref="A1253:E1253"/>
    <mergeCell ref="A1258:F1258"/>
    <mergeCell ref="A1260:E1260"/>
    <mergeCell ref="C1266:D1266"/>
    <mergeCell ref="C1259:D1259"/>
    <mergeCell ref="A1261:B1261"/>
    <mergeCell ref="A1254:B1254"/>
    <mergeCell ref="C1252:D1252"/>
    <mergeCell ref="C1287:D1287"/>
    <mergeCell ref="C1280:D1280"/>
    <mergeCell ref="A1268:B1268"/>
    <mergeCell ref="A1265:F1265"/>
    <mergeCell ref="A1267:E1267"/>
    <mergeCell ref="A1272:F1272"/>
    <mergeCell ref="A1274:E1274"/>
    <mergeCell ref="C1238:D1238"/>
    <mergeCell ref="A1233:B1233"/>
    <mergeCell ref="C1231:D1231"/>
    <mergeCell ref="A1230:F1230"/>
    <mergeCell ref="A1232:E1232"/>
    <mergeCell ref="A1237:F1237"/>
    <mergeCell ref="C1224:D1224"/>
    <mergeCell ref="A1226:B1226"/>
    <mergeCell ref="C1217:D1217"/>
    <mergeCell ref="A1219:B1219"/>
    <mergeCell ref="A1212:B1212"/>
    <mergeCell ref="C1210:D1210"/>
    <mergeCell ref="A1209:F1209"/>
    <mergeCell ref="A1211:E1211"/>
    <mergeCell ref="A1216:F1216"/>
    <mergeCell ref="A1218:E1218"/>
    <mergeCell ref="A1223:F1223"/>
    <mergeCell ref="A1225:E1225"/>
    <mergeCell ref="A1174:E1174"/>
    <mergeCell ref="A1182:B1182"/>
    <mergeCell ref="C1180:D1180"/>
    <mergeCell ref="A1175:B1175"/>
    <mergeCell ref="A1179:F1179"/>
    <mergeCell ref="A1188:F1188"/>
    <mergeCell ref="A1181:E1181"/>
    <mergeCell ref="C1203:D1203"/>
    <mergeCell ref="A1205:B1205"/>
    <mergeCell ref="A1198:B1198"/>
    <mergeCell ref="C1196:D1196"/>
    <mergeCell ref="C1189:D1189"/>
    <mergeCell ref="A1191:B1191"/>
    <mergeCell ref="A1195:F1195"/>
    <mergeCell ref="A1190:E1190"/>
    <mergeCell ref="A1202:F1202"/>
    <mergeCell ref="A1197:E1197"/>
    <mergeCell ref="A1204:E1204"/>
    <mergeCell ref="C1173:D1173"/>
    <mergeCell ref="C1166:D1166"/>
    <mergeCell ref="A1168:B1168"/>
    <mergeCell ref="A1161:B1161"/>
    <mergeCell ref="C1159:D1159"/>
    <mergeCell ref="A1158:F1158"/>
    <mergeCell ref="A1165:F1165"/>
    <mergeCell ref="A1160:E1160"/>
    <mergeCell ref="A1167:E1167"/>
    <mergeCell ref="A1172:F1172"/>
    <mergeCell ref="C1152:D1152"/>
    <mergeCell ref="A1154:B1154"/>
    <mergeCell ref="C1145:D1145"/>
    <mergeCell ref="A1147:B1147"/>
    <mergeCell ref="A1140:B1140"/>
    <mergeCell ref="C1138:D1138"/>
    <mergeCell ref="A1137:F1137"/>
    <mergeCell ref="A1144:F1144"/>
    <mergeCell ref="A1139:E1139"/>
    <mergeCell ref="A1151:F1151"/>
    <mergeCell ref="A1146:E1146"/>
    <mergeCell ref="A1153:E1153"/>
    <mergeCell ref="C1131:D1131"/>
    <mergeCell ref="A1133:B1133"/>
    <mergeCell ref="A1126:B1126"/>
    <mergeCell ref="C1124:D1124"/>
    <mergeCell ref="C1117:D1117"/>
    <mergeCell ref="A1119:B1119"/>
    <mergeCell ref="A1116:F1116"/>
    <mergeCell ref="A1132:E1132"/>
    <mergeCell ref="A1130:F1130"/>
    <mergeCell ref="A1125:E1125"/>
    <mergeCell ref="A1123:F1123"/>
    <mergeCell ref="A1118:E1118"/>
    <mergeCell ref="C1110:D1110"/>
    <mergeCell ref="A1112:B1112"/>
    <mergeCell ref="A1105:B1105"/>
    <mergeCell ref="C1103:D1103"/>
    <mergeCell ref="C1096:D1096"/>
    <mergeCell ref="A1098:B1098"/>
    <mergeCell ref="A1102:F1102"/>
    <mergeCell ref="A1097:E1097"/>
    <mergeCell ref="A1109:F1109"/>
    <mergeCell ref="A1104:E1104"/>
    <mergeCell ref="A1111:E1111"/>
    <mergeCell ref="A1091:B1091"/>
    <mergeCell ref="C1089:D1089"/>
    <mergeCell ref="C1082:D1082"/>
    <mergeCell ref="A1084:B1084"/>
    <mergeCell ref="C1075:D1075"/>
    <mergeCell ref="A1077:B1077"/>
    <mergeCell ref="A1081:F1081"/>
    <mergeCell ref="A1076:E1076"/>
    <mergeCell ref="A1095:F1095"/>
    <mergeCell ref="A1090:E1090"/>
    <mergeCell ref="A1088:F1088"/>
    <mergeCell ref="A1083:E1083"/>
    <mergeCell ref="A1055:E1055"/>
    <mergeCell ref="A1070:B1070"/>
    <mergeCell ref="C1068:D1068"/>
    <mergeCell ref="C1061:D1061"/>
    <mergeCell ref="A1063:B1063"/>
    <mergeCell ref="A1056:B1056"/>
    <mergeCell ref="A1074:F1074"/>
    <mergeCell ref="A1069:E1069"/>
    <mergeCell ref="A1060:F1060"/>
    <mergeCell ref="A1062:E1062"/>
    <mergeCell ref="A1067:F1067"/>
    <mergeCell ref="A970:F970"/>
    <mergeCell ref="A986:E986"/>
    <mergeCell ref="A972:E972"/>
    <mergeCell ref="A980:E980"/>
    <mergeCell ref="A984:F984"/>
    <mergeCell ref="A978:F978"/>
    <mergeCell ref="A1021:E1021"/>
    <mergeCell ref="A1025:F1025"/>
    <mergeCell ref="C1054:D1054"/>
    <mergeCell ref="A1049:B1049"/>
    <mergeCell ref="C1047:D1047"/>
    <mergeCell ref="A1042:B1042"/>
    <mergeCell ref="A1046:F1046"/>
    <mergeCell ref="C1040:D1040"/>
    <mergeCell ref="C1033:D1033"/>
    <mergeCell ref="A1035:B1035"/>
    <mergeCell ref="A1028:B1028"/>
    <mergeCell ref="A1039:F1039"/>
    <mergeCell ref="A1041:E1041"/>
    <mergeCell ref="A1034:E1034"/>
    <mergeCell ref="A1053:F1053"/>
    <mergeCell ref="A1048:E1048"/>
    <mergeCell ref="A1027:E1027"/>
    <mergeCell ref="A1032:F1032"/>
    <mergeCell ref="A1019:F1019"/>
    <mergeCell ref="A991:F991"/>
    <mergeCell ref="A993:E993"/>
    <mergeCell ref="A998:F998"/>
    <mergeCell ref="A1000:E1000"/>
    <mergeCell ref="A1005:F1005"/>
    <mergeCell ref="A1012:F1012"/>
    <mergeCell ref="A1007:E1007"/>
    <mergeCell ref="A1014:E1014"/>
    <mergeCell ref="A939:F939"/>
    <mergeCell ref="A946:F946"/>
    <mergeCell ref="A941:E941"/>
    <mergeCell ref="A953:F953"/>
    <mergeCell ref="A948:E948"/>
    <mergeCell ref="A960:F960"/>
    <mergeCell ref="A955:E955"/>
    <mergeCell ref="A963:E963"/>
    <mergeCell ref="A901:F901"/>
    <mergeCell ref="A909:F909"/>
    <mergeCell ref="A904:E904"/>
    <mergeCell ref="A916:F916"/>
    <mergeCell ref="A911:E911"/>
    <mergeCell ref="A923:F923"/>
    <mergeCell ref="A918:E918"/>
    <mergeCell ref="A925:E925"/>
    <mergeCell ref="A930:F930"/>
    <mergeCell ref="A932:E932"/>
    <mergeCell ref="A855:F855"/>
    <mergeCell ref="A857:E857"/>
    <mergeCell ref="A866:F866"/>
    <mergeCell ref="A868:E868"/>
    <mergeCell ref="A883:F883"/>
    <mergeCell ref="A885:E885"/>
    <mergeCell ref="A893:F893"/>
    <mergeCell ref="A896:E896"/>
    <mergeCell ref="A817:F817"/>
    <mergeCell ref="A819:E819"/>
    <mergeCell ref="A836:F836"/>
    <mergeCell ref="A845:F845"/>
    <mergeCell ref="A838:E838"/>
    <mergeCell ref="A847:E847"/>
    <mergeCell ref="A796:F796"/>
    <mergeCell ref="A790:E790"/>
    <mergeCell ref="A805:F805"/>
    <mergeCell ref="A798:E798"/>
    <mergeCell ref="C731:D731"/>
    <mergeCell ref="A733:B733"/>
    <mergeCell ref="A750:E750"/>
    <mergeCell ref="A807:E807"/>
    <mergeCell ref="C776:D776"/>
    <mergeCell ref="A778:B778"/>
    <mergeCell ref="C767:D767"/>
    <mergeCell ref="A769:B769"/>
    <mergeCell ref="A775:F775"/>
    <mergeCell ref="A768:E768"/>
    <mergeCell ref="A777:E777"/>
    <mergeCell ref="C806:D806"/>
    <mergeCell ref="C797:D797"/>
    <mergeCell ref="A799:B799"/>
    <mergeCell ref="A791:B791"/>
    <mergeCell ref="C789:D789"/>
    <mergeCell ref="A788:F788"/>
    <mergeCell ref="C740:D740"/>
    <mergeCell ref="A760:B760"/>
    <mergeCell ref="C758:D758"/>
    <mergeCell ref="A766:F766"/>
    <mergeCell ref="A759:E759"/>
    <mergeCell ref="A730:F730"/>
    <mergeCell ref="A732:E732"/>
    <mergeCell ref="A739:F739"/>
    <mergeCell ref="A748:F748"/>
    <mergeCell ref="A741:E741"/>
    <mergeCell ref="A757:F757"/>
    <mergeCell ref="C749:D749"/>
    <mergeCell ref="A751:B751"/>
    <mergeCell ref="A742:B742"/>
    <mergeCell ref="A672:B672"/>
    <mergeCell ref="C663:D663"/>
    <mergeCell ref="A665:B665"/>
    <mergeCell ref="A705:B705"/>
    <mergeCell ref="A695:B695"/>
    <mergeCell ref="A632:B632"/>
    <mergeCell ref="A631:E631"/>
    <mergeCell ref="A638:F638"/>
    <mergeCell ref="A682:F682"/>
    <mergeCell ref="A671:E671"/>
    <mergeCell ref="A702:F702"/>
    <mergeCell ref="A694:E694"/>
    <mergeCell ref="C693:D693"/>
    <mergeCell ref="A685:B685"/>
    <mergeCell ref="C683:D683"/>
    <mergeCell ref="C703:D703"/>
    <mergeCell ref="A684:E684"/>
    <mergeCell ref="A692:F692"/>
    <mergeCell ref="A640:E640"/>
    <mergeCell ref="A646:F646"/>
    <mergeCell ref="A580:F580"/>
    <mergeCell ref="A582:E582"/>
    <mergeCell ref="A602:F602"/>
    <mergeCell ref="A604:E604"/>
    <mergeCell ref="A614:F614"/>
    <mergeCell ref="C630:D630"/>
    <mergeCell ref="C656:D656"/>
    <mergeCell ref="C647:D647"/>
    <mergeCell ref="A649:B649"/>
    <mergeCell ref="C639:D639"/>
    <mergeCell ref="A641:B641"/>
    <mergeCell ref="C603:D603"/>
    <mergeCell ref="C591:D591"/>
    <mergeCell ref="A593:B593"/>
    <mergeCell ref="C581:D581"/>
    <mergeCell ref="A583:B583"/>
    <mergeCell ref="A590:F590"/>
    <mergeCell ref="A592:E592"/>
    <mergeCell ref="C615:D615"/>
    <mergeCell ref="A617:B617"/>
    <mergeCell ref="A605:B605"/>
    <mergeCell ref="A616:E616"/>
    <mergeCell ref="A628:F628"/>
    <mergeCell ref="C629:D629"/>
    <mergeCell ref="C539:D539"/>
    <mergeCell ref="C529:D529"/>
    <mergeCell ref="A551:E551"/>
    <mergeCell ref="A478:F478"/>
    <mergeCell ref="A471:E471"/>
    <mergeCell ref="A480:E480"/>
    <mergeCell ref="A487:F487"/>
    <mergeCell ref="A490:E490"/>
    <mergeCell ref="A500:F500"/>
    <mergeCell ref="A507:F507"/>
    <mergeCell ref="A502:E502"/>
    <mergeCell ref="A481:B481"/>
    <mergeCell ref="C479:D479"/>
    <mergeCell ref="A491:B491"/>
    <mergeCell ref="C489:D489"/>
    <mergeCell ref="A503:B503"/>
    <mergeCell ref="C501:D501"/>
    <mergeCell ref="C550:D550"/>
    <mergeCell ref="A542:B542"/>
    <mergeCell ref="C540:D540"/>
    <mergeCell ref="A531:B531"/>
    <mergeCell ref="A445:B445"/>
    <mergeCell ref="C443:D443"/>
    <mergeCell ref="A413:F413"/>
    <mergeCell ref="A415:E415"/>
    <mergeCell ref="A424:F424"/>
    <mergeCell ref="A430:F430"/>
    <mergeCell ref="C431:D431"/>
    <mergeCell ref="C426:D426"/>
    <mergeCell ref="A428:B428"/>
    <mergeCell ref="A427:E427"/>
    <mergeCell ref="A433:B433"/>
    <mergeCell ref="A432:E432"/>
    <mergeCell ref="A444:E444"/>
    <mergeCell ref="A388:E388"/>
    <mergeCell ref="A391:F391"/>
    <mergeCell ref="A356:E356"/>
    <mergeCell ref="A367:F367"/>
    <mergeCell ref="A325:F325"/>
    <mergeCell ref="A315:E315"/>
    <mergeCell ref="A327:E327"/>
    <mergeCell ref="A288:F288"/>
    <mergeCell ref="A279:E279"/>
    <mergeCell ref="A290:E290"/>
    <mergeCell ref="A378:E378"/>
    <mergeCell ref="A376:F376"/>
    <mergeCell ref="A386:F386"/>
    <mergeCell ref="A369:E369"/>
    <mergeCell ref="A182:F182"/>
    <mergeCell ref="A143:E143"/>
    <mergeCell ref="A152:F152"/>
    <mergeCell ref="A154:E154"/>
    <mergeCell ref="A160:F160"/>
    <mergeCell ref="A171:F171"/>
    <mergeCell ref="A111:E111"/>
    <mergeCell ref="A119:F119"/>
    <mergeCell ref="A122:E122"/>
    <mergeCell ref="A130:F130"/>
    <mergeCell ref="A132:E132"/>
    <mergeCell ref="A162:E162"/>
    <mergeCell ref="A141:F141"/>
    <mergeCell ref="A108:F108"/>
    <mergeCell ref="A58:E58"/>
    <mergeCell ref="A173:E173"/>
    <mergeCell ref="A462:E462"/>
    <mergeCell ref="A469:F469"/>
    <mergeCell ref="A251:E251"/>
    <mergeCell ref="A263:F263"/>
    <mergeCell ref="A277:F277"/>
    <mergeCell ref="A265:E265"/>
    <mergeCell ref="A206:F206"/>
    <mergeCell ref="A216:F216"/>
    <mergeCell ref="A208:E208"/>
    <mergeCell ref="A226:F226"/>
    <mergeCell ref="A218:E218"/>
    <mergeCell ref="A235:F235"/>
    <mergeCell ref="A228:E228"/>
    <mergeCell ref="A237:E237"/>
    <mergeCell ref="C461:D461"/>
    <mergeCell ref="C450:D450"/>
    <mergeCell ref="A452:B452"/>
    <mergeCell ref="A463:B463"/>
    <mergeCell ref="A449:F449"/>
    <mergeCell ref="A451:E451"/>
    <mergeCell ref="A460:F460"/>
    <mergeCell ref="C470:D470"/>
    <mergeCell ref="A472:B472"/>
    <mergeCell ref="C488:D488"/>
    <mergeCell ref="A510:B510"/>
    <mergeCell ref="C508:D508"/>
    <mergeCell ref="A570:F570"/>
    <mergeCell ref="A562:E562"/>
    <mergeCell ref="A572:E572"/>
    <mergeCell ref="A552:B552"/>
    <mergeCell ref="C560:D560"/>
    <mergeCell ref="C561:D561"/>
    <mergeCell ref="A563:B563"/>
    <mergeCell ref="A509:E509"/>
    <mergeCell ref="A517:F517"/>
    <mergeCell ref="A528:F528"/>
    <mergeCell ref="A520:E520"/>
    <mergeCell ref="A530:E530"/>
    <mergeCell ref="A538:F538"/>
    <mergeCell ref="A549:F549"/>
    <mergeCell ref="A541:E541"/>
    <mergeCell ref="A559:F559"/>
    <mergeCell ref="A521:B521"/>
    <mergeCell ref="C519:D519"/>
    <mergeCell ref="C518:D518"/>
    <mergeCell ref="A573:B573"/>
    <mergeCell ref="C571:D571"/>
    <mergeCell ref="A1768:F1768"/>
    <mergeCell ref="A1765:E1765"/>
    <mergeCell ref="A1774:F1774"/>
    <mergeCell ref="A1770:E1770"/>
    <mergeCell ref="C1590:D1590"/>
    <mergeCell ref="A1592:B1592"/>
    <mergeCell ref="A1670:E1670"/>
    <mergeCell ref="A1680:F1680"/>
    <mergeCell ref="A1692:F1692"/>
    <mergeCell ref="A1682:E1682"/>
    <mergeCell ref="A1694:E1694"/>
    <mergeCell ref="A1704:F1704"/>
    <mergeCell ref="A1644:B1644"/>
    <mergeCell ref="C1637:D1637"/>
    <mergeCell ref="A1639:B1639"/>
    <mergeCell ref="A1643:E1643"/>
    <mergeCell ref="A1651:F1651"/>
    <mergeCell ref="C1657:D1657"/>
    <mergeCell ref="C1652:D1652"/>
    <mergeCell ref="A1654:B1654"/>
    <mergeCell ref="A1656:F1656"/>
    <mergeCell ref="A1683:B1683"/>
    <mergeCell ref="A2177:E2177"/>
    <mergeCell ref="A2180:F2180"/>
    <mergeCell ref="A2188:F2188"/>
    <mergeCell ref="A2182:E2182"/>
    <mergeCell ref="A2190:E2190"/>
    <mergeCell ref="A2198:F2198"/>
    <mergeCell ref="A2200:E2200"/>
    <mergeCell ref="A2175:F2175"/>
    <mergeCell ref="A2172:E2172"/>
    <mergeCell ref="A2136:F2136"/>
    <mergeCell ref="A2062:E2062"/>
    <mergeCell ref="A2066:F2066"/>
    <mergeCell ref="A2068:E2068"/>
    <mergeCell ref="A2072:F2072"/>
    <mergeCell ref="A2074:E2074"/>
    <mergeCell ref="A2081:F2081"/>
    <mergeCell ref="A2099:E2099"/>
    <mergeCell ref="A2105:F2105"/>
    <mergeCell ref="A2108:E2108"/>
    <mergeCell ref="A2207:F2207"/>
    <mergeCell ref="A2025:F2025"/>
    <mergeCell ref="A2113:F2113"/>
    <mergeCell ref="A2121:F2121"/>
    <mergeCell ref="A2116:E2116"/>
    <mergeCell ref="A2123:E2123"/>
    <mergeCell ref="A2128:F2128"/>
    <mergeCell ref="A2130:E2130"/>
    <mergeCell ref="A2143:F2143"/>
    <mergeCell ref="A2138:E2138"/>
    <mergeCell ref="A2145:E2145"/>
    <mergeCell ref="A2150:F2150"/>
    <mergeCell ref="A2152:E2152"/>
    <mergeCell ref="A2083:E2083"/>
    <mergeCell ref="A2086:F2086"/>
    <mergeCell ref="A2097:F2097"/>
    <mergeCell ref="A2089:E2089"/>
    <mergeCell ref="A2155:F2155"/>
    <mergeCell ref="A2157:E2157"/>
    <mergeCell ref="A2160:F2160"/>
    <mergeCell ref="A2162:E2162"/>
    <mergeCell ref="A2167:E2167"/>
    <mergeCell ref="A2165:F2165"/>
    <mergeCell ref="A2170:F2170"/>
    <mergeCell ref="A2240:E2240"/>
    <mergeCell ref="A2241:B2241"/>
    <mergeCell ref="A2209:E2209"/>
    <mergeCell ref="A2213:F2213"/>
    <mergeCell ref="A2221:E2221"/>
    <mergeCell ref="A2219:F2219"/>
    <mergeCell ref="A2215:E2215"/>
    <mergeCell ref="A2229:F2229"/>
    <mergeCell ref="A2231:E2231"/>
    <mergeCell ref="A2238:F2238"/>
    <mergeCell ref="A2253:E2253"/>
    <mergeCell ref="A2254:B2254"/>
    <mergeCell ref="A2257:F2257"/>
    <mergeCell ref="A2260:E2260"/>
    <mergeCell ref="A2265:F2265"/>
    <mergeCell ref="A2268:E2268"/>
    <mergeCell ref="A2269:B2269"/>
    <mergeCell ref="A2272:F2272"/>
    <mergeCell ref="A2246:F2246"/>
    <mergeCell ref="A2317:E2317"/>
    <mergeCell ref="A2318:B2318"/>
    <mergeCell ref="A2323:F2323"/>
    <mergeCell ref="A2308:E2308"/>
    <mergeCell ref="A2309:B2309"/>
    <mergeCell ref="A2315:F2315"/>
    <mergeCell ref="A2274:E2274"/>
    <mergeCell ref="A2279:F2279"/>
    <mergeCell ref="A2301:E2301"/>
    <mergeCell ref="A2306:F2306"/>
    <mergeCell ref="A2281:E2281"/>
    <mergeCell ref="A2284:F2284"/>
    <mergeCell ref="A2286:E2286"/>
    <mergeCell ref="A2289:F2289"/>
    <mergeCell ref="A2291:E2291"/>
    <mergeCell ref="A2294:F2294"/>
    <mergeCell ref="A2296:E2296"/>
    <mergeCell ref="A2299:F2299"/>
    <mergeCell ref="A2443:F2443"/>
    <mergeCell ref="A2445:E2445"/>
    <mergeCell ref="A2446:B2446"/>
    <mergeCell ref="A2452:F2452"/>
    <mergeCell ref="A2454:E2454"/>
    <mergeCell ref="A2456:F2456"/>
    <mergeCell ref="A2458:E2458"/>
    <mergeCell ref="A2487:B2487"/>
    <mergeCell ref="A2491:F2491"/>
    <mergeCell ref="A2479:E2479"/>
    <mergeCell ref="A2480:B2480"/>
    <mergeCell ref="A2459:B2459"/>
    <mergeCell ref="A2463:F2463"/>
    <mergeCell ref="A2465:E2465"/>
    <mergeCell ref="A2466:B2466"/>
    <mergeCell ref="A2470:F2470"/>
    <mergeCell ref="A2472:E2472"/>
    <mergeCell ref="A2473:B2473"/>
    <mergeCell ref="A2477:F2477"/>
    <mergeCell ref="A2430:B2430"/>
    <mergeCell ref="A2429:E2429"/>
    <mergeCell ref="A2325:E2325"/>
    <mergeCell ref="A2326:B2326"/>
    <mergeCell ref="A2333:F2333"/>
    <mergeCell ref="A2335:E2335"/>
    <mergeCell ref="A2338:F2338"/>
    <mergeCell ref="A2340:E2340"/>
    <mergeCell ref="A2341:B2341"/>
    <mergeCell ref="A2346:F2346"/>
    <mergeCell ref="A2348:E2348"/>
    <mergeCell ref="A2349:B2349"/>
    <mergeCell ref="A2354:F2354"/>
    <mergeCell ref="A2356:E2356"/>
    <mergeCell ref="A2359:F2359"/>
    <mergeCell ref="A2361:E2361"/>
    <mergeCell ref="A2394:B2394"/>
    <mergeCell ref="A2402:F2402"/>
    <mergeCell ref="A2404:E2404"/>
    <mergeCell ref="A2405:B2405"/>
    <mergeCell ref="A2414:F2414"/>
    <mergeCell ref="A2416:E2416"/>
    <mergeCell ref="A2417:B2417"/>
    <mergeCell ref="A2427:F2427"/>
    <mergeCell ref="A2362:B2362"/>
    <mergeCell ref="A2370:F2370"/>
    <mergeCell ref="A2372:E2372"/>
    <mergeCell ref="A2373:B2373"/>
    <mergeCell ref="A2381:F2381"/>
    <mergeCell ref="A2383:E2383"/>
    <mergeCell ref="A2384:B2384"/>
    <mergeCell ref="A2391:F2391"/>
    <mergeCell ref="A2393:E2393"/>
    <mergeCell ref="A2500:E2500"/>
    <mergeCell ref="A2501:B2501"/>
    <mergeCell ref="A2505:F2505"/>
    <mergeCell ref="A2507:E2507"/>
    <mergeCell ref="A2508:B2508"/>
    <mergeCell ref="A2512:F2512"/>
    <mergeCell ref="A2514:E2514"/>
    <mergeCell ref="A2484:F2484"/>
    <mergeCell ref="A2486:E2486"/>
    <mergeCell ref="A2493:E2493"/>
    <mergeCell ref="A2494:B2494"/>
    <mergeCell ref="A2498:F2498"/>
    <mergeCell ref="A2570:E2570"/>
    <mergeCell ref="A2571:B2571"/>
    <mergeCell ref="A2575:F2575"/>
    <mergeCell ref="A2577:E2577"/>
    <mergeCell ref="A2578:B2578"/>
    <mergeCell ref="A2583:F2583"/>
    <mergeCell ref="C2518:D2518"/>
    <mergeCell ref="A2519:E2519"/>
    <mergeCell ref="A2520:B2520"/>
    <mergeCell ref="A2522:F2522"/>
    <mergeCell ref="C2523:D2523"/>
    <mergeCell ref="A2524:E2524"/>
    <mergeCell ref="A2525:B2525"/>
    <mergeCell ref="A2527:F2527"/>
    <mergeCell ref="A2534:E2534"/>
    <mergeCell ref="A2535:B2535"/>
    <mergeCell ref="A2539:F2539"/>
    <mergeCell ref="A2529:E2529"/>
    <mergeCell ref="A2532:F2532"/>
  </mergeCells>
  <pageMargins left="0.98425196850393704" right="0.39370078740157483" top="0.39370078740157483" bottom="0.39370078740157483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PLANILHA ORÇA - CORREGEDORIA</vt:lpstr>
      <vt:lpstr>PLANILHA ORÇA - EJUD</vt:lpstr>
      <vt:lpstr>COMP</vt:lpstr>
      <vt:lpstr>CRONOGRAMA</vt:lpstr>
      <vt:lpstr>BDI</vt:lpstr>
      <vt:lpstr>ENCARGOS SOCIAIS</vt:lpstr>
      <vt:lpstr>COMPOSIÇÃO DE CUSTOS</vt:lpstr>
      <vt:lpstr>BDI!Area_de_impressao</vt:lpstr>
      <vt:lpstr>COMP!Area_de_impressao</vt:lpstr>
      <vt:lpstr>'COMPOSIÇÃO DE CUSTOS'!Area_de_impressao</vt:lpstr>
      <vt:lpstr>CRONOGRAMA!Area_de_impressao</vt:lpstr>
      <vt:lpstr>'PLANILHA ORÇA - CORREGEDORIA'!Area_de_impressao</vt:lpstr>
      <vt:lpstr>'PLANILHA ORÇA - EJUD'!Area_de_impressao</vt:lpstr>
      <vt:lpstr>'COMPOSIÇÃO DE CUSTOS'!Titulos_de_impressao</vt:lpstr>
      <vt:lpstr>'PLANILHA ORÇA - CORREGEDORIA'!Titulos_de_impressao</vt:lpstr>
      <vt:lpstr>'PLANILHA ORÇA - EJUD'!Titulos_de_impressao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2018-07-27T06:19:14Z</dcterms:created>
  <dcterms:modified xsi:type="dcterms:W3CDTF">2023-05-31T12:24:58Z</dcterms:modified>
</cp:coreProperties>
</file>